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30" yWindow="3105" windowWidth="15480" windowHeight="8280"/>
  </bookViews>
  <sheets>
    <sheet name="6 programa" sheetId="9" r:id="rId1"/>
    <sheet name="Lyginamasis variantas" sheetId="10" r:id="rId2"/>
    <sheet name="aiškinamoji lentelė" sheetId="5" state="hidden" r:id="rId3"/>
  </sheets>
  <definedNames>
    <definedName name="_xlnm.Print_Area" localSheetId="0">'6 programa'!$A$1:$N$257</definedName>
    <definedName name="_xlnm.Print_Area" localSheetId="2">'aiškinamoji lentelė'!$A$1:$S$264</definedName>
    <definedName name="_xlnm.Print_Area" localSheetId="1">'Lyginamasis variantas'!$A$1:$U$257</definedName>
    <definedName name="_xlnm.Print_Titles" localSheetId="0">'6 programa'!$8:$10</definedName>
    <definedName name="_xlnm.Print_Titles" localSheetId="2">'aiškinamoji lentelė'!$6:$8</definedName>
    <definedName name="_xlnm.Print_Titles" localSheetId="1">'Lyginamasis variantas'!$8:$10</definedName>
  </definedNames>
  <calcPr calcId="162913" fullPrecision="0"/>
</workbook>
</file>

<file path=xl/calcChain.xml><?xml version="1.0" encoding="utf-8"?>
<calcChain xmlns="http://schemas.openxmlformats.org/spreadsheetml/2006/main">
  <c r="P87" i="10" l="1"/>
  <c r="J15" i="9" l="1"/>
  <c r="P23" i="10"/>
  <c r="I167" i="10" l="1"/>
  <c r="N98" i="10" l="1"/>
  <c r="P92" i="10"/>
  <c r="N83" i="10"/>
  <c r="O83" i="10"/>
  <c r="O98" i="10" l="1"/>
  <c r="J83" i="9"/>
  <c r="I83" i="9"/>
  <c r="K118" i="5" l="1"/>
  <c r="K112" i="5"/>
  <c r="H151" i="9"/>
  <c r="H115" i="9"/>
  <c r="I151" i="10"/>
  <c r="I115" i="10"/>
  <c r="K170" i="5"/>
  <c r="J76" i="10" l="1"/>
  <c r="J55" i="9"/>
  <c r="O71" i="10"/>
  <c r="I55" i="9"/>
  <c r="P59" i="10"/>
  <c r="M59" i="10"/>
  <c r="N148" i="5" l="1"/>
  <c r="M148" i="5"/>
  <c r="L148" i="5"/>
  <c r="K148" i="5"/>
  <c r="M252" i="5" l="1"/>
  <c r="L239" i="5"/>
  <c r="L142" i="5"/>
  <c r="M256" i="5"/>
  <c r="M254" i="5"/>
  <c r="N261" i="5"/>
  <c r="M262" i="5"/>
  <c r="M261" i="5"/>
  <c r="M260" i="5"/>
  <c r="M259" i="5"/>
  <c r="M257" i="5"/>
  <c r="M255" i="5"/>
  <c r="M251" i="5"/>
  <c r="K233" i="5"/>
  <c r="K225" i="5"/>
  <c r="K221" i="5"/>
  <c r="K220" i="5"/>
  <c r="K199" i="5"/>
  <c r="M195" i="5"/>
  <c r="N195" i="5"/>
  <c r="K111" i="5"/>
  <c r="K135" i="5" s="1"/>
  <c r="M81" i="5"/>
  <c r="M94" i="5" s="1"/>
  <c r="N94" i="5"/>
  <c r="L85" i="5"/>
  <c r="M258" i="5" l="1"/>
  <c r="K69" i="5"/>
  <c r="L70" i="5"/>
  <c r="L71" i="5"/>
  <c r="L61" i="5" l="1"/>
  <c r="L67" i="5" s="1"/>
  <c r="K52" i="5"/>
  <c r="K253" i="5" s="1"/>
  <c r="K57" i="5"/>
  <c r="M67" i="5" l="1"/>
  <c r="M41" i="5"/>
  <c r="M253" i="5" s="1"/>
  <c r="L41" i="5"/>
  <c r="L50" i="5" s="1"/>
  <c r="R115" i="5" l="1"/>
  <c r="R114" i="5"/>
  <c r="M239" i="5"/>
  <c r="M230" i="5"/>
  <c r="M235" i="5" s="1"/>
  <c r="M176" i="5"/>
  <c r="M196" i="5" s="1"/>
  <c r="M171" i="5"/>
  <c r="M173" i="5" s="1"/>
  <c r="M145" i="5"/>
  <c r="M142" i="5"/>
  <c r="M115" i="5"/>
  <c r="M106" i="5"/>
  <c r="M101" i="5"/>
  <c r="M78" i="5"/>
  <c r="M50" i="5"/>
  <c r="M35" i="5"/>
  <c r="M240" i="5" l="1"/>
  <c r="M135" i="5"/>
  <c r="M149" i="5" s="1"/>
  <c r="M250" i="5"/>
  <c r="M249" i="5" s="1"/>
  <c r="M248" i="5" s="1"/>
  <c r="M263" i="5" s="1"/>
  <c r="M107" i="5"/>
  <c r="M241" i="5" l="1"/>
  <c r="M242" i="5" s="1"/>
  <c r="H248" i="9"/>
  <c r="I187" i="9" l="1"/>
  <c r="L187" i="10" l="1"/>
  <c r="I171" i="9"/>
  <c r="M182" i="10" l="1"/>
  <c r="P96" i="10" l="1"/>
  <c r="P94" i="10"/>
  <c r="M96" i="10" l="1"/>
  <c r="J144" i="10" l="1"/>
  <c r="I98" i="10"/>
  <c r="H37" i="9" l="1"/>
  <c r="I37" i="10"/>
  <c r="P73" i="10" l="1"/>
  <c r="O82" i="10"/>
  <c r="N82" i="10"/>
  <c r="O53" i="10"/>
  <c r="P98" i="10"/>
  <c r="O241" i="10"/>
  <c r="N241" i="10"/>
  <c r="O245" i="10"/>
  <c r="O148" i="10"/>
  <c r="P148" i="10"/>
  <c r="P251" i="10"/>
  <c r="O251" i="10"/>
  <c r="O37" i="10"/>
  <c r="M98" i="10"/>
  <c r="L98" i="10"/>
  <c r="J98" i="10"/>
  <c r="P82" i="10" l="1"/>
  <c r="M90" i="10"/>
  <c r="P88" i="10"/>
  <c r="P37" i="10" l="1"/>
  <c r="O15" i="10"/>
  <c r="H58" i="9" l="1"/>
  <c r="M65" i="10"/>
  <c r="J64" i="10"/>
  <c r="J60" i="10"/>
  <c r="I57" i="10"/>
  <c r="O54" i="10"/>
  <c r="L71" i="10"/>
  <c r="P63" i="10"/>
  <c r="M63" i="10"/>
  <c r="I55" i="10"/>
  <c r="J62" i="10"/>
  <c r="M71" i="10" l="1"/>
  <c r="J47" i="10"/>
  <c r="P53" i="10"/>
  <c r="M53" i="10"/>
  <c r="J39" i="9"/>
  <c r="I39" i="9"/>
  <c r="H39" i="9"/>
  <c r="P45" i="10"/>
  <c r="M45" i="10"/>
  <c r="J45" i="10"/>
  <c r="J23" i="10"/>
  <c r="J187" i="10" l="1"/>
  <c r="J187" i="9"/>
  <c r="H187" i="9"/>
  <c r="I187" i="10"/>
  <c r="O188" i="10"/>
  <c r="P188" i="10"/>
  <c r="P187" i="10"/>
  <c r="O187" i="10"/>
  <c r="M187" i="10"/>
  <c r="P186" i="10"/>
  <c r="M186" i="10"/>
  <c r="J186" i="10"/>
  <c r="J107" i="10" l="1"/>
  <c r="J241" i="10" l="1"/>
  <c r="J190" i="10"/>
  <c r="J193" i="10"/>
  <c r="J82" i="10"/>
  <c r="J53" i="10"/>
  <c r="J37" i="10"/>
  <c r="M112" i="10"/>
  <c r="M148" i="10"/>
  <c r="M188" i="10"/>
  <c r="M232" i="10"/>
  <c r="I140" i="10"/>
  <c r="J111" i="10"/>
  <c r="I111" i="10"/>
  <c r="H85" i="9"/>
  <c r="J85" i="10"/>
  <c r="I85" i="10"/>
  <c r="M233" i="10" l="1"/>
  <c r="M234" i="10" s="1"/>
  <c r="P71" i="10" l="1"/>
  <c r="P112" i="10" s="1"/>
  <c r="H98" i="10" l="1"/>
  <c r="H56" i="9" l="1"/>
  <c r="J245" i="10" l="1"/>
  <c r="M82" i="10"/>
  <c r="I74" i="9"/>
  <c r="H73" i="9"/>
  <c r="J73" i="10"/>
  <c r="I73" i="10"/>
  <c r="P74" i="10"/>
  <c r="M74" i="10"/>
  <c r="L74" i="10"/>
  <c r="M75" i="10"/>
  <c r="J140" i="10" l="1"/>
  <c r="I246" i="10"/>
  <c r="H116" i="9" l="1"/>
  <c r="H117" i="9" l="1"/>
  <c r="J232" i="10" l="1"/>
  <c r="J71" i="10" l="1"/>
  <c r="H83" i="9"/>
  <c r="H153" i="9"/>
  <c r="H167" i="9" s="1"/>
  <c r="O244" i="10"/>
  <c r="N244" i="10"/>
  <c r="L244" i="10"/>
  <c r="K244" i="10"/>
  <c r="I244" i="10"/>
  <c r="H244" i="10"/>
  <c r="J150" i="10"/>
  <c r="M244" i="10" l="1"/>
  <c r="P244" i="10"/>
  <c r="J244" i="10"/>
  <c r="J86" i="10"/>
  <c r="J247" i="10" s="1"/>
  <c r="J147" i="10"/>
  <c r="P227" i="10"/>
  <c r="M227" i="10"/>
  <c r="P231" i="10"/>
  <c r="M231" i="10"/>
  <c r="J231" i="10"/>
  <c r="P232" i="10" l="1"/>
  <c r="P233" i="10" s="1"/>
  <c r="P234" i="10" s="1"/>
  <c r="I15" i="9"/>
  <c r="L15" i="10"/>
  <c r="H192" i="9" l="1"/>
  <c r="J152" i="10"/>
  <c r="J167" i="10" s="1"/>
  <c r="J188" i="10" s="1"/>
  <c r="J114" i="10"/>
  <c r="I117" i="10"/>
  <c r="J117" i="10" s="1"/>
  <c r="J148" i="10" l="1"/>
  <c r="J227" i="10"/>
  <c r="L245" i="10"/>
  <c r="N253" i="10"/>
  <c r="N252" i="10"/>
  <c r="N251" i="10"/>
  <c r="N248" i="10"/>
  <c r="N247" i="10"/>
  <c r="N245" i="10"/>
  <c r="P245" i="10" s="1"/>
  <c r="N243" i="10"/>
  <c r="N242" i="10"/>
  <c r="P241" i="10"/>
  <c r="L253" i="10"/>
  <c r="L252" i="10"/>
  <c r="L251" i="10"/>
  <c r="L250" i="10"/>
  <c r="L248" i="10"/>
  <c r="L247" i="10"/>
  <c r="L242" i="10"/>
  <c r="L241" i="10"/>
  <c r="I253" i="10"/>
  <c r="I252" i="10"/>
  <c r="I251" i="10"/>
  <c r="I250" i="10"/>
  <c r="I247" i="10"/>
  <c r="I243" i="10"/>
  <c r="I242" i="10"/>
  <c r="N240" i="10" l="1"/>
  <c r="T122" i="10" l="1"/>
  <c r="T121" i="10"/>
  <c r="N231" i="10"/>
  <c r="N227" i="10"/>
  <c r="N174" i="10"/>
  <c r="N170" i="10"/>
  <c r="N167" i="10"/>
  <c r="N147" i="10"/>
  <c r="N144" i="10"/>
  <c r="N116" i="10"/>
  <c r="N111" i="10"/>
  <c r="N105" i="10"/>
  <c r="N71" i="10"/>
  <c r="N53" i="10"/>
  <c r="N37" i="10"/>
  <c r="L231" i="10"/>
  <c r="L227" i="10"/>
  <c r="L170" i="10"/>
  <c r="L167" i="10"/>
  <c r="L147" i="10"/>
  <c r="L141" i="10"/>
  <c r="L116" i="10"/>
  <c r="L111" i="10"/>
  <c r="L105" i="10"/>
  <c r="L82" i="10"/>
  <c r="L53" i="10"/>
  <c r="L37" i="10"/>
  <c r="I228" i="10"/>
  <c r="I231" i="10" s="1"/>
  <c r="I192" i="10"/>
  <c r="I185" i="10"/>
  <c r="I170" i="10"/>
  <c r="I153" i="10"/>
  <c r="I147" i="10"/>
  <c r="I144" i="10"/>
  <c r="I105" i="10"/>
  <c r="I248" i="10"/>
  <c r="I83" i="10"/>
  <c r="I241" i="10" s="1"/>
  <c r="I82" i="10"/>
  <c r="I71" i="10"/>
  <c r="I53" i="10"/>
  <c r="I112" i="10"/>
  <c r="K253" i="10"/>
  <c r="M253" i="10" s="1"/>
  <c r="H253" i="10"/>
  <c r="J253" i="10" s="1"/>
  <c r="O252" i="10"/>
  <c r="P252" i="10" s="1"/>
  <c r="K252" i="10"/>
  <c r="M252" i="10" s="1"/>
  <c r="H252" i="10"/>
  <c r="J252" i="10" s="1"/>
  <c r="K251" i="10"/>
  <c r="M251" i="10" s="1"/>
  <c r="H251" i="10"/>
  <c r="J251" i="10" s="1"/>
  <c r="K250" i="10"/>
  <c r="H250" i="10"/>
  <c r="J250" i="10" s="1"/>
  <c r="O248" i="10"/>
  <c r="P248" i="10" s="1"/>
  <c r="K248" i="10"/>
  <c r="M248" i="10" s="1"/>
  <c r="O247" i="10"/>
  <c r="P247" i="10" s="1"/>
  <c r="K247" i="10"/>
  <c r="M247" i="10" s="1"/>
  <c r="H247" i="10"/>
  <c r="K245" i="10"/>
  <c r="M245" i="10" s="1"/>
  <c r="O243" i="10"/>
  <c r="P243" i="10" s="1"/>
  <c r="H243" i="10"/>
  <c r="J243" i="10" s="1"/>
  <c r="O242" i="10"/>
  <c r="K242" i="10"/>
  <c r="M242" i="10" s="1"/>
  <c r="H242" i="10"/>
  <c r="J242" i="10" s="1"/>
  <c r="K241" i="10"/>
  <c r="M241" i="10" s="1"/>
  <c r="O231" i="10"/>
  <c r="K231" i="10"/>
  <c r="K232" i="10" s="1"/>
  <c r="H228" i="10"/>
  <c r="H231" i="10" s="1"/>
  <c r="O227" i="10"/>
  <c r="K227" i="10"/>
  <c r="H192" i="10"/>
  <c r="H245" i="10" s="1"/>
  <c r="K187" i="10"/>
  <c r="H185" i="10"/>
  <c r="H246" i="10" s="1"/>
  <c r="O174" i="10"/>
  <c r="O250" i="10" s="1"/>
  <c r="O170" i="10"/>
  <c r="K170" i="10"/>
  <c r="H170" i="10"/>
  <c r="O167" i="10"/>
  <c r="K167" i="10"/>
  <c r="H153" i="10"/>
  <c r="H167" i="10" s="1"/>
  <c r="O147" i="10"/>
  <c r="K147" i="10"/>
  <c r="H147" i="10"/>
  <c r="O144" i="10"/>
  <c r="H144" i="10"/>
  <c r="K141" i="10"/>
  <c r="K243" i="10" s="1"/>
  <c r="H140" i="10"/>
  <c r="S122" i="10"/>
  <c r="S121" i="10"/>
  <c r="O116" i="10"/>
  <c r="O246" i="10" s="1"/>
  <c r="K116" i="10"/>
  <c r="K246" i="10" s="1"/>
  <c r="O111" i="10"/>
  <c r="K111" i="10"/>
  <c r="H111" i="10"/>
  <c r="O105" i="10"/>
  <c r="K105" i="10"/>
  <c r="H105" i="10"/>
  <c r="K98" i="10"/>
  <c r="H84" i="10"/>
  <c r="J84" i="10" s="1"/>
  <c r="H83" i="10"/>
  <c r="K82" i="10"/>
  <c r="H82" i="10"/>
  <c r="K71" i="10"/>
  <c r="H71" i="10"/>
  <c r="K53" i="10"/>
  <c r="H53" i="10"/>
  <c r="K37" i="10"/>
  <c r="H37" i="10"/>
  <c r="P242" i="10" l="1"/>
  <c r="P240" i="10" s="1"/>
  <c r="O240" i="10"/>
  <c r="J112" i="10"/>
  <c r="J233" i="10" s="1"/>
  <c r="J234" i="10" s="1"/>
  <c r="J248" i="10"/>
  <c r="J240" i="10"/>
  <c r="J249" i="10"/>
  <c r="H241" i="10"/>
  <c r="H240" i="10" s="1"/>
  <c r="K140" i="10"/>
  <c r="H148" i="10"/>
  <c r="N232" i="10"/>
  <c r="J246" i="10"/>
  <c r="H248" i="10"/>
  <c r="I227" i="10"/>
  <c r="I232" i="10" s="1"/>
  <c r="I245" i="10"/>
  <c r="I240" i="10" s="1"/>
  <c r="N140" i="10"/>
  <c r="N148" i="10" s="1"/>
  <c r="N246" i="10"/>
  <c r="N239" i="10" s="1"/>
  <c r="L140" i="10"/>
  <c r="L246" i="10"/>
  <c r="M246" i="10" s="1"/>
  <c r="N187" i="10"/>
  <c r="N250" i="10"/>
  <c r="N249" i="10" s="1"/>
  <c r="I148" i="10"/>
  <c r="L144" i="10"/>
  <c r="L243" i="10"/>
  <c r="M243" i="10" s="1"/>
  <c r="K249" i="10"/>
  <c r="M250" i="10"/>
  <c r="H227" i="10"/>
  <c r="H232" i="10" s="1"/>
  <c r="L112" i="10"/>
  <c r="L232" i="10"/>
  <c r="N112" i="10"/>
  <c r="N188" i="10"/>
  <c r="H249" i="10"/>
  <c r="K112" i="10"/>
  <c r="K188" i="10"/>
  <c r="O232" i="10"/>
  <c r="I188" i="10"/>
  <c r="L188" i="10"/>
  <c r="K240" i="10"/>
  <c r="K239" i="10" s="1"/>
  <c r="K144" i="10"/>
  <c r="K148" i="10" s="1"/>
  <c r="H112" i="10"/>
  <c r="O140" i="10"/>
  <c r="H187" i="10"/>
  <c r="H188" i="10" s="1"/>
  <c r="J239" i="10" l="1"/>
  <c r="J254" i="10" s="1"/>
  <c r="H239" i="10"/>
  <c r="H254" i="10" s="1"/>
  <c r="N254" i="10"/>
  <c r="K254" i="10"/>
  <c r="L148" i="10"/>
  <c r="L233" i="10" s="1"/>
  <c r="L234" i="10" s="1"/>
  <c r="N233" i="10"/>
  <c r="N234" i="10" s="1"/>
  <c r="I233" i="10"/>
  <c r="I234" i="10" s="1"/>
  <c r="P246" i="10"/>
  <c r="P239" i="10" s="1"/>
  <c r="P250" i="10"/>
  <c r="O239" i="10"/>
  <c r="H233" i="10"/>
  <c r="H234" i="10" s="1"/>
  <c r="K233" i="10"/>
  <c r="K234" i="10" s="1"/>
  <c r="L240" i="10"/>
  <c r="L249" i="10"/>
  <c r="M249" i="10" s="1"/>
  <c r="K81" i="5"/>
  <c r="K94" i="5" s="1"/>
  <c r="L239" i="10" l="1"/>
  <c r="M239" i="10" s="1"/>
  <c r="M240" i="10"/>
  <c r="I239" i="10" l="1"/>
  <c r="L254" i="10"/>
  <c r="M254" i="10" s="1"/>
  <c r="I249" i="10"/>
  <c r="H98" i="9"/>
  <c r="I254" i="10" l="1"/>
  <c r="J174" i="9"/>
  <c r="L180" i="5" l="1"/>
  <c r="L195" i="5" s="1"/>
  <c r="K180" i="5"/>
  <c r="K195" i="5" s="1"/>
  <c r="H185" i="9" l="1"/>
  <c r="H140" i="9" l="1"/>
  <c r="K256" i="5" l="1"/>
  <c r="I247" i="9"/>
  <c r="H247" i="9"/>
  <c r="I227" i="9"/>
  <c r="J227" i="9"/>
  <c r="H227" i="9"/>
  <c r="N145" i="5"/>
  <c r="L145" i="5"/>
  <c r="K145" i="5"/>
  <c r="J147" i="9" l="1"/>
  <c r="I147" i="9"/>
  <c r="H147" i="9"/>
  <c r="I167" i="9" l="1"/>
  <c r="J167" i="9"/>
  <c r="H144" i="9" l="1"/>
  <c r="H148" i="9" s="1"/>
  <c r="I141" i="9"/>
  <c r="I144" i="9" s="1"/>
  <c r="J144" i="9"/>
  <c r="I116" i="9"/>
  <c r="I140" i="9" s="1"/>
  <c r="J116" i="9"/>
  <c r="J140" i="9" s="1"/>
  <c r="J148" i="9" l="1"/>
  <c r="I148" i="9"/>
  <c r="I82" i="9"/>
  <c r="J82" i="9"/>
  <c r="H82" i="9"/>
  <c r="H111" i="9"/>
  <c r="I111" i="9"/>
  <c r="J111" i="9"/>
  <c r="I105" i="9"/>
  <c r="J105" i="9"/>
  <c r="H105" i="9"/>
  <c r="I98" i="9"/>
  <c r="J98" i="9"/>
  <c r="H71" i="9"/>
  <c r="I71" i="9"/>
  <c r="J71" i="9"/>
  <c r="H54" i="9"/>
  <c r="J54" i="9"/>
  <c r="I54" i="9"/>
  <c r="L81" i="5" l="1"/>
  <c r="L94" i="5" s="1"/>
  <c r="K169" i="5" l="1"/>
  <c r="K173" i="5" s="1"/>
  <c r="L169" i="5" l="1"/>
  <c r="L173" i="5" s="1"/>
  <c r="H112" i="9" l="1"/>
  <c r="J37" i="9" l="1"/>
  <c r="I37" i="9"/>
  <c r="J253" i="9" l="1"/>
  <c r="I253" i="9"/>
  <c r="H253" i="9"/>
  <c r="J252" i="9"/>
  <c r="I252" i="9"/>
  <c r="H252" i="9"/>
  <c r="J251" i="9"/>
  <c r="I251" i="9"/>
  <c r="H251" i="9"/>
  <c r="J250" i="9"/>
  <c r="I250" i="9"/>
  <c r="H250" i="9"/>
  <c r="J248" i="9"/>
  <c r="I248" i="9"/>
  <c r="J247" i="9"/>
  <c r="J246" i="9"/>
  <c r="I246" i="9"/>
  <c r="H246" i="9"/>
  <c r="J245" i="9"/>
  <c r="I245" i="9"/>
  <c r="H245" i="9"/>
  <c r="H244" i="9"/>
  <c r="I243" i="9"/>
  <c r="H243" i="9"/>
  <c r="J242" i="9"/>
  <c r="I242" i="9"/>
  <c r="H242" i="9"/>
  <c r="J231" i="9"/>
  <c r="I231" i="9"/>
  <c r="H228" i="9"/>
  <c r="H231" i="9" s="1"/>
  <c r="J241" i="9"/>
  <c r="I244" i="9"/>
  <c r="J170" i="9"/>
  <c r="J188" i="9" s="1"/>
  <c r="I170" i="9"/>
  <c r="I188" i="9" s="1"/>
  <c r="H170" i="9"/>
  <c r="H188" i="9" s="1"/>
  <c r="J244" i="9"/>
  <c r="J243" i="9"/>
  <c r="M122" i="9"/>
  <c r="N122" i="9" s="1"/>
  <c r="M121" i="9"/>
  <c r="N121" i="9" s="1"/>
  <c r="I241" i="9" l="1"/>
  <c r="I240" i="9" s="1"/>
  <c r="I239" i="9" s="1"/>
  <c r="H241" i="9"/>
  <c r="H249" i="9"/>
  <c r="H232" i="9"/>
  <c r="J232" i="9"/>
  <c r="J112" i="9"/>
  <c r="J249" i="9"/>
  <c r="I249" i="9"/>
  <c r="J240" i="9"/>
  <c r="J239" i="9" s="1"/>
  <c r="I112" i="9"/>
  <c r="I232" i="9"/>
  <c r="J254" i="9" l="1"/>
  <c r="I254" i="9"/>
  <c r="H240" i="9"/>
  <c r="H239" i="9" s="1"/>
  <c r="H254" i="9" s="1"/>
  <c r="I233" i="9"/>
  <c r="I234" i="9" s="1"/>
  <c r="J233" i="9"/>
  <c r="J234" i="9" s="1"/>
  <c r="H233" i="9"/>
  <c r="H234" i="9" s="1"/>
  <c r="K176" i="5" l="1"/>
  <c r="N230" i="5" l="1"/>
  <c r="L230" i="5"/>
  <c r="L235" i="5" s="1"/>
  <c r="K230" i="5"/>
  <c r="K24" i="5" l="1"/>
  <c r="K35" i="5" l="1"/>
  <c r="L24" i="5"/>
  <c r="L35" i="5" s="1"/>
  <c r="K235" i="5" l="1"/>
  <c r="K78" i="5" l="1"/>
  <c r="K236" i="5" l="1"/>
  <c r="K239" i="5" s="1"/>
  <c r="K240" i="5" l="1"/>
  <c r="K142" i="5"/>
  <c r="K149" i="5" s="1"/>
  <c r="N142" i="5"/>
  <c r="K38" i="5"/>
  <c r="K53" i="5"/>
  <c r="K67" i="5" s="1"/>
  <c r="K50" i="5" l="1"/>
  <c r="K250" i="5"/>
  <c r="K106" i="5"/>
  <c r="N101" i="5" l="1"/>
  <c r="L101" i="5"/>
  <c r="K101" i="5"/>
  <c r="N78" i="5"/>
  <c r="L78" i="5"/>
  <c r="N67" i="5"/>
  <c r="N50" i="5"/>
  <c r="K107" i="5" l="1"/>
  <c r="N35" i="5"/>
  <c r="K262" i="5" l="1"/>
  <c r="K261" i="5"/>
  <c r="K260" i="5"/>
  <c r="L176" i="5" l="1"/>
  <c r="L196" i="5" s="1"/>
  <c r="N176" i="5"/>
  <c r="N235" i="5" l="1"/>
  <c r="N115" i="5" l="1"/>
  <c r="L115" i="5"/>
  <c r="L135" i="5" s="1"/>
  <c r="Q115" i="5"/>
  <c r="S115" i="5" s="1"/>
  <c r="Q114" i="5"/>
  <c r="S114" i="5" s="1"/>
  <c r="L149" i="5" l="1"/>
  <c r="N135" i="5"/>
  <c r="N149" i="5" s="1"/>
  <c r="N257" i="5"/>
  <c r="L257" i="5"/>
  <c r="K257" i="5"/>
  <c r="N254" i="5"/>
  <c r="L254" i="5"/>
  <c r="K254" i="5"/>
  <c r="N259" i="5"/>
  <c r="L259" i="5"/>
  <c r="K259" i="5"/>
  <c r="K258" i="5" s="1"/>
  <c r="L106" i="5" l="1"/>
  <c r="N106" i="5"/>
  <c r="L107" i="5" l="1"/>
  <c r="N260" i="5" l="1"/>
  <c r="L260" i="5"/>
  <c r="L253" i="5" l="1"/>
  <c r="L250" i="5" l="1"/>
  <c r="N250" i="5" l="1"/>
  <c r="N253" i="5" l="1"/>
  <c r="N252" i="5"/>
  <c r="L252" i="5"/>
  <c r="N251" i="5"/>
  <c r="L251" i="5"/>
  <c r="N262" i="5"/>
  <c r="L249" i="5" l="1"/>
  <c r="K255" i="5" l="1"/>
  <c r="K252" i="5"/>
  <c r="K251" i="5"/>
  <c r="N249" i="5"/>
  <c r="N255" i="5"/>
  <c r="N256" i="5"/>
  <c r="N258" i="5"/>
  <c r="L262" i="5"/>
  <c r="L261" i="5"/>
  <c r="L255" i="5"/>
  <c r="L256" i="5"/>
  <c r="K249" i="5" l="1"/>
  <c r="K248" i="5" s="1"/>
  <c r="L258" i="5"/>
  <c r="L248" i="5"/>
  <c r="L263" i="5" s="1"/>
  <c r="N248" i="5"/>
  <c r="K263" i="5" l="1"/>
  <c r="N263" i="5"/>
  <c r="L240" i="5" l="1"/>
  <c r="N239" i="5"/>
  <c r="K196" i="5"/>
  <c r="N173" i="5"/>
  <c r="N196" i="5" s="1"/>
  <c r="K241" i="5" l="1"/>
  <c r="N240" i="5"/>
  <c r="K242" i="5" l="1"/>
  <c r="L241" i="5" l="1"/>
  <c r="L242" i="5" s="1"/>
  <c r="N107" i="5"/>
  <c r="N241" i="5" s="1"/>
  <c r="N242" i="5" s="1"/>
  <c r="O253" i="10"/>
  <c r="P253" i="10" s="1"/>
  <c r="O112" i="10"/>
  <c r="O233" i="10" s="1"/>
  <c r="O234" i="10" s="1"/>
  <c r="O249" i="10" l="1"/>
  <c r="P249" i="10" l="1"/>
  <c r="O254" i="10"/>
  <c r="P254" i="10" l="1"/>
</calcChain>
</file>

<file path=xl/comments1.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K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8" authorId="0" shapeId="0">
      <text>
        <r>
          <rPr>
            <b/>
            <sz val="9"/>
            <color indexed="81"/>
            <rFont val="Tahoma"/>
            <family val="2"/>
            <charset val="186"/>
          </rPr>
          <t>SPG protokolas 2016-09-23 Nr. STR-12</t>
        </r>
        <r>
          <rPr>
            <sz val="9"/>
            <color indexed="81"/>
            <rFont val="Tahoma"/>
            <family val="2"/>
            <charset val="186"/>
          </rPr>
          <t xml:space="preserve">
</t>
        </r>
      </text>
    </comment>
    <comment ref="E55"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L134" authorId="0" shapeId="0">
      <text>
        <r>
          <rPr>
            <sz val="9"/>
            <color indexed="81"/>
            <rFont val="Tahoma"/>
            <family val="2"/>
            <charset val="186"/>
          </rPr>
          <t xml:space="preserve">iš viso bus integruota iki 2020 m.  205 vieš. transporto priemonių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58" authorId="0" shapeId="0">
      <text>
        <r>
          <rPr>
            <sz val="9"/>
            <color indexed="81"/>
            <rFont val="Tahoma"/>
            <family val="2"/>
            <charset val="186"/>
          </rPr>
          <t>Pagal projektą "Informacinės kelio ženklų sistemos įrengimas", pabaiga 2018 m.</t>
        </r>
      </text>
    </comment>
    <comment ref="K159" authorId="0" shapeId="0">
      <text>
        <r>
          <rPr>
            <sz val="9"/>
            <color indexed="81"/>
            <rFont val="Tahoma"/>
            <family val="2"/>
            <charset val="186"/>
          </rPr>
          <t xml:space="preserve">Pagal sutartį "Dekoratyvinių kelio ženklų stovų įrengimas", pabaiga 2018 m. </t>
        </r>
      </text>
    </comment>
    <comment ref="K160"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K169"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5"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8"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82" authorId="0" shapeId="0">
      <text>
        <r>
          <rPr>
            <sz val="9"/>
            <color indexed="81"/>
            <rFont val="Tahoma"/>
            <family val="2"/>
            <charset val="186"/>
          </rPr>
          <t>Priemonė įtraukta pagal darnaus judumo priemonių planą, el. paštu</t>
        </r>
      </text>
    </comment>
    <comment ref="E18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N217"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K220"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K22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L224"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List>
</comments>
</file>

<file path=xl/comments2.xml><?xml version="1.0" encoding="utf-8"?>
<comments xmlns="http://schemas.openxmlformats.org/spreadsheetml/2006/main">
  <authors>
    <author>Audra Cepiene</author>
    <author>Saulina Paulauskiene</author>
  </authors>
  <commentList>
    <comment ref="E15"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E19"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29"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8"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Q44"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D47" authorId="0" shapeId="0">
      <text>
        <r>
          <rPr>
            <b/>
            <sz val="9"/>
            <color indexed="81"/>
            <rFont val="Tahoma"/>
            <family val="2"/>
            <charset val="186"/>
          </rPr>
          <t>SPG protokolas 2016-09-23 Nr. STR-12</t>
        </r>
        <r>
          <rPr>
            <sz val="9"/>
            <color indexed="81"/>
            <rFont val="Tahoma"/>
            <family val="2"/>
            <charset val="186"/>
          </rPr>
          <t xml:space="preserve">
</t>
        </r>
      </text>
    </comment>
    <comment ref="E54"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Q64" authorId="0" shapeId="0">
      <text>
        <r>
          <rPr>
            <sz val="9"/>
            <color indexed="81"/>
            <rFont val="Tahoma"/>
            <family val="2"/>
            <charset val="186"/>
          </rPr>
          <t xml:space="preserve">Vienos perėjos techninis proejktas parengtas 2017 m. 2018 m. - kitos perėjos 
</t>
        </r>
      </text>
    </comment>
    <comment ref="D69"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G70" authorId="0" shapeId="0">
      <text>
        <r>
          <rPr>
            <sz val="9"/>
            <color indexed="81"/>
            <rFont val="Tahoma"/>
            <family val="2"/>
            <charset val="186"/>
          </rPr>
          <t>Gyventojų lėšos</t>
        </r>
      </text>
    </comment>
    <comment ref="E7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76" authorId="0" shapeId="0">
      <text>
        <r>
          <rPr>
            <sz val="9"/>
            <color indexed="81"/>
            <rFont val="Tahoma"/>
            <family val="2"/>
            <charset val="186"/>
          </rPr>
          <t xml:space="preserve">AB „Klaipėdos nafta“ skirtia tikslines lėšas 175.000 Eur 
</t>
        </r>
      </text>
    </comment>
    <comment ref="D79" authorId="0" shapeId="0">
      <text>
        <r>
          <rPr>
            <sz val="9"/>
            <color indexed="81"/>
            <rFont val="Tahoma"/>
            <family val="2"/>
            <charset val="186"/>
          </rPr>
          <t>SPG protokolas 2016-09-23 Nr. STR-12</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9"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4"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U123" authorId="0" shapeId="0">
      <text>
        <r>
          <rPr>
            <sz val="9"/>
            <color indexed="81"/>
            <rFont val="Tahoma"/>
            <family val="2"/>
            <charset val="186"/>
          </rPr>
          <t>Klaipėdos miesto savivaldybės mero 2016-03-07 potvarkiu Nr. M-21 sudarytos darbo grupės 2018-03-20 protokolo Nr. TAR1-40 1 punktą, VšĮ ,,Klaipėdos keleivinis transportas“ 2018-03-30 raštu Nr. S5-246 pateikė  informaciją dėl nemokamo važiavimo viešuoju transportu renginių metu</t>
        </r>
      </text>
    </comment>
    <comment ref="R134" authorId="0" shapeId="0">
      <text>
        <r>
          <rPr>
            <sz val="9"/>
            <color indexed="81"/>
            <rFont val="Tahoma"/>
            <family val="2"/>
            <charset val="186"/>
          </rPr>
          <t xml:space="preserve">iš viso bus integruota iki 2020 m.  205 vieš. transporto priemonių
</t>
        </r>
      </text>
    </comment>
    <comment ref="E155"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58" authorId="0" shapeId="0">
      <text>
        <r>
          <rPr>
            <sz val="9"/>
            <color indexed="81"/>
            <rFont val="Tahoma"/>
            <family val="2"/>
            <charset val="186"/>
          </rPr>
          <t>Pagal projektą "Informacinės kelio ženklų sistemos įrengimas", pabaiga 2018 m.</t>
        </r>
      </text>
    </comment>
    <comment ref="Q159" authorId="0" shapeId="0">
      <text>
        <r>
          <rPr>
            <sz val="9"/>
            <color indexed="81"/>
            <rFont val="Tahoma"/>
            <family val="2"/>
            <charset val="186"/>
          </rPr>
          <t xml:space="preserve">Pagal sutartį "Dekoratyvinių kelio ženklų stovų įrengimas", pabaiga 2018 m. </t>
        </r>
      </text>
    </comment>
    <comment ref="Q160" authorId="0" shapeId="0">
      <text>
        <r>
          <rPr>
            <sz val="9"/>
            <color indexed="81"/>
            <rFont val="Tahoma"/>
            <family val="2"/>
            <charset val="186"/>
          </rPr>
          <t>(Tilžės g. ir Sausio 15-osios g. sankryžoje, Baltijos prospekte atkarpoje tarp Šilutės pl. ir Taikos pr., Šilutės pl. prie AB „Klaipėdos energija“, Taikos pr. ties Žvejų rūmais)</t>
        </r>
      </text>
    </comment>
    <comment ref="Q169"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E175"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E178"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D182" authorId="0" shapeId="0">
      <text>
        <r>
          <rPr>
            <sz val="9"/>
            <color indexed="81"/>
            <rFont val="Tahoma"/>
            <family val="2"/>
            <charset val="186"/>
          </rPr>
          <t>Priemonė įtraukta pagal darnaus judumo priemonių planą, el. paštu</t>
        </r>
      </text>
    </comment>
    <comment ref="E18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E185"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86"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r>
          <rPr>
            <b/>
            <sz val="9"/>
            <color indexed="81"/>
            <rFont val="Tahoma"/>
            <family val="2"/>
            <charset val="186"/>
          </rPr>
          <t xml:space="preserve">
</t>
        </r>
        <r>
          <rPr>
            <sz val="9"/>
            <color indexed="81"/>
            <rFont val="Tahoma"/>
            <family val="2"/>
            <charset val="186"/>
          </rPr>
          <t xml:space="preserve">
</t>
        </r>
      </text>
    </comment>
    <comment ref="Q186" authorId="0" shapeId="0">
      <text>
        <r>
          <rPr>
            <sz val="9"/>
            <color indexed="81"/>
            <rFont val="Tahoma"/>
            <family val="2"/>
            <charset val="186"/>
          </rPr>
          <t xml:space="preserve">Piliavietės aikštelė – 2 vnt., prie savivaldybės pastato – 2 vnt., P&amp;R aikštelėje – 1 vnt.) </t>
        </r>
      </text>
    </comment>
    <comment ref="T217" authorId="1" shapeId="0">
      <text>
        <r>
          <rPr>
            <b/>
            <sz val="9"/>
            <color indexed="81"/>
            <rFont val="Tahoma"/>
            <family val="2"/>
            <charset val="186"/>
          </rPr>
          <t xml:space="preserve">Regina Intienė:
</t>
        </r>
        <r>
          <rPr>
            <sz val="9"/>
            <color indexed="81"/>
            <rFont val="Tahoma"/>
            <family val="2"/>
            <charset val="186"/>
          </rPr>
          <t>duomenys pateikti vadovaujantis 2017-03-30 Klaipėdos miesto savivaldybės Tarybos sprendimu Nr. T2-69 patvirtintu vietinės reikšmės kelių sąrašu</t>
        </r>
      </text>
    </comment>
    <comment ref="Q220"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Q224"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R224"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H240" authorId="0" shapeId="0">
      <text>
        <r>
          <rPr>
            <b/>
            <sz val="9"/>
            <color indexed="81"/>
            <rFont val="Tahoma"/>
            <family val="2"/>
            <charset val="186"/>
          </rPr>
          <t>18 447 pirminis SVP</t>
        </r>
        <r>
          <rPr>
            <sz val="9"/>
            <color indexed="81"/>
            <rFont val="Tahoma"/>
            <family val="2"/>
            <charset val="186"/>
          </rPr>
          <t xml:space="preserve">
</t>
        </r>
      </text>
    </comment>
    <comment ref="I240" authorId="0" shapeId="0">
      <text>
        <r>
          <rPr>
            <b/>
            <sz val="9"/>
            <color indexed="81"/>
            <rFont val="Tahoma"/>
            <family val="2"/>
            <charset val="186"/>
          </rPr>
          <t xml:space="preserve">11578,3 biudžetas
</t>
        </r>
        <r>
          <rPr>
            <sz val="9"/>
            <color indexed="81"/>
            <rFont val="Tahoma"/>
            <family val="2"/>
            <charset val="186"/>
          </rPr>
          <t xml:space="preserve">
</t>
        </r>
      </text>
    </comment>
    <comment ref="K240" authorId="0" shapeId="0">
      <text>
        <r>
          <rPr>
            <b/>
            <sz val="9"/>
            <color indexed="81"/>
            <rFont val="Tahoma"/>
            <family val="2"/>
            <charset val="186"/>
          </rPr>
          <t>27801,9</t>
        </r>
        <r>
          <rPr>
            <sz val="9"/>
            <color indexed="81"/>
            <rFont val="Tahoma"/>
            <family val="2"/>
            <charset val="186"/>
          </rPr>
          <t xml:space="preserve">
</t>
        </r>
      </text>
    </comment>
    <comment ref="N240" authorId="0" shapeId="0">
      <text>
        <r>
          <rPr>
            <b/>
            <sz val="9"/>
            <color indexed="81"/>
            <rFont val="Tahoma"/>
            <family val="2"/>
            <charset val="186"/>
          </rPr>
          <t xml:space="preserve">30013,1
</t>
        </r>
        <r>
          <rPr>
            <sz val="9"/>
            <color indexed="81"/>
            <rFont val="Tahoma"/>
            <family val="2"/>
            <charset val="186"/>
          </rPr>
          <t xml:space="preserve">
</t>
        </r>
      </text>
    </comment>
    <comment ref="I245" authorId="0" shapeId="0">
      <text>
        <r>
          <rPr>
            <b/>
            <sz val="9"/>
            <color indexed="81"/>
            <rFont val="Tahoma"/>
            <family val="2"/>
            <charset val="186"/>
          </rPr>
          <t>3991,4,</t>
        </r>
        <r>
          <rPr>
            <sz val="9"/>
            <color indexed="81"/>
            <rFont val="Tahoma"/>
            <family val="2"/>
            <charset val="186"/>
          </rPr>
          <t xml:space="preserve"> iš jų sąraše 3199,1
Tilžė 500
Jūrinink 292,3
</t>
        </r>
      </text>
    </comment>
  </commentList>
</comments>
</file>

<file path=xl/comments3.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7"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21" authorId="0" shapeId="0">
      <text>
        <r>
          <rPr>
            <b/>
            <sz val="9"/>
            <color indexed="81"/>
            <rFont val="Tahoma"/>
            <family val="2"/>
            <charset val="186"/>
          </rPr>
          <t xml:space="preserve">P2.1.2.8
</t>
        </r>
        <r>
          <rPr>
            <sz val="9"/>
            <color indexed="81"/>
            <rFont val="Tahoma"/>
            <family val="2"/>
            <charset val="186"/>
          </rPr>
          <t xml:space="preserve">Centrinėje miesto dalyje suformuoti pėsčiųjų takų, zonų ir gatvių tinklą </t>
        </r>
      </text>
    </comment>
    <comment ref="J27"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6"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O40"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44" authorId="0" shapeId="0">
      <text>
        <r>
          <rPr>
            <b/>
            <sz val="9"/>
            <color indexed="81"/>
            <rFont val="Tahoma"/>
            <family val="2"/>
            <charset val="186"/>
          </rPr>
          <t>SPG protokolas 2016-09-23 Nr. STR-12</t>
        </r>
        <r>
          <rPr>
            <sz val="9"/>
            <color indexed="81"/>
            <rFont val="Tahoma"/>
            <family val="2"/>
            <charset val="186"/>
          </rPr>
          <t xml:space="preserve">
</t>
        </r>
      </text>
    </comment>
    <comment ref="F5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K53" authorId="0" shapeId="0">
      <text>
        <r>
          <rPr>
            <b/>
            <sz val="9"/>
            <color indexed="81"/>
            <rFont val="Tahoma"/>
            <family val="2"/>
            <charset val="186"/>
          </rPr>
          <t>minusuotas likutis</t>
        </r>
        <r>
          <rPr>
            <sz val="9"/>
            <color indexed="81"/>
            <rFont val="Tahoma"/>
            <family val="2"/>
            <charset val="186"/>
          </rPr>
          <t xml:space="preserve">
</t>
        </r>
      </text>
    </comment>
    <comment ref="O62" authorId="0" shapeId="0">
      <text>
        <r>
          <rPr>
            <sz val="9"/>
            <color indexed="81"/>
            <rFont val="Tahoma"/>
            <family val="2"/>
            <charset val="186"/>
          </rPr>
          <t xml:space="preserve">parengta vienos perėjos techninis projektas 
</t>
        </r>
      </text>
    </comment>
    <comment ref="E65" authorId="0" shapeId="0">
      <text>
        <r>
          <rPr>
            <b/>
            <sz val="9"/>
            <color indexed="81"/>
            <rFont val="Tahoma"/>
            <family val="2"/>
            <charset val="186"/>
          </rPr>
          <t>Koreguojamas pavadinimas:</t>
        </r>
        <r>
          <rPr>
            <sz val="9"/>
            <color indexed="81"/>
            <rFont val="Tahoma"/>
            <family val="2"/>
            <charset val="186"/>
          </rPr>
          <t xml:space="preserve"> buvo Šilutės plento rekonstravimas: (I etapas – nuo Tilžės g. iki Kauno g.; II etapas – nuo Kauno g. iki Dubysos g.)</t>
        </r>
      </text>
    </comment>
    <comment ref="J66" authorId="0" shapeId="0">
      <text>
        <r>
          <rPr>
            <sz val="9"/>
            <color indexed="81"/>
            <rFont val="Tahoma"/>
            <family val="2"/>
            <charset val="186"/>
          </rPr>
          <t>Gyventojų lėšos</t>
        </r>
      </text>
    </comment>
    <comment ref="F68"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72" authorId="0" shapeId="0">
      <text>
        <r>
          <rPr>
            <sz val="9"/>
            <color indexed="81"/>
            <rFont val="Tahoma"/>
            <family val="2"/>
            <charset val="186"/>
          </rPr>
          <t xml:space="preserve">AB „Klaipėdos nafta“ skirtia tikslines lėšas 175.000 Eur 
</t>
        </r>
      </text>
    </comment>
    <comment ref="E75" authorId="0" shapeId="0">
      <text>
        <r>
          <rPr>
            <sz val="9"/>
            <color indexed="81"/>
            <rFont val="Tahoma"/>
            <family val="2"/>
            <charset val="186"/>
          </rPr>
          <t>SPG protokolas 2016-09-23 Nr. STR-12</t>
        </r>
      </text>
    </comment>
    <comment ref="F79"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O88" authorId="0" shapeId="0">
      <text>
        <r>
          <rPr>
            <sz val="9"/>
            <color indexed="81"/>
            <rFont val="Tahoma"/>
            <family val="2"/>
            <charset val="186"/>
          </rPr>
          <t xml:space="preserve">Techninis parengtas
</t>
        </r>
      </text>
    </comment>
    <comment ref="F9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10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P128" authorId="0" shapeId="0">
      <text>
        <r>
          <rPr>
            <sz val="9"/>
            <color indexed="81"/>
            <rFont val="Tahoma"/>
            <family val="2"/>
            <charset val="186"/>
          </rPr>
          <t xml:space="preserve">iš viso bus integruota iki 2020 m.  205 vieš. transporto priemonių
</t>
        </r>
      </text>
    </comment>
    <comment ref="E143" authorId="0" shapeId="0">
      <text>
        <r>
          <rPr>
            <sz val="9"/>
            <color indexed="81"/>
            <rFont val="Tahoma"/>
            <family val="2"/>
            <charset val="186"/>
          </rPr>
          <t>Projektas vykdomas kartu su Autobusų parku</t>
        </r>
      </text>
    </comment>
    <comment ref="F15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O158" authorId="0" shapeId="0">
      <text>
        <r>
          <rPr>
            <sz val="9"/>
            <color indexed="81"/>
            <rFont val="Tahoma"/>
            <family val="2"/>
            <charset val="186"/>
          </rPr>
          <t>Pagal projektą "Informacinės kelio ženklų sistemos įrengimas", pabaiga 2018 m.</t>
        </r>
      </text>
    </comment>
    <comment ref="O159" authorId="0" shapeId="0">
      <text>
        <r>
          <rPr>
            <sz val="9"/>
            <color indexed="81"/>
            <rFont val="Tahoma"/>
            <family val="2"/>
            <charset val="186"/>
          </rPr>
          <t xml:space="preserve">Pagal sutartį "Dekoratyvinių kelio ženklų stovų įrengimas", pabaiga 2018 m. </t>
        </r>
      </text>
    </comment>
    <comment ref="K169" authorId="0" shapeId="0">
      <text>
        <r>
          <rPr>
            <sz val="9"/>
            <color indexed="81"/>
            <rFont val="Tahoma"/>
            <family val="2"/>
            <charset val="186"/>
          </rPr>
          <t>Patobulinta ir ekploatuojama programėlė (su start/stop funkcija) išmaniesiems įrenginiais stovėjimo mokesčiui apmokėti, 12 tūkst. eur SB(VR);
Įrengta bankinių kortelių skaitytuvų stovėjimo bilietų automatuose 10 vnt. 30 tūkst. eur SB(VR)</t>
        </r>
      </text>
    </comment>
    <comment ref="L169" authorId="0" shapeId="0">
      <text>
        <r>
          <rPr>
            <sz val="9"/>
            <color indexed="81"/>
            <rFont val="Tahoma"/>
            <family val="2"/>
            <charset val="186"/>
          </rPr>
          <t>Patobulinta ir ekploatuojama programėlė (su start/stop funkcija) išmaniesiems įrenginiais stovėjimo mokesčiui apmokėti, 12 tūkst. eur SB(VR);</t>
        </r>
      </text>
    </comment>
    <comment ref="O175" authorId="0" shapeId="0">
      <text>
        <r>
          <rPr>
            <sz val="9"/>
            <color indexed="81"/>
            <rFont val="Tahoma"/>
            <family val="2"/>
            <charset val="186"/>
          </rPr>
          <t xml:space="preserve">2015 m. pasirašytos </t>
        </r>
        <r>
          <rPr>
            <b/>
            <sz val="9"/>
            <color indexed="81"/>
            <rFont val="Tahoma"/>
            <family val="2"/>
            <charset val="186"/>
          </rPr>
          <t xml:space="preserve">2 </t>
        </r>
        <r>
          <rPr>
            <sz val="9"/>
            <color indexed="81"/>
            <rFont val="Tahoma"/>
            <family val="2"/>
            <charset val="186"/>
          </rPr>
          <t xml:space="preserve">greičio matuoklų nuomos sutartys, galioja 36 mėn.;
2017-10-09 pasirašytos </t>
        </r>
        <r>
          <rPr>
            <b/>
            <sz val="9"/>
            <color indexed="81"/>
            <rFont val="Tahoma"/>
            <family val="2"/>
            <charset val="186"/>
          </rPr>
          <t>3</t>
        </r>
        <r>
          <rPr>
            <sz val="9"/>
            <color indexed="81"/>
            <rFont val="Tahoma"/>
            <family val="2"/>
            <charset val="186"/>
          </rPr>
          <t xml:space="preserve"> greičio matuoklių nuomos sutartys, galioja 35 mėn.;
2017-10 derinamos sąlygos dėl </t>
        </r>
        <r>
          <rPr>
            <b/>
            <sz val="9"/>
            <color indexed="81"/>
            <rFont val="Tahoma"/>
            <family val="2"/>
            <charset val="186"/>
          </rPr>
          <t>2</t>
        </r>
        <r>
          <rPr>
            <sz val="9"/>
            <color indexed="81"/>
            <rFont val="Tahoma"/>
            <family val="2"/>
            <charset val="186"/>
          </rPr>
          <t xml:space="preserve"> greičio matuoklių įsigijimo </t>
        </r>
      </text>
    </comment>
    <comment ref="F179" authorId="0" shapeId="0">
      <text>
        <r>
          <rPr>
            <b/>
            <sz val="9"/>
            <color indexed="81"/>
            <rFont val="Tahoma"/>
            <family val="2"/>
            <charset val="186"/>
          </rPr>
          <t xml:space="preserve">KSP 2.1.2.10 </t>
        </r>
        <r>
          <rPr>
            <sz val="9"/>
            <color indexed="81"/>
            <rFont val="Tahoma"/>
            <family val="2"/>
            <charset val="186"/>
          </rPr>
          <t xml:space="preserve">Parengti ir įdiegti koordinuotą šviesoforų reguliavimo ir valdymo sistemą </t>
        </r>
      </text>
    </comment>
    <comment ref="F182" authorId="0" shapeId="0">
      <text>
        <r>
          <rPr>
            <b/>
            <sz val="9"/>
            <color indexed="81"/>
            <rFont val="Tahoma"/>
            <family val="2"/>
            <charset val="186"/>
          </rPr>
          <t xml:space="preserve">2.1.2.5. </t>
        </r>
        <r>
          <rPr>
            <sz val="9"/>
            <color indexed="81"/>
            <rFont val="Tahoma"/>
            <family val="2"/>
            <charset val="186"/>
          </rPr>
          <t xml:space="preserve">Sudaryti sąlygas naujų ekologiškų viešojo transporto rūšių atsiradimui
</t>
        </r>
      </text>
    </comment>
    <comment ref="F185"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E188" authorId="0" shapeId="0">
      <text>
        <r>
          <rPr>
            <sz val="9"/>
            <color indexed="81"/>
            <rFont val="Tahoma"/>
            <family val="2"/>
            <charset val="186"/>
          </rPr>
          <t>Priemonė įtraukta pagal darnaus judumo priemonių planą, el. paštu</t>
        </r>
      </text>
    </comment>
    <comment ref="F18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r>
          <rPr>
            <b/>
            <sz val="9"/>
            <color indexed="81"/>
            <rFont val="Tahoma"/>
            <family val="2"/>
            <charset val="186"/>
          </rPr>
          <t xml:space="preserve">2.1.2.8 </t>
        </r>
        <r>
          <rPr>
            <sz val="9"/>
            <color indexed="81"/>
            <rFont val="Tahoma"/>
            <family val="2"/>
            <charset val="186"/>
          </rPr>
          <t>Centrinėje miesto dalyje suformuoti pėsčiųjų takų, zonų ir gatvių tinklą 2.1.2.7</t>
        </r>
      </text>
    </comment>
    <comment ref="O188" authorId="0" shapeId="0">
      <text>
        <r>
          <rPr>
            <sz val="9"/>
            <color indexed="81"/>
            <rFont val="Tahoma"/>
            <family val="2"/>
            <charset val="186"/>
          </rPr>
          <t>2019 m. – 50 000 eurų iš SB techninio projekto parengimui, 2020 m. – 850 000 eurų iš ES ir 150 000 eurų iš SB projekto įgyvendinimui.</t>
        </r>
      </text>
    </comment>
    <comment ref="F191"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92" authorId="0" shapeId="0">
      <text>
        <r>
          <rPr>
            <b/>
            <sz val="9"/>
            <color indexed="81"/>
            <rFont val="Tahoma"/>
            <family val="2"/>
            <charset val="186"/>
          </rPr>
          <t>Audra Cepiene:</t>
        </r>
        <r>
          <rPr>
            <sz val="9"/>
            <color indexed="81"/>
            <rFont val="Tahoma"/>
            <family val="2"/>
            <charset val="186"/>
          </rPr>
          <t xml:space="preserve">
 Klaipėdos miesto savivaldybės administracijos direktorius 2017-08-30 įsakymu Nr. AD1-2155 ,,Dėl elektromobilių įkrovimo stotelių kortelių išdavimo“ 2.2.1 papunkčiu Miesto ūkio departamentui pavedė organizuoti ,,...Klaipėdos miesto savivaldybei priklausančių elektromobilių įkrovimo stotelių eksploatavimą ir priežiūrą...“. Vykdyti elektromobilių įkrovimo stotelių eksploatavimą ir priežiūrą Miesto ūkio departamente nėra kompetentingų specialistų.  
Pažymėtina, kad Klaipėdos mieste šiuo metu įrengtos penkios (Piliavietės aikštelė – 2 vnt., prie savivaldybės pastato – 2 vnt., P&amp;R aikštelėje – 1 vnt.) viešos elektromobilių įkrovimo stotelės, ateityje jų skaičius tik didės. Paskutiniu metu buvo atvejų, kai elektromobilių įkrovimo stotelės sugęsta, o prižiūrėti jas ir eksploatuoti nėra paskirta jokiai įmonei. </t>
        </r>
      </text>
    </comment>
    <comment ref="F192" authorId="0" shapeId="0">
      <text>
        <r>
          <rPr>
            <b/>
            <sz val="9"/>
            <color indexed="81"/>
            <rFont val="Tahoma"/>
            <family val="2"/>
            <charset val="186"/>
          </rPr>
          <t>2.1.2.5.</t>
        </r>
        <r>
          <rPr>
            <sz val="9"/>
            <color indexed="81"/>
            <rFont val="Tahoma"/>
            <family val="2"/>
            <charset val="186"/>
          </rPr>
          <t xml:space="preserve"> Sudaryti sąlygas naujų ekologiškų viešojo transporto rūšių atsiradimui</t>
        </r>
      </text>
    </comment>
    <comment ref="O192" authorId="0" shapeId="0">
      <text>
        <r>
          <rPr>
            <sz val="9"/>
            <color indexed="81"/>
            <rFont val="Tahoma"/>
            <family val="2"/>
            <charset val="186"/>
          </rPr>
          <t xml:space="preserve">Piliavietės aikštelė – 2 vnt., prie savivaldybės pastato – 2 vnt., P&amp;R aikštelėje – 1 vnt.) </t>
        </r>
      </text>
    </comment>
    <comment ref="O225" authorId="0" shapeId="0">
      <text>
        <r>
          <rPr>
            <b/>
            <sz val="9"/>
            <color indexed="81"/>
            <rFont val="Tahoma"/>
            <family val="2"/>
            <charset val="186"/>
          </rPr>
          <t xml:space="preserve">2018 m.planas
</t>
        </r>
        <r>
          <rPr>
            <sz val="9"/>
            <color indexed="81"/>
            <rFont val="Tahoma"/>
            <family val="2"/>
            <charset val="186"/>
          </rPr>
          <t>- Smiltelės g. (atskiros atkarpos);
- Baltijos pr. (atskiros atkarpos);
- Birutės g. (nuo Sausio 15-osios g. iki Bijūnų g.);
- Bijūnų g. (nuo Taikos pr. iki Birutės g.);
- Tilžės g. (nuo Sausio 15-osios g. iki Komunarų g.);
- Senamiesčio gatvės (pagal poreikį);</t>
        </r>
        <r>
          <rPr>
            <b/>
            <sz val="9"/>
            <color indexed="81"/>
            <rFont val="Tahoma"/>
            <family val="2"/>
            <charset val="186"/>
          </rPr>
          <t xml:space="preserve">
</t>
        </r>
        <r>
          <rPr>
            <sz val="9"/>
            <color indexed="81"/>
            <rFont val="Tahoma"/>
            <family val="2"/>
            <charset val="186"/>
          </rPr>
          <t xml:space="preserve">- Panevėžio g. (nuo Dailidžių g. iki Plytinės g.);
- Verpėjų g. (atskiros atkarpos);
- Kalvos g.;
- J. Zembrickio g.;
- Pievų tako g.
</t>
        </r>
      </text>
    </comment>
    <comment ref="O230" authorId="0" shapeId="0">
      <text>
        <r>
          <rPr>
            <sz val="9"/>
            <color indexed="81"/>
            <rFont val="Tahoma"/>
            <family val="2"/>
            <charset val="186"/>
          </rPr>
          <t xml:space="preserve">UKD 2017 metams pateikė poreikį 2849,8 tūkst. Eur suremontuoti 74 įstaigų kiemus ir privažiavimus. Lėšos paskirstytos per tris metus, 2017-06 29 VS raštaspapildyti priemonės 06.01.04.01.05 „ Kiemų ir privažiuojamųjų kelių prie biudžetinių įstaigų dangos remontas“ rodiklius, įtraukiant Klaipėdos suaugusių gimnaziją (pagal 2017-06-27 VS-3833).
</t>
        </r>
      </text>
    </comment>
    <comment ref="P230" authorId="0" shapeId="0">
      <text>
        <r>
          <rPr>
            <b/>
            <sz val="9"/>
            <color indexed="81"/>
            <rFont val="Tahoma"/>
            <family val="2"/>
            <charset val="186"/>
          </rPr>
          <t>2018 m.</t>
        </r>
        <r>
          <rPr>
            <sz val="9"/>
            <color indexed="81"/>
            <rFont val="Tahoma"/>
            <family val="2"/>
            <charset val="186"/>
          </rPr>
          <t xml:space="preserve"> įstaigos: 8 mokyklos; 11 lopšelių- darželių, Marijos Montesori mokykla
</t>
        </r>
      </text>
    </comment>
    <comment ref="K234" authorId="0" shapeId="0">
      <text>
        <r>
          <rPr>
            <sz val="9"/>
            <color indexed="81"/>
            <rFont val="Tahoma"/>
            <family val="2"/>
            <charset val="186"/>
          </rPr>
          <t>2017-11-29 buvo nustatyta, kad yra nukritusi viena stambiagabaritė Biržos tilto gelžbetoninė konstrukcija– kontrasvoris (vienas iš esamų šešių), išlyginanti atidaromos perdangos pusiausvyrą. Tai viena iš pagrindinių tilto konstrukcijų. Kad atlikti remonto darbus, reikalinga atlikti ekspertizės paslaugas, todėl yra pradėtos viešojo pirkimo procedūros šiai paslaugai pirkti. Dėl šios priežasties prašome  Susisiekimo sistemos priežiūros ir plėtros programos Nr. 6  priemonės 06.01.04.01.05. „Tiltų ir kelio statinių priežiūra“ dalį 2017 metais nepanaudotų savivaldybės biudžeto lėšų sumą (6.000,00 Eur) perkelti į 2018 metus.</t>
        </r>
      </text>
    </comment>
    <comment ref="K253" authorId="0" shapeId="0">
      <text>
        <r>
          <rPr>
            <b/>
            <sz val="9"/>
            <color indexed="81"/>
            <rFont val="Tahoma"/>
            <family val="2"/>
            <charset val="186"/>
          </rPr>
          <t xml:space="preserve">3991,4
</t>
        </r>
      </text>
    </comment>
  </commentList>
</comments>
</file>

<file path=xl/sharedStrings.xml><?xml version="1.0" encoding="utf-8"?>
<sst xmlns="http://schemas.openxmlformats.org/spreadsheetml/2006/main" count="1659" uniqueCount="424">
  <si>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</si>
  <si>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</si>
  <si>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</si>
  <si>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</si>
  <si>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</si>
  <si>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</si>
  <si>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</si>
  <si>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</si>
  <si>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</si>
  <si>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</si>
  <si>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</si>
  <si>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</si>
  <si>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</si>
  <si>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</si>
  <si>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</si>
  <si>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</si>
  <si>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</si>
  <si>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</si>
  <si>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</si>
  <si>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</si>
  <si>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</si>
  <si>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</si>
  <si>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</si>
  <si>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</si>
  <si>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</si>
  <si>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</si>
  <si>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</si>
  <si>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</si>
  <si>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</si>
  <si>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</si>
  <si>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</si>
  <si>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</si>
  <si>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</si>
  <si>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</si>
  <si>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</si>
  <si>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</si>
  <si>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</si>
  <si>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</si>
  <si>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</si>
  <si>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</si>
  <si>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</si>
  <si>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</si>
  <si>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</si>
  <si>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</si>
  <si>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</si>
  <si>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</si>
  <si>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</si>
  <si>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</si>
  <si>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</si>
  <si>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</si>
  <si>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</si>
  <si>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</si>
  <si>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</si>
  <si>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</si>
  <si>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</si>
  <si>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</si>
  <si>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</si>
  <si>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</si>
  <si>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</si>
  <si>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</si>
  <si>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</si>
  <si>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</si>
  <si>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</si>
  <si>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</si>
  <si>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</si>
  <si>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Viešosios tvarkos skyrius</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</si>
  <si>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</si>
  <si>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</si>
  <si>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</si>
  <si>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</si>
  <si>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</si>
  <si>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</si>
  <si>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</si>
  <si>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</si>
  <si>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</si>
  <si>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</si>
  <si>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</si>
  <si>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</si>
  <si>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P7</t>
  </si>
  <si>
    <t>P2.1.2.9</t>
  </si>
  <si>
    <t>P9</t>
  </si>
  <si>
    <t>Topografinių nuotraukų, išpildomųjų geodezinių nuotraukų įsigijimas, statinių projektų ekspertizių bei kitos inžinerinės paslaugos</t>
  </si>
  <si>
    <t xml:space="preserve"> - vežėjams už lengvatas turinčių keleivių vežimą</t>
  </si>
  <si>
    <t xml:space="preserve"> - moksleiviams</t>
  </si>
  <si>
    <t xml:space="preserve"> - profesinių mokyklų moksleiviams</t>
  </si>
  <si>
    <t>Įrengta ir pakeista informacinių ženklų, tūkst. vnt.</t>
  </si>
  <si>
    <t>Suženklinta gatvių, ha</t>
  </si>
  <si>
    <t>Eksploatuojama greičio matuoklių, vnt.</t>
  </si>
  <si>
    <t>Parengtas paviljono su aikštele techninis projektas, vnt.</t>
  </si>
  <si>
    <t>Medžiagų tyrimas ir kontroliniai bandymai</t>
  </si>
  <si>
    <t>2.1.2.14</t>
  </si>
  <si>
    <t>2.1.2.11</t>
  </si>
  <si>
    <t xml:space="preserve">IED Statybos ir infrastruktūros plėtros </t>
  </si>
  <si>
    <t>2.1.2.15</t>
  </si>
  <si>
    <t>2.1.2.13</t>
  </si>
  <si>
    <t>2.1.2.2</t>
  </si>
  <si>
    <t>2.1.2.12</t>
  </si>
  <si>
    <t>P2.1.2.10</t>
  </si>
  <si>
    <t xml:space="preserve">Savivaldybės biudžetas, iš jo: </t>
  </si>
  <si>
    <t xml:space="preserve">Parengtas techninis projektas, vnt. </t>
  </si>
  <si>
    <t>Planas</t>
  </si>
  <si>
    <t>Rytų ir vakarų krypties gatvių tinklo modernizavimas:</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</si>
  <si>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</si>
  <si>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</si>
  <si>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</si>
  <si>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</si>
  <si>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</si>
  <si>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</si>
  <si>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2018-ieji metai</t>
  </si>
  <si>
    <t>MŪD Miesto tvarkymo sk.</t>
  </si>
  <si>
    <t xml:space="preserve">Ištisinio asfaltbetonio dangos remontas: </t>
  </si>
  <si>
    <t>Kiemų ir privažiuojamųjų kelių  prie biudžetinių įstaigų dangos remontas</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</si>
  <si>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</si>
  <si>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</si>
  <si>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</si>
  <si>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</si>
  <si>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Eismo srautų reguliavimo ir saugumo priemonių įgyvendinimas:</t>
  </si>
  <si>
    <t>100</t>
  </si>
  <si>
    <t>2.1.2.8</t>
  </si>
  <si>
    <t>tūkst. Eur</t>
  </si>
  <si>
    <t xml:space="preserve">Diegti eismo srautų reguliavimo ir saugumo priemones </t>
  </si>
  <si>
    <t xml:space="preserve">Eksploatuojama eismo reguliavimo priemonių, tūkst. vnt. </t>
  </si>
  <si>
    <t>P2.1.2.3</t>
  </si>
  <si>
    <t xml:space="preserve">Susisiekimo sistemos objektų pritaikymas neįgaliesiems  </t>
  </si>
  <si>
    <t>Neeksploatuojamų požeminių perėjų Šilutės pl. rekonstravimas</t>
  </si>
  <si>
    <t>Apskaitos kodas</t>
  </si>
  <si>
    <t>06.010311</t>
  </si>
  <si>
    <t>06.010131</t>
  </si>
  <si>
    <t>06.010125</t>
  </si>
  <si>
    <t>06.010504</t>
  </si>
  <si>
    <t>06.010109</t>
  </si>
  <si>
    <t>06.010139</t>
  </si>
  <si>
    <t>06.010110</t>
  </si>
  <si>
    <t xml:space="preserve">IED Statybos ir infrastruk. plėtros sk. </t>
  </si>
  <si>
    <t>06.01050100</t>
  </si>
  <si>
    <t>06.010301</t>
  </si>
  <si>
    <t>06.010313</t>
  </si>
  <si>
    <t>06.010411</t>
  </si>
  <si>
    <t>06.010413</t>
  </si>
  <si>
    <t>06.010410</t>
  </si>
  <si>
    <t>06.010312</t>
  </si>
  <si>
    <t>06.010402</t>
  </si>
  <si>
    <t>06.010403</t>
  </si>
  <si>
    <t>06.010144</t>
  </si>
  <si>
    <t>06.010140</t>
  </si>
  <si>
    <t>IED Statybos ir infrastruktūros plėtros sk.</t>
  </si>
  <si>
    <t>06.010150</t>
  </si>
  <si>
    <t>06.010148</t>
  </si>
  <si>
    <t>06.010122</t>
  </si>
  <si>
    <t>06.010506</t>
  </si>
  <si>
    <t>06.010303</t>
  </si>
  <si>
    <t>06.010406</t>
  </si>
  <si>
    <t>06.010405</t>
  </si>
  <si>
    <t>06.010401</t>
  </si>
  <si>
    <t>MŪD Transporto sk.</t>
  </si>
  <si>
    <t>Aiškinamojo rašto priedas Nr.3</t>
  </si>
  <si>
    <t>2019-ųjų metų lėšų projektas</t>
  </si>
  <si>
    <t>2019-ieji metai</t>
  </si>
  <si>
    <t>Atlikta gatvės (571 m) tiesimo darbų (II etapas). Užbaigtumas, proc.</t>
  </si>
  <si>
    <t>6010308</t>
  </si>
  <si>
    <t>Klaipėdos miesto viešojo transporto atnaujinimas (autobusų įsigijimas)</t>
  </si>
  <si>
    <t>Klaipėdos miesto viešojo transporto švieslenčių ir informacinių švieslenčių įrengimas ir atnaujinimas</t>
  </si>
  <si>
    <t xml:space="preserve">Įrengta švieslenčių miesto autobusų stotelėse, vnt.  </t>
  </si>
  <si>
    <t>Suorganizuota renginių, vnt.</t>
  </si>
  <si>
    <t>P2.1.2.5</t>
  </si>
  <si>
    <t>Parengtas projektinis pasiūlymas, vnt.</t>
  </si>
  <si>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</si>
  <si>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IED  Statybos ir infrastruktūros plėtros skyrius</t>
  </si>
  <si>
    <t>Kombinuotų kelionių jungčių (PARK&amp;RIDE) įrengimas (šiaurinėje miesto dalyje)</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</si>
  <si>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</si>
  <si>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</si>
  <si>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</si>
  <si>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</si>
  <si>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</si>
  <si>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</si>
  <si>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Baltijos pr. ir Šilutės pl. žiedinės sankryžos rekonstravimas</t>
  </si>
  <si>
    <t>- nuostolių, patirtų vežant keleivius vietinio reguliaraus susisiekimo autobusų maršrutais renginių metu, kompensavimas</t>
  </si>
  <si>
    <t>Statybininkų prospekto tęsinio tiesimas nuo Šilutės pl. per LEZ teritoriją iki 141 kelio: II etapas – Lypkių gatvės ruožo nuo Šilutės plento tiesimas</t>
  </si>
  <si>
    <t>Tilžės g. nuo Šilutės pl. iki geležinkelio pervažos rekonstravimas, pertvarkant žiedinę Mokyklos g. ir Šilutės pl. sankryžą:</t>
  </si>
  <si>
    <t>Nuostolingų maršrutų subsidijavimas priemiesčio maršrutus aptarnaujantiems vežėjams</t>
  </si>
  <si>
    <t xml:space="preserve">Atlikta Šiaurinio rago teritorijoje esančios aikštelės įrengimo darbų (70 stovėjimo vietų). Užbaigtumas, proc. </t>
  </si>
  <si>
    <t>Apšviesta pėsčiųjų perėjų, vnt</t>
  </si>
  <si>
    <t xml:space="preserve">Privažiuojamojo kelio prie pastato Debreceno g. 48  įrengimas ir pastato aplinkos sutvarkymas </t>
  </si>
  <si>
    <t>Suteikta gatvių dangų, konstruktyvo ir betoninių gaminių kontrolinių bandymų paslaugų. Užbaigtumas, proc.</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</si>
  <si>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</si>
  <si>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</si>
  <si>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</si>
  <si>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</si>
  <si>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</si>
  <si>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</si>
  <si>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Kompensuota bilietų moksleiviams, tūkst. vnt.</t>
  </si>
  <si>
    <t>Kompensuota bilietų profesinių mokyklų moksleiviams, tūkst. vnt.</t>
  </si>
  <si>
    <t>Parengtas techninis projektas ir detaliojo plano korekcija, vnt.</t>
  </si>
  <si>
    <t xml:space="preserve">Parengtas rekonstravimo techninis projektas (ruožas nuo Atgimimo aikštės iki Laivų skersgatvio), vnt. </t>
  </si>
  <si>
    <t>Parengtas rekonstravimo techninis projektas (ruožas nuo Laivų skersgatvio iki Artojų g.), vnt.</t>
  </si>
  <si>
    <t xml:space="preserve">Atlikta rekonstravimo darbų. Užbaigtumas, proc. </t>
  </si>
  <si>
    <t>Parengtas rekonstravimo techninis projektas, vnt.</t>
  </si>
  <si>
    <t>Atlikta rekonstravimo darbų. Užbaigtumas, proc.</t>
  </si>
  <si>
    <t>Atlikta gatvės (1374 m ) rekonstravimo darbų. Užbaigtumas, proc.</t>
  </si>
  <si>
    <t>Atlikta dviejų požeminių perėjų  rekonstravimo darbų. Užbaigtumas, proc.</t>
  </si>
  <si>
    <t>Įstaigų, kurių kiemuose atlikta asfalto dangos remonto darbų, skaičius</t>
  </si>
  <si>
    <t>Kūlių Vartų g. ir Bangų g., Tiltų g., Galinio Pylimo g., Taikos pr. sankryžos rekonstravimas</t>
  </si>
  <si>
    <r>
      <rPr>
        <b/>
        <sz val="10"/>
        <rFont val="Times New Roman"/>
        <family val="1"/>
        <charset val="186"/>
      </rPr>
      <t xml:space="preserve">I etapas. </t>
    </r>
    <r>
      <rPr>
        <sz val="10"/>
        <rFont val="Times New Roman"/>
        <family val="1"/>
        <charset val="186"/>
      </rPr>
      <t>Tilžės g. nuo Šilutės pl. iki geležinkelio pervažos rekonstravimas</t>
    </r>
  </si>
  <si>
    <t xml:space="preserve">Klaipėdos miesto gatvių pėsčiųjų perėjų kryptinis apšvietimas </t>
  </si>
  <si>
    <t>Parengtas II etapo techninis projektas (Klaipėdos g., Virkučių g., Slengių g., Lietaus g., Vaivorykštės g., Griaustinio g. ir Arimų g.), vnt.</t>
  </si>
  <si>
    <t>Maršruto „Klaipėdos autobusų stotis–Palangos oro uostas“ kursavimas</t>
  </si>
  <si>
    <t>Suremontuota duobių kiemuose ir įvažose į juos (paklota asfaltbetonio danga), vnt.</t>
  </si>
  <si>
    <t>Kompensuota nuostolingų maršrutų, vnt.</t>
  </si>
  <si>
    <r>
      <t xml:space="preserve">Europos Sąjungos paramos lėšos, kurios įtrauktos į Savivaldybės biudžetą </t>
    </r>
    <r>
      <rPr>
        <b/>
        <sz val="10"/>
        <rFont val="Times New Roman"/>
        <family val="1"/>
        <charset val="186"/>
      </rPr>
      <t>SB(ES)</t>
    </r>
  </si>
  <si>
    <t xml:space="preserve">Tomo ir Pylimo gatvių rekonstravimas </t>
  </si>
  <si>
    <t>Įrengta pėsčiųjų ir dviračių takų palei Liepojos g. nuo Dragūnų kvartalo iki Savanorių g. Užbaigtumas, proc.</t>
  </si>
  <si>
    <t>Elektromobilių įkrovimo stotelių įrengimas  Klaipėdos mieste</t>
  </si>
  <si>
    <t xml:space="preserve">Nuostolių kompensacijų mokėjimas: </t>
  </si>
  <si>
    <r>
      <t xml:space="preserve">patirtų vykdant keleivinio kelių transporto viešųjų paslaugų </t>
    </r>
    <r>
      <rPr>
        <sz val="10"/>
        <rFont val="Times New Roman"/>
        <family val="1"/>
        <charset val="186"/>
      </rPr>
      <t>vežant keleivius vietinio (miesto) reguliaraus susisiekimo autobusų maršrutais</t>
    </r>
  </si>
  <si>
    <t>patirtų įgyvendinant ES Sanglaudos fondų finansuojamus ekologiškų viešojo transporto  priemonių įsigijimo projektus</t>
  </si>
  <si>
    <t>Suremontuota gatvių akmens grindinio dangos pagal poreikį senamiesčio gatvėse, ha</t>
  </si>
  <si>
    <t>Parengta galimybių studija, vnt.</t>
  </si>
  <si>
    <t>2020-ųjų metų lėšų projektas</t>
  </si>
  <si>
    <t>2020-ieji metai</t>
  </si>
  <si>
    <t>Atlikta gatvės tiesimo darbų. Užbaigtumas, proc.</t>
  </si>
  <si>
    <t>Įrengta stotelių su įvažomis (Vasaros estrados (pietų ir šiaurės kryptys), Rumpiškės, Kooperacijos, Juodkrantės,  Naikupės, Šilutės, Minijos, Aula Magna, Minijos stotelės), vnt.</t>
  </si>
  <si>
    <t>2.1.2.2.</t>
  </si>
  <si>
    <t>IED Projektų skyrius</t>
  </si>
  <si>
    <t xml:space="preserve">* pagal Klaipėdos miesto savivaldybės tarybos 2016 m. gruodžio 22 d. sprendimą Nr. T2-290 ir administracijos direktoriaus 2017-03-14 įsakymą AD1-642
</t>
  </si>
  <si>
    <r>
      <t xml:space="preserve">Programų lėšų likučių lėšos </t>
    </r>
    <r>
      <rPr>
        <b/>
        <sz val="10"/>
        <rFont val="Times New Roman"/>
        <family val="1"/>
        <charset val="186"/>
      </rPr>
      <t xml:space="preserve">SB(L) </t>
    </r>
  </si>
  <si>
    <t xml:space="preserve"> Atlikti kasmetinius miesto susisiekimo infrastruktūros objektų priežiūros ir įrengimo darbus</t>
  </si>
  <si>
    <t>Naujų ekologiškų viešojo transporto ir  alternatyvaus judėjimo projektų įgyvendinimas:</t>
  </si>
  <si>
    <t xml:space="preserve">06.010503 </t>
  </si>
  <si>
    <t xml:space="preserve">06.010135 </t>
  </si>
  <si>
    <t>06.010151</t>
  </si>
  <si>
    <t>06.010316</t>
  </si>
  <si>
    <t>06.010152</t>
  </si>
  <si>
    <t>06.010142</t>
  </si>
  <si>
    <t>06.010154</t>
  </si>
  <si>
    <t>06.010156</t>
  </si>
  <si>
    <t xml:space="preserve">06.010146 </t>
  </si>
  <si>
    <t>06.010604</t>
  </si>
  <si>
    <t>06.010319 </t>
  </si>
  <si>
    <t>06.010304</t>
  </si>
  <si>
    <t>06.010306</t>
  </si>
  <si>
    <t>06.010404</t>
  </si>
  <si>
    <t>06.010302</t>
  </si>
  <si>
    <t>06.010317</t>
  </si>
  <si>
    <t>06.010318</t>
  </si>
  <si>
    <t>06.010320</t>
  </si>
  <si>
    <t>2018 m.</t>
  </si>
  <si>
    <t>Vingio g. nuo Smiltelės g. ir Jūrininkų pr. (darbai);</t>
  </si>
  <si>
    <t>Šturmanų g.;</t>
  </si>
  <si>
    <t>Sausio 15-osios g. - nuo Taikos pr. iki Tilžės g. (tikslinės teritorijos ribose);</t>
  </si>
  <si>
    <t xml:space="preserve">Taikos pr.  - nuo Sausio 15-osios g. iki Kauno g. (tikslinės teritorijos ribose); </t>
  </si>
  <si>
    <t>Šermukšnių g.;</t>
  </si>
  <si>
    <t>2019 m.</t>
  </si>
  <si>
    <t>2020 m.</t>
  </si>
  <si>
    <t>Joniškės g.- nuo Klaipėdos baldų iki Bangų g.;</t>
  </si>
  <si>
    <t>Gedminų g. (su šaligatviais);</t>
  </si>
  <si>
    <t>Baltijos pr. nuo Taikos pr. iki Šilutės pl. viena pusė;</t>
  </si>
  <si>
    <t>Statybininkų pr. - Nuo Taikos pr. iki Minijos g. ir žiedas (Taikos pr.);</t>
  </si>
  <si>
    <t>Smiltelės g. atkarpa nuo Taikos pr. iki Minijos g.;</t>
  </si>
  <si>
    <t>S. Šimkaus g.;</t>
  </si>
  <si>
    <t>Šilutės pl. atkarpa nuo Rimkų geležinkelio iki Smiltelės g., aikštelė;</t>
  </si>
  <si>
    <t>I. Simonaitytės g.;</t>
  </si>
  <si>
    <t>J. Zauerveino g.;</t>
  </si>
  <si>
    <t>Paryžiaus Komunos g.;</t>
  </si>
  <si>
    <t>Jurginų g.;</t>
  </si>
  <si>
    <t>Šilutės pl. labiausiai pažeistos atkarpos, įvažos;</t>
  </si>
  <si>
    <t>Herkaus Manto g. labiausiai pažeistos atkarpos, įvažos;</t>
  </si>
  <si>
    <t>Malūnininkų g.;</t>
  </si>
  <si>
    <t>S.Daukanto g. labiausiai pažeistos atkarpos;</t>
  </si>
  <si>
    <t>Pėsčiųjų ir dviračių takų, šaligatvių (su dviračių takais) bei privažiuojamųjų kelių remonto bei įrengimo darbai</t>
  </si>
  <si>
    <t>Integruotų autobusų ir maršrutinių taksi, vnt.</t>
  </si>
  <si>
    <t>Subsidijuojamų maršrutų skaičius:</t>
  </si>
  <si>
    <t>2</t>
  </si>
  <si>
    <t>Atlikta gatvės rekonstravimo darbų. Užbaigtumas, proc.</t>
  </si>
  <si>
    <t>Atliktas gatvių – Akmenų g. (405 m), Vėjo g. (1373 m), Smėlio g. (960 m) ir Debesų g. (890 m) rekonstravimas. Užbaigtumas, proc.</t>
  </si>
  <si>
    <t>Atliktas gatvių –  Klaipėdos g. (500 m) ir Virkučių g. (1004 m) rekonstravimas. Užbaigtumas, proc.</t>
  </si>
  <si>
    <t>Atliktas gatvių – Slengių g., Lietaus g., Vaivorykštės g., Griaustinio g. ,Arimų g., Vėjo g. (II dalies), Žvaigždžių g. rekonstravimas. Užbaigtumas, proc.</t>
  </si>
  <si>
    <t>Atlikta gatvės (600 m) rekonstravimo darbų.
Užbaigtumas, proc.</t>
  </si>
  <si>
    <t>Atlikta žiedinės sankryžos rekonstravimo darbų. Užbaigtumas, proc.</t>
  </si>
  <si>
    <t>Atlikta Pamario g. (4400 m) rekonstravimo darbų (II-IV etapai). Užbaigtumas, proc.</t>
  </si>
  <si>
    <t>Atlikta Savanorių g. rekonstravimo darbų. Užbaigtumas, proc.</t>
  </si>
  <si>
    <t>Atlikta prospekto atkarpos rekonstravimo darbų.  Užbaigtumas, proc.</t>
  </si>
  <si>
    <t>10</t>
  </si>
  <si>
    <t>08</t>
  </si>
  <si>
    <t>Kelio Klaipėda-Kretinga Nr. 168 (Medelyno g.) rekonstravimas</t>
  </si>
  <si>
    <t>Įrengta stotelių su įvažomis (II etapas), vnt.</t>
  </si>
  <si>
    <t>Elektra varomo viešojo transporto naujų galimybių plėtra (DEPO), ELENA</t>
  </si>
  <si>
    <t>Parengtas tramvajaus ir elektrinių autobusų pirkimo strategijos dokumentų paketas, vnt.</t>
  </si>
  <si>
    <t>Įrengta elektromobilių įkrovimo prieigų, vnt.</t>
  </si>
  <si>
    <t>MŪD  Transporto sk.</t>
  </si>
  <si>
    <t>Šilutės plento atkarpos nuo Tilžės g. iki geležinkelio pervažos (iki Kauno g.) rekonstrukcija</t>
  </si>
  <si>
    <t>Įdiegta dviračių saugojimo (angl. bike-storing) sistema, vnt.</t>
  </si>
  <si>
    <t>Eismo juostos, skirtos iš P. Lideikio g. pasukimui į Herkaus Manto gatvę, įrengimas</t>
  </si>
  <si>
    <t>Lengvųjų automobilių taksi  ženklinimo  sprendinių projekto parengimas</t>
  </si>
  <si>
    <t>Parengtas ženklinimo sprendinių projektas, vnt.</t>
  </si>
  <si>
    <t>Transporto skyrius</t>
  </si>
  <si>
    <t>Įrengta elektros įvadų švieslenčių įrengimui, vnt.</t>
  </si>
  <si>
    <t>Tauralaukio gyvenvietės gatvių rekonstravimas</t>
  </si>
  <si>
    <t xml:space="preserve">Jūrininkų prospekto atkarpos nuo Šilutės pl. iki Minijos g. rekonstrukcija </t>
  </si>
  <si>
    <r>
      <t>Danės g. rekonstravimas (siekiant racionaliai suplanuoti jungtis su Bastionų g., nauju tiltu per Danės upę ir Artojų g.)</t>
    </r>
    <r>
      <rPr>
        <sz val="10"/>
        <color rgb="FFFF0000"/>
        <rFont val="Times New Roman"/>
        <family val="1"/>
        <charset val="186"/>
      </rPr>
      <t xml:space="preserve"> </t>
    </r>
  </si>
  <si>
    <t xml:space="preserve">Naujo įvažiuojamojo kelio (Priešpilio g.) į piliavietę ir Kruizinių laivų terminalą tiesimas </t>
  </si>
  <si>
    <t xml:space="preserve">Puodžių gatvės rekonstravimas  </t>
  </si>
  <si>
    <t xml:space="preserve">Dubliuojančios gatvės nuo Šiltnamių g. iki Klaipėdos g. su pėsčiųjų ir dviračių taku ir įvažomis į Liepojos g. įrengimas                          </t>
  </si>
  <si>
    <t xml:space="preserve">Savanorių g. rekonstravimas </t>
  </si>
  <si>
    <t>MŪD Miesto tvarkymos skyrius</t>
  </si>
  <si>
    <t>Privažiavimo vietos (slipo) prie jūros kranto įrengimas</t>
  </si>
  <si>
    <t xml:space="preserve">Joniškės g. rekonstravimas (II etapas – nuo Klemiškės g. iki Liepų g., Šienpjovių g.) </t>
  </si>
  <si>
    <t xml:space="preserve">Automobilių stovėjimo aikštelės teritorijoje Pilies g. 2A, Klaipėdoje, įrengimas </t>
  </si>
  <si>
    <t>Automatinės eismo priežiūros prietaisų įsigijimas ir nuoma</t>
  </si>
  <si>
    <r>
      <t>Uostamiesčiai: darnaus judumo principų integravimas (PORT Cities: Integrating Sustainability, PORTIS)</t>
    </r>
    <r>
      <rPr>
        <sz val="10"/>
        <color rgb="FFFF0000"/>
        <rFont val="Times New Roman"/>
        <family val="1"/>
        <charset val="186"/>
      </rPr>
      <t xml:space="preserve"> </t>
    </r>
  </si>
  <si>
    <t>Automobilių stovėjimo aikštelės teritorijoje  Bangų g., Klaipėdoje, įrengimas</t>
  </si>
  <si>
    <t xml:space="preserve">2018-ųjų metų asignavimų planas
</t>
  </si>
  <si>
    <t xml:space="preserve">Sodų bendrija „Vaiteliai“–„Rasa“ kursavimas </t>
  </si>
  <si>
    <t xml:space="preserve">Atlikta gatvės rekonstravimo darbų. Užbaigtumas, proc.
</t>
  </si>
  <si>
    <t>Švyturio gatvės rekonstravimas (I etapas – nuo Naujosios Uosto g. iki Malūnininkų g.)</t>
  </si>
  <si>
    <t>Įrengta informacinių kelių ženklų, vnt.</t>
  </si>
  <si>
    <t>Parengtas architektūrinės idėjos pasiūlymų konkursas, vnt.</t>
  </si>
  <si>
    <t>Parengtas techninis projektas (įtraukti pastato griovimo ir aikštelės įrengimo darbai), vnt.</t>
  </si>
  <si>
    <t>Atlikta eismo audito tyrimų, vnt.</t>
  </si>
  <si>
    <t>Parengiamieji darbai įgyvendinat gatvių rekonstrukcijos projektus:</t>
  </si>
  <si>
    <t>Ekologiškų viešojo transporto priemonių, kuriomis važiuojant patiriami nuostoliai, vnt.</t>
  </si>
  <si>
    <t>Keleivinio transporto stotelių su įvažomis Klaipėdos miesto gatvėse projektavimas ir įrengimas</t>
  </si>
  <si>
    <t>Parengtas  (I etapo) techninis projektas, vnt.</t>
  </si>
  <si>
    <t>Parengtas (II etapo) techninis projektas, vnt.</t>
  </si>
  <si>
    <t xml:space="preserve">Įrengtas įvažos pratęsimas, esantis autobusų stotelėje "Naujasis turgus" (kryptis į pietinę miesto dalį), vnt. </t>
  </si>
  <si>
    <t>Įrengta (I etapo) stotelių su įvažomis (Vasaros estrados (pietų ir šiaurės kryptys), Rumpiškės, Kooperacijos, Juodkrantės,  Naikupės, Šilutės, Minijos, Aula Magna, Minijos stotelės), vnt.</t>
  </si>
  <si>
    <t xml:space="preserve">Keleivinio transporto stotelių su įvažomis Klaipėdos miesto gatvėse projektavimas ir įrengimas </t>
  </si>
  <si>
    <t>Parengtas (II etapo) techninis projektas ir įrengta stotelių su įvažomis, vnt.</t>
  </si>
  <si>
    <t>Įsigyta naujų ekologiškų autobusų, vnt.</t>
  </si>
  <si>
    <t>Atlikta teritorijos buitinių nuotekų remonto darbų. Užbaigtumas, proc.</t>
  </si>
  <si>
    <t>Klaipėdos miestui priklausančių elektromobilių įkrovimo stotelių eksploatavimas ir priežiūra</t>
  </si>
  <si>
    <t>Ekslpoatuojama elektromobilių įkrovimo stotelių, vnt.</t>
  </si>
  <si>
    <t>Senamiesčio grindinio atnaujinimas ir universalaus dizaino pritaikymas</t>
  </si>
  <si>
    <t>Atlikta atnaujinimo darbų. Užbaigtumas, proc.</t>
  </si>
  <si>
    <t xml:space="preserve">Parengtas investicijų projektas ir projektinis pasiūlymas, vnt. </t>
  </si>
  <si>
    <t>Įrengta neregių vedimo dangos autobusų stotelėse, vnt</t>
  </si>
  <si>
    <t>30</t>
  </si>
  <si>
    <t>** pagal Klaipėdos miesto savivaldybės tarybos 2017 m.gruodžio 21 d. sprendimą Nr. T2-331</t>
  </si>
  <si>
    <t xml:space="preserve">2018–2020 M. KLAIPĖDOS MIESTO SAVIVALDYBĖS </t>
  </si>
  <si>
    <t>Eismo juostos, skirtos iš Prano Lideikio g. pasukti į Herkaus Manto gatvę, įrengimas</t>
  </si>
  <si>
    <t>Kelio Klaipėda–Kretinga Nr. 168 (Medelyno g.) rekonstravimas</t>
  </si>
  <si>
    <t>Šilutės plento ruožo nuo Tilžės g. iki geležinkelio pervažos (iki Kauno g.) rekonstrukcija</t>
  </si>
  <si>
    <t>Atlikta Šilutės plento ruožo rekonstravimo darbų. Užbaigtumas, proc.</t>
  </si>
  <si>
    <t>Atlikta Pamario g. (4400 m) rekonstravimo darbų (II–IV etapai). Užbaigtumas, proc.</t>
  </si>
  <si>
    <t>Atlikta Savanorių g. (800) rekonstravimo darbų. Užbaigtumas, proc.</t>
  </si>
  <si>
    <t>Atlikta prospekto ruožo rekonstravimo darbų.  Užbaigtumas, proc.</t>
  </si>
  <si>
    <t xml:space="preserve">Įrengtas įvažos pratęsimas, esantis Naujojo turgaus autobusų stotelėje (kryptis į pietinę miesto dalį), vnt. </t>
  </si>
  <si>
    <r>
      <t xml:space="preserve">Įdiegta dviračių saugojimo (angl. </t>
    </r>
    <r>
      <rPr>
        <i/>
        <sz val="10"/>
        <rFont val="Times New Roman"/>
        <family val="1"/>
        <charset val="186"/>
      </rPr>
      <t>bike-storing</t>
    </r>
    <r>
      <rPr>
        <sz val="10"/>
        <rFont val="Times New Roman"/>
        <family val="1"/>
        <charset val="186"/>
      </rPr>
      <t>) sistema, vnt.</t>
    </r>
  </si>
  <si>
    <r>
      <t>Uostamiesčiai: darnaus judumo principų integravimas (</t>
    </r>
    <r>
      <rPr>
        <i/>
        <sz val="10"/>
        <rFont val="Times New Roman"/>
        <family val="1"/>
        <charset val="186"/>
      </rPr>
      <t>PORT Cities: Integrating Sustainability</t>
    </r>
    <r>
      <rPr>
        <sz val="10"/>
        <rFont val="Times New Roman"/>
        <family val="1"/>
        <charset val="186"/>
      </rPr>
      <t>, PORTIS)</t>
    </r>
    <r>
      <rPr>
        <sz val="10"/>
        <color rgb="FFFF0000"/>
        <rFont val="Times New Roman"/>
        <family val="1"/>
        <charset val="186"/>
      </rPr>
      <t xml:space="preserve"> </t>
    </r>
  </si>
  <si>
    <r>
      <t>Kombinuotų kelionių jungčių (</t>
    </r>
    <r>
      <rPr>
        <i/>
        <sz val="10"/>
        <rFont val="Times New Roman"/>
        <family val="1"/>
        <charset val="186"/>
      </rPr>
      <t>PARK&amp;RIDE</t>
    </r>
    <r>
      <rPr>
        <sz val="10"/>
        <rFont val="Times New Roman"/>
        <family val="1"/>
        <charset val="186"/>
      </rPr>
      <t>) įrengimas (šiaurinėje miesto dalyje)</t>
    </r>
  </si>
  <si>
    <t>Sausio 15-osios g. nuo Taikos pr. iki Tilžės g. (tikslinės teritorijos ribose);</t>
  </si>
  <si>
    <t xml:space="preserve">Taikos pr. nuo Sausio 15-osios g. iki Kauno g. (tikslinės teritorijos ribose); </t>
  </si>
  <si>
    <t>Joniškės g. nuo Klaipėdos baldų iki Bangų g.;</t>
  </si>
  <si>
    <t>Statybininkų pr. nuo Taikos pr. iki Minijos g. ir žiedas (Taikos pr.);</t>
  </si>
  <si>
    <t>Smiltelės g. ruožas nuo Taikos pr. iki Minijos g.;</t>
  </si>
  <si>
    <t>Šilutės pl. ruožas nuo Rimkų geležinkelio iki Smiltelės g., aikštelė;</t>
  </si>
  <si>
    <t>Šilutės pl. labiausiai pažeisti ruožai, įvažos;</t>
  </si>
  <si>
    <t>Herkaus Manto g. labiausiai pažeisti ruožai, įvažos;</t>
  </si>
  <si>
    <t>S. Daukanto g. labiausiai pažeisti ruožai;</t>
  </si>
  <si>
    <t>2018-ųjų metų asignavi-mų planas</t>
  </si>
  <si>
    <t>2019-ųjų metų lėšų projek-tas</t>
  </si>
  <si>
    <r>
      <t xml:space="preserve">Europos Sąjungos paramos lėšos, kurios įtrauktos į savivaldybės biudžetą </t>
    </r>
    <r>
      <rPr>
        <b/>
        <sz val="10"/>
        <rFont val="Times New Roman"/>
        <family val="1"/>
        <charset val="186"/>
      </rPr>
      <t>SB(ES)</t>
    </r>
  </si>
  <si>
    <t>_____________________________</t>
  </si>
  <si>
    <t xml:space="preserve">Klaipėdos miesto savivaldybės susisiekimo sistemos                     priežiūros ir plėtros programos (Nr. 06) aprašymo                     priedas
</t>
  </si>
  <si>
    <t>Rekonstruota šviesoforų (Tilžės g. ir Sausio 15-osios g. sankryžoje, Baltijos prospekte atkarpoje tarp Šilutės pl. ir Taikos pr., Šilutės pl. prie AB „Klaipėdos energija“, Taikos pr. ties Žvejų rūmais), vnt.</t>
  </si>
  <si>
    <t>Rekonstruota šviesoforų, vnt.</t>
  </si>
  <si>
    <t>Atliktas gatvių – Slengių g., Lietaus g., Vaivorykštės g., Griaustinio g., Arimų g., Vėjo g. (II dalies), Žvaigždžių g. rekonstravimas. Užbaigtumas, proc.</t>
  </si>
  <si>
    <t>Įrengta informacinių kelio ženklų, vnt.</t>
  </si>
  <si>
    <t>P2.1.2.7-8</t>
  </si>
  <si>
    <t>Lyginamasis variantas</t>
  </si>
  <si>
    <t>Paaiškinimas</t>
  </si>
  <si>
    <t>2018-ųjų metų asignavimų planas</t>
  </si>
  <si>
    <t>Siūlomas keisti 2018-ųjų metų asignavimų planas</t>
  </si>
  <si>
    <t>Skirtumas</t>
  </si>
  <si>
    <t>Siūlomas keisti 2019-ųjų metų  lėšų projektas</t>
  </si>
  <si>
    <t>Siūlomas keisti 2020-ųjų metų  lėšų projektas</t>
  </si>
  <si>
    <t>Siūlomas keisti 2018 metų  asignavimų planas</t>
  </si>
  <si>
    <t xml:space="preserve">Atlikta gatvės (410 m) rekonstravimo darbų. Užbaigtumas, proc. </t>
  </si>
  <si>
    <t>Suremontuota šaligatvių su dviračių takais (2018 m.), ha</t>
  </si>
  <si>
    <t>Keičiama pagal 2018 m. vasario 21 d. savivaldybės tarybos sprendimu Nr. T2-21 patvirtintą 2018 m. savivaldybės biudžetą</t>
  </si>
  <si>
    <r>
      <rPr>
        <strike/>
        <sz val="10"/>
        <color rgb="FFFF0000"/>
        <rFont val="Times New Roman"/>
        <family val="1"/>
        <charset val="186"/>
      </rPr>
      <t>50</t>
    </r>
    <r>
      <rPr>
        <sz val="10"/>
        <color rgb="FFFF0000"/>
        <rFont val="Times New Roman"/>
        <family val="1"/>
        <charset val="186"/>
      </rPr>
      <t xml:space="preserve"> 100</t>
    </r>
  </si>
  <si>
    <r>
      <rPr>
        <strike/>
        <sz val="10"/>
        <color rgb="FFFF0000"/>
        <rFont val="Times New Roman"/>
        <family val="1"/>
        <charset val="186"/>
      </rPr>
      <t>20</t>
    </r>
    <r>
      <rPr>
        <sz val="10"/>
        <color rgb="FFFF0000"/>
        <rFont val="Times New Roman"/>
        <family val="1"/>
        <charset val="186"/>
      </rPr>
      <t xml:space="preserve"> 60</t>
    </r>
  </si>
  <si>
    <r>
      <rPr>
        <strike/>
        <sz val="10"/>
        <color rgb="FFFF0000"/>
        <rFont val="Times New Roman"/>
        <family val="1"/>
        <charset val="186"/>
      </rPr>
      <t>3</t>
    </r>
    <r>
      <rPr>
        <sz val="10"/>
        <color rgb="FFFF0000"/>
        <rFont val="Times New Roman"/>
        <family val="1"/>
        <charset val="186"/>
      </rPr>
      <t xml:space="preserve"> 5</t>
    </r>
  </si>
  <si>
    <r>
      <rPr>
        <strike/>
        <sz val="10"/>
        <color rgb="FFFF0000"/>
        <rFont val="Times New Roman"/>
        <family val="1"/>
        <charset val="186"/>
      </rPr>
      <t xml:space="preserve">5  </t>
    </r>
    <r>
      <rPr>
        <sz val="10"/>
        <color rgb="FFFF0000"/>
        <rFont val="Times New Roman"/>
        <family val="1"/>
        <charset val="186"/>
      </rPr>
      <t xml:space="preserve">        6</t>
    </r>
  </si>
  <si>
    <r>
      <rPr>
        <strike/>
        <sz val="10"/>
        <color rgb="FFFF0000"/>
        <rFont val="Times New Roman"/>
        <family val="1"/>
        <charset val="186"/>
      </rPr>
      <t>15</t>
    </r>
    <r>
      <rPr>
        <sz val="10"/>
        <color rgb="FFFF0000"/>
        <rFont val="Times New Roman"/>
        <family val="1"/>
        <charset val="186"/>
      </rPr>
      <t xml:space="preserve"> 14</t>
    </r>
  </si>
  <si>
    <r>
      <rPr>
        <strike/>
        <sz val="10"/>
        <color rgb="FFFF0000"/>
        <rFont val="Times New Roman"/>
        <family val="1"/>
        <charset val="186"/>
      </rPr>
      <t xml:space="preserve">30 </t>
    </r>
    <r>
      <rPr>
        <sz val="10"/>
        <color rgb="FFFF0000"/>
        <rFont val="Times New Roman"/>
        <family val="1"/>
        <charset val="186"/>
      </rPr>
      <t xml:space="preserve">   50</t>
    </r>
  </si>
  <si>
    <r>
      <rPr>
        <strike/>
        <sz val="10"/>
        <color rgb="FFFF0000"/>
        <rFont val="Times New Roman"/>
        <family val="1"/>
        <charset val="186"/>
      </rPr>
      <t xml:space="preserve">90 </t>
    </r>
    <r>
      <rPr>
        <sz val="10"/>
        <color rgb="FFFF0000"/>
        <rFont val="Times New Roman"/>
        <family val="1"/>
        <charset val="186"/>
      </rPr>
      <t xml:space="preserve"> 60</t>
    </r>
  </si>
  <si>
    <t>Atlikta prospekto ruožo rekonstravimo darbų. Užbaigtumas, proc.</t>
  </si>
  <si>
    <t>Klemiškės g. rekonstravimas</t>
  </si>
  <si>
    <t>Naujo kelio tarp Klemiškės g. ir Tilžės g. tiesimas</t>
  </si>
  <si>
    <t xml:space="preserve">2018 m. nebuvo numatytos lėšos bendrajai Danės g. rekonstravimo techninio projekto ekspertizei, todėl reikalinga planuoti didesnį lėšų poreikį. </t>
  </si>
  <si>
    <r>
      <rPr>
        <strike/>
        <sz val="10"/>
        <color rgb="FFFF0000"/>
        <rFont val="Times New Roman"/>
        <family val="1"/>
        <charset val="186"/>
      </rPr>
      <t>30</t>
    </r>
    <r>
      <rPr>
        <sz val="10"/>
        <color rgb="FFFF0000"/>
        <rFont val="Times New Roman"/>
        <family val="1"/>
        <charset val="186"/>
      </rPr>
      <t xml:space="preserve">  0</t>
    </r>
  </si>
  <si>
    <t xml:space="preserve">2018-03-29 Lietuvos automobilių kelių direkcijos prie susisiekimo ministerijos (LAKD) posėdžio protokolu Nr. AP-24  nutarta rengti projekto korektūrą. Parengus projekto korektūrą, bus pasirašoma bendradarbiavimo sutartis su LAKD, dėl finansavimo skyrimo objekto įgyvendinimui. Todėl numatytos lėšos 2018 m. iš Kelių priežiūros ir plėtros programos (KPP) šiam objektui neskirtos. Darbus planuojama pradėti 2019 m., todėl siūloma tikslinti vertinimo kriterijų reikšmes ir  SB(KPP) lėšas atitinkamai siūloma planuoti 2019 m. ir 2020 m. </t>
  </si>
  <si>
    <t>Reikalinga mažinti priemonės finansavimo apimtį, nes rangos darbai nupirkti pigiau negu planuota bei koreguoti finansavimo išdėstymą 2019 m. ir 2020 m.</t>
  </si>
  <si>
    <t>Pagal 2018-04-24 susitarimą Nr. J9-1088 su KVJUD  siūloma numatyti 2019 m. ir 2020 m. finansavimą šiam objektui.</t>
  </si>
  <si>
    <t xml:space="preserve">Siekiant įgyvendinti Klaipėdos m. sav. 2013-2020 m. strateginio plėtros plano 1.6.3.7 priemonę "Sudaryti sąlygas Klaipėdos regiono stadiono statybai galimybių studijos parinktoje vietoje", siūloma į SVP įtraukti naują priemonę. </t>
  </si>
  <si>
    <t>Siūloma planuoti didesnį lėšų poreikį 2018 m. siekiant sudaryti palankesnes sąlygas elektromobilių vairuotojams naudotis mobiliąja aplikacija.  Dėl to būtina atnaujinti tris seno modelio stoteles. Taip pat reikalinga koreguoti vertinimo kriterijaus reikšmę, vietoje 5 vnt. įrašyti 6 vnt. stotelių. Be to, siūloma planuoti lėšų poreikį elektromobilių įkrovimo stotelių techninei priežiūrai 2019 ir 2020 m.</t>
  </si>
  <si>
    <t>Reikalinga koreguoti rodiklį, nes 2018 m. dar neperimtas priežiūrai Priestočio g. pėsčiųjų tiltas</t>
  </si>
  <si>
    <t>SB(ES)</t>
  </si>
  <si>
    <t>Reikalinga didinti finansinę projekto vertę, kadangi  techniniai projektai pagal šią priemonę bus rengiami ne tik ES projekto lėšomis finansuojamoms gatvėms</t>
  </si>
  <si>
    <t>2018 m. planuojama atlikti daugiau požeminės perėjos rekonstravimo darbų nei planuota, todėl atitinkamai reikalinga 2018 m. numatyti didesnį lėšų poreikį, o 2019 m. - mažesnį. Taip pat didėja projekto vertė, nes pirkimų metu buvo pasiūlytos didesnės kainos.</t>
  </si>
  <si>
    <t>__________________________________________________</t>
  </si>
  <si>
    <t xml:space="preserve">2018–2021 M. KLAIPĖDOS MIESTO SAVIVALDYBĖS     </t>
  </si>
  <si>
    <t>2021-ųjų metų lėšų projektas</t>
  </si>
  <si>
    <t>2021-ieji metai</t>
  </si>
  <si>
    <t>Reikalinga tikslinti priemonės lėšų poreikį 2018 m., įrašant 2017 metais nepanaudotų lėšų likutį, tačiau bendra projekto vertė nesikeičia. 2018 m. bus atlikta techninio projekto bendroji ekspertizė</t>
  </si>
  <si>
    <t xml:space="preserve"> Miesto tvarkymo sk.</t>
  </si>
  <si>
    <t>80</t>
  </si>
  <si>
    <t>Siūloma nauja priemonė iš Miesto plėtros ir strateginio planavimo komiteto. Protokolas 2018-06-20 Nr. TAR-56</t>
  </si>
  <si>
    <t>Danės vietinės reikšmės vidaus kelio priežiūros organizavimas</t>
  </si>
  <si>
    <t>Jūrininkų prospekto ruožo nuo Šilutės pl. iki Minijos g. kapitalinis remontas</t>
  </si>
  <si>
    <t>Neeksploatuojamų požeminių perėjų Šilutės pl. kapitalinis remontas</t>
  </si>
  <si>
    <r>
      <t xml:space="preserve">Jūrininkų prospekto ruožo nuo Šilutės pl. iki Minijos g. </t>
    </r>
    <r>
      <rPr>
        <strike/>
        <sz val="10"/>
        <rFont val="Times New Roman"/>
        <family val="1"/>
        <charset val="186"/>
      </rPr>
      <t xml:space="preserve">rekonstrukcija </t>
    </r>
    <r>
      <rPr>
        <sz val="10"/>
        <color rgb="FFFF0000"/>
        <rFont val="Times New Roman"/>
        <family val="1"/>
        <charset val="186"/>
      </rPr>
      <t>kapitalinis remontas</t>
    </r>
  </si>
  <si>
    <t>Eksploatuojama elektromobilių įkrovimo stotelių, vnt.</t>
  </si>
  <si>
    <r>
      <t xml:space="preserve">Renginių, kurių metu keleiviams bus taikomos lengvatos, vnt. (2018 m. renginiai: Diena be automobilio, Lietuvos vakarų krašto dainų šventė,  skirta Lietuvos valstybės atkūrimo 100-mečiui, tarptautinis folkloro festivalis „Parbėg laivelis“, </t>
    </r>
    <r>
      <rPr>
        <sz val="10"/>
        <color rgb="FFFF0000"/>
        <rFont val="Times New Roman"/>
        <family val="1"/>
        <charset val="186"/>
      </rPr>
      <t xml:space="preserve">Jūros šventės metu, NATO šalių tarptautinių jūrinių pratybų „Baltops‘18“ kariams birželio 1-4 d.), </t>
    </r>
    <r>
      <rPr>
        <sz val="10"/>
        <rFont val="Times New Roman"/>
        <family val="1"/>
        <charset val="186"/>
      </rPr>
      <t>vnt.</t>
    </r>
  </si>
  <si>
    <t>Siūloma papildyti vertinimo kriterijaus formuluotę - keleivius nemokamai vežti Jūros šventės metu bei NATO šalių tarptautinių jūrinių pratybų „Baltops‘18“ karius birželio 1-4 dienomis.</t>
  </si>
  <si>
    <r>
      <t xml:space="preserve">Renginių, kurių metu keleiviams bus taikomos lengvatos, vnt. (2018 m. renginiai: Diena be automobilio, Lietuvos vakarų krašto dainų šventė,  skirta Lietuvos valstybės atkūrimo 100-mečiui, tarptautinis folkloro festivalis „Parbėg laivelis“, </t>
    </r>
    <r>
      <rPr>
        <sz val="10"/>
        <color rgb="FFFF0000"/>
        <rFont val="Times New Roman"/>
        <family val="1"/>
        <charset val="186"/>
      </rPr>
      <t>Jūros šventės metu, NATO šalių tarptautinių jūrinių pratybų „Baltops‘18“ kariams birželio 1-4 d.), vnt.</t>
    </r>
  </si>
  <si>
    <t>Renginių, kurių metu keleiviams bus taikomos lengvatos, vnt. (2018 m. renginiai: Diena be automobilio, Lietuvos vakarų krašto dainų šventė,  skirta Lietuvos valstybės atkūrimo 100-mečiui, tarptautinis folkloro festivalis „Parbėg laivelis“, Jūros šventės metu, NATO šalių tarptautinių jūrinių pratybų „Baltops‘18“ kariams birželio 1-4 d.), vnt.</t>
  </si>
  <si>
    <r>
      <t>Planuojama, atliekant Jūrininkų pr. rekonstrukciją, atnaujinti 7</t>
    </r>
    <r>
      <rPr>
        <sz val="10"/>
        <color rgb="FFFF0000"/>
        <rFont val="Times New Roman"/>
        <family val="1"/>
        <charset val="186"/>
      </rPr>
      <t xml:space="preserve"> </t>
    </r>
    <r>
      <rPr>
        <sz val="10"/>
        <rFont val="Times New Roman"/>
        <family val="1"/>
        <charset val="186"/>
      </rPr>
      <t>šviesoforines sankryžas, įrengti 42 naujus šviesoforus, instaliuoti programinę įrangą bei modulius, šių darbų vertė apie 500 tūkst. Eur. Taip pat tikslinama bendra projekto finansinė vertė, nes rengiant 2018-2020 m. SVP nebuvo įmanoma tiksliai įvertinti, kiek darbų bus atlikta ir už juos apmokėta 2017 m.</t>
    </r>
  </si>
  <si>
    <r>
      <t xml:space="preserve">Siūloma Pamario gatvės rekonstrukciją pabaigti 2019 metais, todėl reikalinga atitinkamai koreguoti vertinimo kriterijų reikšmes bei lėšų poreikį 2019 m. ir 2020 m.  Su VĮ Klaipėdos valstybinio jūrų uosto direkcija (KVJUD)  2018-04-24  pasirašytas susitarimas Nr. J9-1088, kuriame numatytas papildomas finansavimas savivaldybės investiciniams projektams pagal sąrašą. Sąraše yra Pamario g. rekonstravimas. Kadangi rangos darbus pavyko įsigyti pigiau, nei planuota,   projekto vertė mažėja </t>
    </r>
    <r>
      <rPr>
        <sz val="10"/>
        <rFont val="Calibri"/>
        <family val="2"/>
        <charset val="186"/>
      </rPr>
      <t>~</t>
    </r>
    <r>
      <rPr>
        <sz val="10"/>
        <rFont val="Times New Roman"/>
        <family val="1"/>
        <charset val="186"/>
      </rPr>
      <t xml:space="preserve"> 1550,0 tūkst. Eur.</t>
    </r>
  </si>
  <si>
    <t>Atliktas poveikio aplinkai vertinimo  dokumentas, vnt.</t>
  </si>
  <si>
    <t>Atliktas poveikio aplinkai vertinimo dokumentas, vnt.</t>
  </si>
  <si>
    <t>Atliktas poveikio aplinka vertinimo dokumentas, vnt.</t>
  </si>
  <si>
    <t xml:space="preserve">Koreguota pagal bendruomenės pastabas ir pasiūlymus, bei atsižvelgiant į finansavimo planą </t>
  </si>
  <si>
    <t>Koreguota pagal bendruomenės pastabas ir pasiūlymus. Siekiant įgyvendinti Klaipėdos m. sav. 2013-2020 m. strateginio plėtros plano 2.1.2.14 priemonę, kurioje numatyta rekonstruoti Klemiškės g., siūloma įtraukti naują papriemonę į SVP ir 2020 m. parengti techninį projektą, preliminariais skaičiavimais investicinio projekto vertė sudarys apie 1900 tūkst.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</si>
</sst>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4"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b/>
      <sz val="9"/>
      <name val="Times New Roman"/>
      <family val="1"/>
      <charset val="186"/>
    </font>
    <font>
      <sz val="8"/>
      <name val="Arial"/>
      <family val="2"/>
      <charset val="186"/>
    </font>
    <font>
      <sz val="9"/>
      <name val="Arial"/>
      <family val="2"/>
      <charset val="186"/>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sz val="10"/>
      <color theme="1"/>
      <name val="Times New Roman"/>
      <family val="1"/>
      <charset val="186"/>
    </font>
    <font>
      <i/>
      <sz val="8"/>
      <name val="Times New Roman"/>
      <family val="1"/>
      <charset val="186"/>
    </font>
    <font>
      <b/>
      <i/>
      <sz val="10"/>
      <name val="Times New Roman"/>
      <family val="1"/>
      <charset val="186"/>
    </font>
    <font>
      <i/>
      <sz val="10"/>
      <color theme="1"/>
      <name val="Times New Roman"/>
      <family val="1"/>
      <charset val="186"/>
    </font>
    <font>
      <sz val="10"/>
      <color rgb="FF1F497D"/>
      <name val="Times New Roman"/>
      <family val="1"/>
      <charset val="186"/>
    </font>
    <font>
      <sz val="10"/>
      <color theme="1"/>
      <name val="Arial"/>
      <family val="2"/>
      <charset val="186"/>
    </font>
    <font>
      <sz val="10"/>
      <color theme="1"/>
      <name val="Times New Roman"/>
      <family val="1"/>
    </font>
    <font>
      <sz val="9"/>
      <color theme="1"/>
      <name val="Times New Roman"/>
      <family val="1"/>
      <charset val="186"/>
    </font>
    <font>
      <b/>
      <sz val="10"/>
      <color rgb="FFFF0000"/>
      <name val="Times New Roman"/>
      <family val="1"/>
      <charset val="186"/>
    </font>
    <font>
      <b/>
      <sz val="12"/>
      <name val="Times New Roman"/>
      <family val="1"/>
      <charset val="186"/>
    </font>
    <font>
      <sz val="12"/>
      <name val="Times New Roman"/>
      <family val="1"/>
      <charset val="186"/>
    </font>
    <font>
      <strike/>
      <sz val="10"/>
      <color rgb="FFFF0000"/>
      <name val="Times New Roman"/>
      <family val="1"/>
      <charset val="186"/>
    </font>
    <font>
      <sz val="10"/>
      <color rgb="FFFF0000"/>
      <name val="Arial"/>
      <family val="2"/>
      <charset val="186"/>
    </font>
    <font>
      <sz val="7"/>
      <color rgb="FFFF0000"/>
      <name val="Arial"/>
      <family val="2"/>
      <charset val="186"/>
    </font>
    <font>
      <sz val="10"/>
      <name val="Calibri"/>
      <family val="2"/>
      <charset val="186"/>
    </font>
    <font>
      <b/>
      <sz val="10"/>
      <color theme="1"/>
      <name val="Times New Roman"/>
      <family val="1"/>
      <charset val="186"/>
    </font>
    <font>
      <b/>
      <sz val="8"/>
      <color rgb="FFFF0000"/>
      <name val="Times New Roman"/>
      <family val="1"/>
      <charset val="186"/>
    </font>
    <font>
      <sz val="9"/>
      <color rgb="FFFF0000"/>
      <name val="Times New Roman"/>
      <family val="1"/>
      <charset val="186"/>
    </font>
    <font>
      <strike/>
      <sz val="10"/>
      <name val="Times New Roman"/>
      <family val="1"/>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FFFFFF"/>
        <bgColor indexed="64"/>
      </patternFill>
    </fill>
    <fill>
      <patternFill patternType="solid">
        <fgColor theme="0" tint="-0.249977111117893"/>
        <bgColor indexed="64"/>
      </patternFill>
    </fill>
    <fill>
      <patternFill patternType="solid">
        <fgColor rgb="FFCCFF99"/>
        <bgColor indexed="64"/>
      </patternFill>
    </fill>
  </fills>
  <borders count="1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top style="medium">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s>
  <cellStyleXfs count="3">
    <xf numFmtId="0" fontId="0" fillId="0" borderId="0"/>
    <xf numFmtId="164" fontId="9" fillId="0" borderId="0" applyFont="0" applyFill="0" applyBorder="0" applyAlignment="0" applyProtection="0"/>
    <xf numFmtId="0" fontId="9" fillId="0" borderId="0"/>
  </cellStyleXfs>
  <cellXfs count="2198">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0" fontId="9" fillId="0" borderId="0" xfId="0" applyFont="1"/>
    <xf numFmtId="0" fontId="4" fillId="0" borderId="0" xfId="0" applyNumberFormat="1" applyFont="1" applyAlignment="1">
      <alignment vertical="top"/>
    </xf>
    <xf numFmtId="0" fontId="3" fillId="0" borderId="28" xfId="0" applyFont="1" applyBorder="1" applyAlignment="1">
      <alignment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3"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88"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3" fillId="0" borderId="13" xfId="0" applyNumberFormat="1" applyFont="1" applyFill="1" applyBorder="1" applyAlignment="1">
      <alignment horizontal="center" vertical="top" wrapText="1"/>
    </xf>
    <xf numFmtId="0" fontId="3" fillId="7" borderId="86"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xf>
    <xf numFmtId="3" fontId="3" fillId="0" borderId="88"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49" fontId="4" fillId="0" borderId="35" xfId="0" applyNumberFormat="1" applyFont="1" applyBorder="1" applyAlignment="1">
      <alignment horizontal="center" vertical="top"/>
    </xf>
    <xf numFmtId="0" fontId="3" fillId="7" borderId="6" xfId="0" applyFont="1" applyFill="1" applyBorder="1" applyAlignment="1">
      <alignment horizontal="center" vertical="top"/>
    </xf>
    <xf numFmtId="49" fontId="3" fillId="7" borderId="11" xfId="0" applyNumberFormat="1" applyFont="1" applyFill="1" applyBorder="1" applyAlignment="1">
      <alignment horizontal="center" vertical="top"/>
    </xf>
    <xf numFmtId="3" fontId="3" fillId="0" borderId="0" xfId="0" applyNumberFormat="1" applyFont="1" applyBorder="1" applyAlignment="1">
      <alignment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0" fontId="3" fillId="7" borderId="81"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0" fontId="3" fillId="7" borderId="34" xfId="0" applyFont="1" applyFill="1" applyBorder="1" applyAlignment="1">
      <alignment horizontal="center" vertical="top"/>
    </xf>
    <xf numFmtId="3" fontId="3" fillId="7" borderId="35" xfId="0" applyNumberFormat="1" applyFont="1" applyFill="1" applyBorder="1" applyAlignment="1">
      <alignment horizontal="center" vertical="top"/>
    </xf>
    <xf numFmtId="3" fontId="3" fillId="7" borderId="87"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top"/>
    </xf>
    <xf numFmtId="166" fontId="3" fillId="0" borderId="0" xfId="0" applyNumberFormat="1" applyFont="1" applyBorder="1" applyAlignment="1">
      <alignment vertical="top"/>
    </xf>
    <xf numFmtId="166" fontId="3" fillId="7" borderId="23"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166" fontId="3" fillId="7" borderId="8" xfId="0" applyNumberFormat="1" applyFont="1" applyFill="1" applyBorder="1" applyAlignment="1">
      <alignment horizontal="center" vertical="top"/>
    </xf>
    <xf numFmtId="166" fontId="3" fillId="0" borderId="23" xfId="0" applyNumberFormat="1" applyFont="1" applyBorder="1" applyAlignment="1">
      <alignment horizontal="center" vertical="top"/>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3" fillId="7" borderId="6" xfId="0" applyNumberFormat="1" applyFont="1" applyFill="1" applyBorder="1" applyAlignment="1">
      <alignment horizontal="center" vertical="top"/>
    </xf>
    <xf numFmtId="166" fontId="3" fillId="0" borderId="29" xfId="0" applyNumberFormat="1" applyFont="1" applyFill="1" applyBorder="1" applyAlignment="1">
      <alignment vertical="top" wrapText="1"/>
    </xf>
    <xf numFmtId="166" fontId="3" fillId="7" borderId="6" xfId="0" applyNumberFormat="1" applyFont="1" applyFill="1" applyBorder="1" applyAlignment="1">
      <alignment horizontal="center" vertical="top" wrapText="1"/>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1"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7" borderId="109" xfId="0" applyNumberFormat="1" applyFont="1" applyFill="1" applyBorder="1" applyAlignment="1">
      <alignment horizontal="center" vertical="top"/>
    </xf>
    <xf numFmtId="166" fontId="4" fillId="3" borderId="23" xfId="0" applyNumberFormat="1" applyFont="1" applyFill="1" applyBorder="1" applyAlignment="1">
      <alignment horizontal="center" vertical="top"/>
    </xf>
    <xf numFmtId="166" fontId="3" fillId="7" borderId="10" xfId="0" applyNumberFormat="1" applyFont="1" applyFill="1" applyBorder="1" applyAlignment="1">
      <alignment horizontal="right" vertical="top"/>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3" fillId="7" borderId="86"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2" fillId="7" borderId="52" xfId="0" applyNumberFormat="1" applyFont="1" applyFill="1" applyBorder="1" applyAlignment="1">
      <alignment horizontal="center" vertical="center" wrapText="1"/>
    </xf>
    <xf numFmtId="3" fontId="3" fillId="7" borderId="88" xfId="0" applyNumberFormat="1" applyFont="1" applyFill="1" applyBorder="1" applyAlignment="1">
      <alignment horizontal="center" vertical="top" wrapText="1"/>
    </xf>
    <xf numFmtId="3" fontId="7" fillId="7" borderId="88" xfId="0" applyNumberFormat="1" applyFont="1" applyFill="1" applyBorder="1" applyAlignment="1">
      <alignment horizontal="center" vertical="center"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12"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0"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7" borderId="66"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3" fillId="7" borderId="86"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7" borderId="81" xfId="0" applyNumberFormat="1" applyFont="1" applyFill="1" applyBorder="1" applyAlignment="1">
      <alignment horizontal="center" vertical="top"/>
    </xf>
    <xf numFmtId="166" fontId="3" fillId="7" borderId="104" xfId="0" applyNumberFormat="1" applyFont="1" applyFill="1" applyBorder="1" applyAlignment="1">
      <alignment horizontal="center" vertical="top"/>
    </xf>
    <xf numFmtId="166" fontId="4" fillId="8" borderId="68" xfId="0" applyNumberFormat="1" applyFont="1" applyFill="1" applyBorder="1" applyAlignment="1">
      <alignment horizontal="center" vertical="top"/>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166" fontId="3" fillId="7" borderId="50" xfId="0" applyNumberFormat="1" applyFont="1" applyFill="1" applyBorder="1" applyAlignment="1">
      <alignment vertical="top"/>
    </xf>
    <xf numFmtId="166" fontId="3" fillId="7" borderId="105"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4" fillId="8" borderId="9" xfId="0" applyNumberFormat="1" applyFont="1" applyFill="1" applyBorder="1" applyAlignment="1">
      <alignment horizontal="center" vertical="top"/>
    </xf>
    <xf numFmtId="166" fontId="3" fillId="7" borderId="77"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3" fillId="0" borderId="0" xfId="0" applyFont="1"/>
    <xf numFmtId="0" fontId="3" fillId="0" borderId="2" xfId="0" applyFont="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2" xfId="0" applyNumberFormat="1" applyFont="1" applyFill="1" applyBorder="1" applyAlignment="1">
      <alignment horizontal="center" vertical="top"/>
    </xf>
    <xf numFmtId="166" fontId="3" fillId="3" borderId="28" xfId="0" applyNumberFormat="1" applyFont="1" applyFill="1" applyBorder="1" applyAlignment="1">
      <alignment horizontal="center" vertical="top"/>
    </xf>
    <xf numFmtId="3" fontId="3" fillId="7" borderId="49"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0" borderId="71" xfId="0" applyNumberFormat="1" applyFont="1" applyFill="1" applyBorder="1" applyAlignment="1">
      <alignment horizontal="center" vertical="top"/>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7" fillId="7" borderId="28" xfId="0" applyNumberFormat="1" applyFont="1" applyFill="1" applyBorder="1" applyAlignment="1">
      <alignment horizontal="center" vertical="center" wrapText="1"/>
    </xf>
    <xf numFmtId="0" fontId="3" fillId="0" borderId="66" xfId="0" applyFont="1" applyBorder="1" applyAlignment="1">
      <alignment horizontal="center" vertical="top"/>
    </xf>
    <xf numFmtId="3" fontId="3" fillId="7" borderId="96" xfId="0" applyNumberFormat="1" applyFont="1" applyFill="1" applyBorder="1" applyAlignment="1">
      <alignment horizontal="center" vertical="top"/>
    </xf>
    <xf numFmtId="3" fontId="3" fillId="7" borderId="98" xfId="0" applyNumberFormat="1" applyFont="1" applyFill="1" applyBorder="1" applyAlignment="1">
      <alignment horizontal="center" vertical="top" wrapText="1"/>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0" borderId="12" xfId="0" applyNumberFormat="1" applyFont="1" applyFill="1" applyBorder="1" applyAlignment="1">
      <alignment vertical="top" wrapText="1"/>
    </xf>
    <xf numFmtId="166" fontId="3" fillId="7" borderId="34" xfId="0" applyNumberFormat="1" applyFont="1" applyFill="1" applyBorder="1" applyAlignment="1">
      <alignment vertical="top"/>
    </xf>
    <xf numFmtId="166" fontId="3" fillId="7" borderId="34" xfId="0" applyNumberFormat="1" applyFont="1" applyFill="1" applyBorder="1" applyAlignment="1">
      <alignment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50" xfId="0" applyNumberFormat="1" applyFont="1" applyBorder="1" applyAlignment="1">
      <alignment vertical="top"/>
    </xf>
    <xf numFmtId="3" fontId="3" fillId="7" borderId="106" xfId="0" applyNumberFormat="1" applyFont="1" applyFill="1" applyBorder="1" applyAlignment="1">
      <alignment horizontal="center" vertical="top"/>
    </xf>
    <xf numFmtId="166" fontId="3" fillId="0" borderId="13" xfId="0" applyNumberFormat="1" applyFont="1" applyBorder="1" applyAlignment="1">
      <alignment vertical="top"/>
    </xf>
    <xf numFmtId="3" fontId="3" fillId="7" borderId="82" xfId="0" applyNumberFormat="1" applyFont="1" applyFill="1" applyBorder="1" applyAlignment="1">
      <alignment horizontal="center" vertical="top"/>
    </xf>
    <xf numFmtId="166" fontId="3" fillId="3" borderId="54"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7" fillId="7" borderId="96" xfId="0" applyNumberFormat="1" applyFont="1" applyFill="1" applyBorder="1" applyAlignment="1">
      <alignment horizontal="center" vertical="center" wrapText="1"/>
    </xf>
    <xf numFmtId="166" fontId="3" fillId="7" borderId="13"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0" borderId="87" xfId="0" applyNumberFormat="1" applyFont="1" applyFill="1" applyBorder="1" applyAlignment="1">
      <alignment horizontal="center" vertical="top"/>
    </xf>
    <xf numFmtId="49" fontId="3" fillId="7" borderId="87"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0" fontId="3" fillId="7" borderId="86" xfId="0" applyFont="1" applyFill="1" applyBorder="1" applyAlignment="1">
      <alignment vertical="top" wrapText="1"/>
    </xf>
    <xf numFmtId="166" fontId="3" fillId="7" borderId="39"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3" fillId="0" borderId="51"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7" fillId="7"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6" xfId="0" applyNumberFormat="1" applyFont="1" applyFill="1" applyBorder="1" applyAlignment="1">
      <alignment horizontal="center" vertical="top"/>
    </xf>
    <xf numFmtId="166" fontId="3" fillId="7" borderId="28" xfId="0" applyNumberFormat="1" applyFont="1" applyFill="1" applyBorder="1" applyAlignment="1">
      <alignment vertical="top"/>
    </xf>
    <xf numFmtId="166" fontId="3" fillId="7" borderId="66" xfId="0" applyNumberFormat="1" applyFont="1" applyFill="1" applyBorder="1" applyAlignment="1">
      <alignment vertical="top"/>
    </xf>
    <xf numFmtId="166" fontId="3" fillId="7" borderId="54"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3" fontId="3" fillId="7" borderId="111"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7" fillId="7" borderId="18" xfId="0" applyNumberFormat="1" applyFont="1" applyFill="1" applyBorder="1" applyAlignment="1">
      <alignment horizontal="center" vertical="top" wrapText="1"/>
    </xf>
    <xf numFmtId="166" fontId="3" fillId="0" borderId="26" xfId="0" applyNumberFormat="1" applyFont="1" applyBorder="1" applyAlignment="1">
      <alignment horizontal="center" vertical="center"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166" fontId="3" fillId="7" borderId="29" xfId="0" applyNumberFormat="1" applyFont="1" applyFill="1" applyBorder="1" applyAlignment="1">
      <alignment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166" fontId="3" fillId="7" borderId="44" xfId="0" applyNumberFormat="1" applyFont="1" applyFill="1" applyBorder="1" applyAlignment="1">
      <alignment vertical="top"/>
    </xf>
    <xf numFmtId="3" fontId="15" fillId="7" borderId="8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3" fillId="7" borderId="96"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3" fillId="7" borderId="42"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166" fontId="3" fillId="7" borderId="11" xfId="0" applyNumberFormat="1" applyFont="1" applyFill="1" applyBorder="1" applyAlignment="1">
      <alignment horizontal="center" vertical="top"/>
    </xf>
    <xf numFmtId="166" fontId="4" fillId="7" borderId="77"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3" fillId="3" borderId="15" xfId="0" applyNumberFormat="1" applyFont="1" applyFill="1" applyBorder="1" applyAlignment="1">
      <alignment horizontal="center" vertical="center" wrapText="1"/>
    </xf>
    <xf numFmtId="166" fontId="3" fillId="7" borderId="81" xfId="0" applyNumberFormat="1" applyFont="1" applyFill="1" applyBorder="1" applyAlignment="1">
      <alignment vertical="top" wrapText="1"/>
    </xf>
    <xf numFmtId="166" fontId="3" fillId="0" borderId="15" xfId="0" applyNumberFormat="1" applyFont="1" applyBorder="1" applyAlignment="1">
      <alignment horizontal="center" vertical="top" wrapText="1"/>
    </xf>
    <xf numFmtId="166" fontId="3" fillId="7" borderId="87" xfId="0" applyNumberFormat="1" applyFont="1" applyFill="1" applyBorder="1" applyAlignment="1">
      <alignment vertical="top" wrapText="1"/>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166" fontId="3" fillId="3" borderId="6" xfId="0" applyNumberFormat="1" applyFont="1" applyFill="1" applyBorder="1" applyAlignment="1">
      <alignment horizontal="center" vertical="top"/>
    </xf>
    <xf numFmtId="166" fontId="3" fillId="7" borderId="5" xfId="0" applyNumberFormat="1" applyFont="1" applyFill="1" applyBorder="1" applyAlignment="1">
      <alignment vertical="top" wrapText="1"/>
    </xf>
    <xf numFmtId="166" fontId="3" fillId="7" borderId="79" xfId="0" applyNumberFormat="1" applyFont="1" applyFill="1" applyBorder="1" applyAlignment="1">
      <alignment horizontal="left" vertical="top" wrapText="1"/>
    </xf>
    <xf numFmtId="166" fontId="3" fillId="3" borderId="0"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3" fillId="3" borderId="11" xfId="0" applyNumberFormat="1" applyFont="1" applyFill="1" applyBorder="1" applyAlignment="1">
      <alignment horizontal="center" vertical="center" textRotation="90" wrapText="1"/>
    </xf>
    <xf numFmtId="166" fontId="4" fillId="7" borderId="25" xfId="0" applyNumberFormat="1" applyFont="1" applyFill="1" applyBorder="1" applyAlignment="1">
      <alignment vertical="top"/>
    </xf>
    <xf numFmtId="166" fontId="3" fillId="0" borderId="91"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0" fillId="7" borderId="29" xfId="0" applyNumberFormat="1" applyFont="1" applyFill="1" applyBorder="1" applyAlignment="1">
      <alignment vertical="top" wrapText="1"/>
    </xf>
    <xf numFmtId="166" fontId="20" fillId="7" borderId="6"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0" borderId="35"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3" fontId="3" fillId="7" borderId="20"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60" xfId="0" applyNumberFormat="1" applyFont="1" applyFill="1" applyBorder="1" applyAlignment="1">
      <alignment horizontal="center" vertical="top"/>
    </xf>
    <xf numFmtId="166" fontId="5" fillId="3" borderId="11" xfId="0" applyNumberFormat="1" applyFont="1" applyFill="1" applyBorder="1" applyAlignment="1">
      <alignment horizontal="center" vertical="center" textRotation="90" wrapText="1"/>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66" fontId="3" fillId="3" borderId="44" xfId="0" applyNumberFormat="1" applyFont="1" applyFill="1" applyBorder="1" applyAlignment="1">
      <alignment horizontal="center" vertical="top"/>
    </xf>
    <xf numFmtId="166" fontId="3" fillId="0" borderId="86" xfId="0" applyNumberFormat="1" applyFont="1" applyFill="1" applyBorder="1" applyAlignment="1">
      <alignment horizontal="left" vertical="top" wrapText="1"/>
    </xf>
    <xf numFmtId="49" fontId="3" fillId="0" borderId="87" xfId="0" applyNumberFormat="1" applyFont="1" applyFill="1" applyBorder="1" applyAlignment="1">
      <alignment horizontal="center" vertical="top"/>
    </xf>
    <xf numFmtId="49" fontId="3" fillId="0" borderId="98" xfId="0" applyNumberFormat="1" applyFont="1" applyFill="1" applyBorder="1" applyAlignment="1">
      <alignment horizontal="center" vertical="top"/>
    </xf>
    <xf numFmtId="49" fontId="3" fillId="7" borderId="20" xfId="0" applyNumberFormat="1" applyFont="1" applyFill="1" applyBorder="1" applyAlignment="1">
      <alignment horizontal="left" vertical="top" wrapText="1"/>
    </xf>
    <xf numFmtId="0" fontId="3" fillId="7" borderId="87" xfId="0" applyNumberFormat="1" applyFont="1" applyFill="1" applyBorder="1" applyAlignment="1">
      <alignment horizontal="left" vertical="top" wrapText="1"/>
    </xf>
    <xf numFmtId="0" fontId="3" fillId="7" borderId="90" xfId="0" applyFont="1" applyFill="1" applyBorder="1" applyAlignment="1">
      <alignment horizontal="left" vertical="top" wrapText="1"/>
    </xf>
    <xf numFmtId="0" fontId="3" fillId="7" borderId="7" xfId="0" applyFont="1" applyFill="1" applyBorder="1" applyAlignment="1">
      <alignmen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166" fontId="3" fillId="7" borderId="48" xfId="0" applyNumberFormat="1" applyFont="1" applyFill="1" applyBorder="1" applyAlignment="1">
      <alignment horizontal="left" vertical="top" wrapText="1"/>
    </xf>
    <xf numFmtId="166" fontId="3" fillId="7" borderId="102"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3" fillId="0" borderId="18" xfId="0" applyNumberFormat="1" applyFont="1" applyBorder="1" applyAlignment="1">
      <alignment horizontal="center" vertical="top" wrapText="1"/>
    </xf>
    <xf numFmtId="166" fontId="9" fillId="7" borderId="49" xfId="0" applyNumberFormat="1" applyFont="1" applyFill="1" applyBorder="1" applyAlignment="1">
      <alignment vertical="top" wrapText="1"/>
    </xf>
    <xf numFmtId="166" fontId="9" fillId="7" borderId="18" xfId="0" applyNumberFormat="1" applyFont="1" applyFill="1" applyBorder="1" applyAlignment="1">
      <alignment horizontal="center" wrapText="1"/>
    </xf>
    <xf numFmtId="0" fontId="3" fillId="7" borderId="50" xfId="0" applyFont="1" applyFill="1" applyBorder="1" applyAlignment="1">
      <alignment horizontal="center" vertical="top"/>
    </xf>
    <xf numFmtId="3" fontId="7" fillId="7" borderId="77" xfId="0" applyNumberFormat="1" applyFont="1" applyFill="1" applyBorder="1" applyAlignment="1">
      <alignment horizontal="center" vertical="center" wrapText="1"/>
    </xf>
    <xf numFmtId="3" fontId="3" fillId="7" borderId="103" xfId="0" applyNumberFormat="1" applyFont="1" applyFill="1" applyBorder="1" applyAlignment="1">
      <alignment horizontal="center" vertical="top"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20" fillId="7" borderId="66" xfId="0" applyNumberFormat="1" applyFont="1" applyFill="1" applyBorder="1" applyAlignment="1">
      <alignment horizontal="left" vertical="top" wrapText="1"/>
    </xf>
    <xf numFmtId="3" fontId="3" fillId="7" borderId="77" xfId="0" applyNumberFormat="1" applyFont="1" applyFill="1" applyBorder="1" applyAlignment="1">
      <alignment horizontal="center" vertical="top"/>
    </xf>
    <xf numFmtId="49" fontId="7" fillId="3" borderId="0" xfId="0" applyNumberFormat="1" applyFont="1" applyFill="1" applyBorder="1" applyAlignment="1">
      <alignment horizontal="center" vertical="center" textRotation="90" wrapText="1"/>
    </xf>
    <xf numFmtId="166" fontId="7" fillId="0" borderId="18" xfId="0" applyNumberFormat="1" applyFont="1" applyFill="1" applyBorder="1" applyAlignment="1">
      <alignment horizontal="center" vertical="top" wrapText="1"/>
    </xf>
    <xf numFmtId="166" fontId="3" fillId="7" borderId="37" xfId="0" applyNumberFormat="1" applyFont="1" applyFill="1" applyBorder="1" applyAlignment="1">
      <alignment vertical="top"/>
    </xf>
    <xf numFmtId="49" fontId="3" fillId="7" borderId="28" xfId="0" applyNumberFormat="1" applyFont="1" applyFill="1" applyBorder="1" applyAlignment="1">
      <alignment horizontal="center" vertical="top"/>
    </xf>
    <xf numFmtId="49" fontId="3" fillId="7" borderId="35" xfId="0" applyNumberFormat="1" applyFont="1" applyFill="1" applyBorder="1" applyAlignment="1">
      <alignment horizontal="center" vertical="top"/>
    </xf>
    <xf numFmtId="166" fontId="3" fillId="7" borderId="21" xfId="0" applyNumberFormat="1" applyFont="1" applyFill="1" applyBorder="1" applyAlignment="1">
      <alignment vertical="top"/>
    </xf>
    <xf numFmtId="0" fontId="3" fillId="7" borderId="49" xfId="0" applyNumberFormat="1" applyFont="1" applyFill="1" applyBorder="1" applyAlignment="1">
      <alignment horizontal="center" vertical="top" wrapText="1"/>
    </xf>
    <xf numFmtId="0" fontId="3" fillId="7" borderId="102"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xf>
    <xf numFmtId="3" fontId="3" fillId="7" borderId="110"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3" fontId="3" fillId="7" borderId="118"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120" xfId="0" applyNumberFormat="1" applyFont="1" applyFill="1" applyBorder="1" applyAlignment="1">
      <alignment horizontal="center" vertical="top"/>
    </xf>
    <xf numFmtId="166" fontId="3" fillId="7" borderId="79" xfId="0" applyNumberFormat="1" applyFont="1" applyFill="1" applyBorder="1" applyAlignment="1">
      <alignment horizontal="center" vertical="top"/>
    </xf>
    <xf numFmtId="166" fontId="3" fillId="7" borderId="15"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166" fontId="9" fillId="7" borderId="46" xfId="0" applyNumberFormat="1" applyFont="1" applyFill="1" applyBorder="1" applyAlignment="1">
      <alignment horizontal="center" vertical="center" textRotation="90" wrapText="1"/>
    </xf>
    <xf numFmtId="166" fontId="3" fillId="0" borderId="20" xfId="0" applyNumberFormat="1" applyFont="1" applyFill="1" applyBorder="1" applyAlignment="1">
      <alignment horizontal="center" vertical="top"/>
    </xf>
    <xf numFmtId="3" fontId="3" fillId="7" borderId="48" xfId="0" applyNumberFormat="1" applyFont="1" applyFill="1" applyBorder="1" applyAlignment="1">
      <alignment horizontal="center" vertical="top"/>
    </xf>
    <xf numFmtId="49" fontId="4" fillId="9" borderId="34" xfId="0" applyNumberFormat="1" applyFont="1" applyFill="1" applyBorder="1" applyAlignment="1">
      <alignment horizontal="center" vertical="top"/>
    </xf>
    <xf numFmtId="166" fontId="3" fillId="0" borderId="39" xfId="0" applyNumberFormat="1" applyFont="1" applyFill="1" applyBorder="1" applyAlignment="1">
      <alignment horizontal="center" vertical="top"/>
    </xf>
    <xf numFmtId="3" fontId="3" fillId="0" borderId="0" xfId="0" applyNumberFormat="1" applyFont="1" applyFill="1" applyBorder="1" applyAlignment="1">
      <alignment horizontal="left" vertical="top" wrapText="1"/>
    </xf>
    <xf numFmtId="3" fontId="3" fillId="3" borderId="0"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wrapText="1"/>
    </xf>
    <xf numFmtId="0" fontId="3" fillId="7" borderId="34" xfId="0" applyFont="1" applyFill="1" applyBorder="1" applyAlignment="1">
      <alignment vertical="top"/>
    </xf>
    <xf numFmtId="0" fontId="3" fillId="7" borderId="11"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18" xfId="0" applyFont="1" applyFill="1" applyBorder="1" applyAlignment="1">
      <alignment vertical="top"/>
    </xf>
    <xf numFmtId="0" fontId="3" fillId="7" borderId="66" xfId="0" applyFont="1" applyFill="1" applyBorder="1" applyAlignment="1">
      <alignment vertical="top"/>
    </xf>
    <xf numFmtId="0" fontId="3" fillId="7" borderId="28" xfId="0" applyFont="1" applyFill="1" applyBorder="1" applyAlignment="1">
      <alignment vertical="top"/>
    </xf>
    <xf numFmtId="0" fontId="3" fillId="7" borderId="35" xfId="0" applyFont="1" applyFill="1" applyBorder="1" applyAlignment="1">
      <alignment vertical="top"/>
    </xf>
    <xf numFmtId="0" fontId="3" fillId="7" borderId="27" xfId="0" applyFont="1" applyFill="1" applyBorder="1" applyAlignment="1">
      <alignment vertical="top"/>
    </xf>
    <xf numFmtId="166" fontId="3" fillId="7" borderId="34" xfId="0" applyNumberFormat="1" applyFont="1" applyFill="1" applyBorder="1" applyAlignment="1">
      <alignment horizontal="center" vertical="top" wrapText="1"/>
    </xf>
    <xf numFmtId="166" fontId="3" fillId="7" borderId="44" xfId="0" applyNumberFormat="1" applyFont="1" applyFill="1" applyBorder="1" applyAlignment="1">
      <alignment horizontal="center" vertical="top" wrapText="1"/>
    </xf>
    <xf numFmtId="166" fontId="4" fillId="7" borderId="44" xfId="0" applyNumberFormat="1" applyFont="1" applyFill="1" applyBorder="1" applyAlignment="1">
      <alignment horizontal="center" vertical="top"/>
    </xf>
    <xf numFmtId="166" fontId="3" fillId="3" borderId="40"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3" fontId="3" fillId="7" borderId="10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wrapText="1"/>
    </xf>
    <xf numFmtId="166" fontId="3" fillId="3" borderId="51"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xf>
    <xf numFmtId="3" fontId="3" fillId="0" borderId="94" xfId="0" applyNumberFormat="1" applyFont="1" applyFill="1" applyBorder="1" applyAlignment="1">
      <alignment horizontal="center" vertical="top"/>
    </xf>
    <xf numFmtId="166" fontId="4" fillId="3" borderId="75"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4" fillId="2" borderId="56"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0" fontId="3" fillId="7" borderId="0" xfId="0" applyFont="1" applyFill="1" applyBorder="1" applyAlignment="1">
      <alignment vertical="top"/>
    </xf>
    <xf numFmtId="166" fontId="3" fillId="3" borderId="52" xfId="0" applyNumberFormat="1" applyFont="1" applyFill="1" applyBorder="1" applyAlignment="1">
      <alignment horizontal="center" vertical="top"/>
    </xf>
    <xf numFmtId="166" fontId="3" fillId="7" borderId="84" xfId="0" applyNumberFormat="1" applyFont="1" applyFill="1" applyBorder="1" applyAlignment="1">
      <alignment vertical="top" wrapText="1"/>
    </xf>
    <xf numFmtId="166" fontId="3" fillId="7" borderId="5"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166" fontId="4" fillId="8" borderId="33"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166" fontId="3" fillId="7" borderId="25" xfId="0" applyNumberFormat="1" applyFont="1" applyFill="1" applyBorder="1" applyAlignment="1">
      <alignment horizontal="center" vertical="center" textRotation="90" wrapText="1"/>
    </xf>
    <xf numFmtId="166" fontId="4" fillId="7" borderId="49" xfId="0" applyNumberFormat="1" applyFont="1" applyFill="1" applyBorder="1" applyAlignment="1">
      <alignment vertical="top" wrapText="1"/>
    </xf>
    <xf numFmtId="166" fontId="4" fillId="7" borderId="35" xfId="0" applyNumberFormat="1" applyFont="1" applyFill="1" applyBorder="1" applyAlignment="1">
      <alignment vertical="top" wrapText="1"/>
    </xf>
    <xf numFmtId="166" fontId="3" fillId="0" borderId="93"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166" fontId="3" fillId="0" borderId="82" xfId="0" applyNumberFormat="1" applyFont="1" applyFill="1" applyBorder="1" applyAlignment="1">
      <alignment horizontal="center" vertical="top"/>
    </xf>
    <xf numFmtId="166" fontId="3" fillId="3" borderId="28" xfId="0" applyNumberFormat="1" applyFont="1" applyFill="1" applyBorder="1" applyAlignment="1">
      <alignment vertical="top" wrapText="1"/>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8" borderId="57" xfId="0" applyNumberFormat="1" applyFont="1" applyFill="1" applyBorder="1" applyAlignment="1">
      <alignment horizontal="center" vertical="top"/>
    </xf>
    <xf numFmtId="49" fontId="4" fillId="8" borderId="11" xfId="0" applyNumberFormat="1" applyFont="1" applyFill="1" applyBorder="1" applyAlignment="1">
      <alignment horizontal="center" vertical="top"/>
    </xf>
    <xf numFmtId="166" fontId="9" fillId="8" borderId="60" xfId="0" applyNumberFormat="1" applyFont="1" applyFill="1" applyBorder="1" applyAlignment="1">
      <alignment vertical="top" wrapText="1"/>
    </xf>
    <xf numFmtId="166" fontId="12" fillId="8" borderId="60" xfId="0" applyNumberFormat="1" applyFont="1" applyFill="1" applyBorder="1" applyAlignment="1">
      <alignment horizontal="center" vertical="center" textRotation="90" wrapText="1"/>
    </xf>
    <xf numFmtId="166" fontId="2" fillId="8" borderId="60" xfId="0" applyNumberFormat="1" applyFont="1" applyFill="1" applyBorder="1" applyAlignment="1">
      <alignment horizontal="center" vertical="center" textRotation="90" wrapText="1"/>
    </xf>
    <xf numFmtId="166" fontId="4" fillId="8" borderId="11" xfId="0" applyNumberFormat="1" applyFont="1" applyFill="1" applyBorder="1" applyAlignment="1">
      <alignment horizontal="center" vertical="top"/>
    </xf>
    <xf numFmtId="166" fontId="4" fillId="8" borderId="25" xfId="0" applyNumberFormat="1" applyFont="1" applyFill="1" applyBorder="1" applyAlignment="1">
      <alignment horizontal="center" vertical="top"/>
    </xf>
    <xf numFmtId="166" fontId="20" fillId="8" borderId="67" xfId="0" applyNumberFormat="1" applyFont="1" applyFill="1" applyBorder="1" applyAlignment="1">
      <alignment horizontal="left" vertical="top" wrapText="1"/>
    </xf>
    <xf numFmtId="3" fontId="3" fillId="8" borderId="60" xfId="0" applyNumberFormat="1" applyFont="1" applyFill="1" applyBorder="1" applyAlignment="1">
      <alignment horizontal="center" vertical="top"/>
    </xf>
    <xf numFmtId="3" fontId="7" fillId="8" borderId="60" xfId="0" applyNumberFormat="1" applyFont="1" applyFill="1" applyBorder="1" applyAlignment="1">
      <alignment horizontal="center" vertical="top" wrapText="1"/>
    </xf>
    <xf numFmtId="3" fontId="7" fillId="8" borderId="63" xfId="0" applyNumberFormat="1" applyFont="1" applyFill="1" applyBorder="1" applyAlignment="1">
      <alignment horizontal="center" vertical="top" wrapText="1"/>
    </xf>
    <xf numFmtId="166" fontId="4" fillId="8" borderId="11" xfId="0" applyNumberFormat="1" applyFont="1" applyFill="1" applyBorder="1" applyAlignment="1">
      <alignment vertical="top"/>
    </xf>
    <xf numFmtId="166" fontId="4" fillId="8" borderId="49" xfId="0" applyNumberFormat="1" applyFont="1" applyFill="1" applyBorder="1" applyAlignment="1">
      <alignment vertical="top"/>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4" fillId="8" borderId="0"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8" borderId="25" xfId="0" applyNumberFormat="1" applyFont="1" applyFill="1" applyBorder="1" applyAlignment="1">
      <alignment vertical="top"/>
    </xf>
    <xf numFmtId="166" fontId="9" fillId="8" borderId="32" xfId="0" applyNumberFormat="1" applyFont="1" applyFill="1" applyBorder="1" applyAlignment="1">
      <alignment vertical="top" wrapText="1"/>
    </xf>
    <xf numFmtId="166" fontId="12" fillId="8" borderId="32" xfId="0" applyNumberFormat="1" applyFont="1" applyFill="1" applyBorder="1" applyAlignment="1">
      <alignment horizontal="center" vertical="center" textRotation="90" wrapText="1"/>
    </xf>
    <xf numFmtId="166" fontId="2" fillId="8" borderId="32" xfId="0" applyNumberFormat="1" applyFont="1" applyFill="1" applyBorder="1" applyAlignment="1">
      <alignment horizontal="center" vertical="center" textRotation="90" wrapText="1"/>
    </xf>
    <xf numFmtId="166" fontId="20" fillId="8" borderId="74" xfId="0" applyNumberFormat="1" applyFont="1" applyFill="1" applyBorder="1" applyAlignment="1">
      <alignment horizontal="left" vertical="top" wrapText="1"/>
    </xf>
    <xf numFmtId="49" fontId="3" fillId="7" borderId="108" xfId="0" applyNumberFormat="1" applyFont="1" applyFill="1" applyBorder="1" applyAlignment="1">
      <alignment horizontal="center" vertical="top"/>
    </xf>
    <xf numFmtId="166" fontId="3" fillId="7" borderId="61"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7" borderId="11" xfId="0" applyNumberFormat="1" applyFont="1" applyFill="1" applyBorder="1" applyAlignment="1">
      <alignment horizontal="center" vertical="top" wrapText="1"/>
    </xf>
    <xf numFmtId="166" fontId="4" fillId="3" borderId="77" xfId="0" applyNumberFormat="1" applyFont="1" applyFill="1" applyBorder="1" applyAlignment="1">
      <alignment horizontal="center" vertical="top"/>
    </xf>
    <xf numFmtId="166" fontId="4" fillId="3" borderId="28" xfId="0"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3" fillId="7" borderId="50" xfId="0" applyNumberFormat="1" applyFont="1" applyFill="1" applyBorder="1" applyAlignment="1">
      <alignment horizontal="center" vertical="top" wrapText="1"/>
    </xf>
    <xf numFmtId="166" fontId="4" fillId="3" borderId="66" xfId="0" applyNumberFormat="1" applyFont="1" applyFill="1" applyBorder="1" applyAlignment="1">
      <alignment horizontal="center" vertical="top"/>
    </xf>
    <xf numFmtId="166" fontId="4" fillId="3" borderId="19" xfId="0" applyNumberFormat="1" applyFont="1" applyFill="1" applyBorder="1" applyAlignment="1">
      <alignment horizontal="center" vertical="top"/>
    </xf>
    <xf numFmtId="166" fontId="3" fillId="0" borderId="10" xfId="0" applyNumberFormat="1" applyFont="1" applyBorder="1" applyAlignment="1">
      <alignment horizontal="center" vertical="top"/>
    </xf>
    <xf numFmtId="166" fontId="3" fillId="0" borderId="54" xfId="0" applyNumberFormat="1" applyFont="1" applyBorder="1" applyAlignment="1">
      <alignment horizontal="center" vertical="top"/>
    </xf>
    <xf numFmtId="166" fontId="3" fillId="7" borderId="54" xfId="1"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32" xfId="0" applyNumberFormat="1" applyFont="1" applyFill="1" applyBorder="1" applyAlignment="1">
      <alignment horizontal="center" vertical="top"/>
    </xf>
    <xf numFmtId="0" fontId="0" fillId="8" borderId="32" xfId="0" applyFill="1" applyBorder="1" applyAlignment="1">
      <alignment vertical="top" wrapText="1"/>
    </xf>
    <xf numFmtId="0" fontId="0" fillId="8" borderId="32" xfId="0" applyFill="1" applyBorder="1" applyAlignment="1">
      <alignment horizontal="center" textRotation="90" wrapText="1"/>
    </xf>
    <xf numFmtId="0" fontId="0" fillId="8" borderId="32" xfId="0" applyFont="1" applyFill="1" applyBorder="1" applyAlignment="1">
      <alignment horizontal="center" vertical="top"/>
    </xf>
    <xf numFmtId="166" fontId="9" fillId="8" borderId="74" xfId="0" applyNumberFormat="1" applyFont="1" applyFill="1" applyBorder="1" applyAlignment="1">
      <alignment vertical="top" wrapText="1"/>
    </xf>
    <xf numFmtId="166" fontId="3" fillId="8" borderId="60" xfId="0" applyNumberFormat="1" applyFont="1" applyFill="1" applyBorder="1" applyAlignment="1">
      <alignment horizontal="center" vertical="top"/>
    </xf>
    <xf numFmtId="0" fontId="3" fillId="7" borderId="37" xfId="0" applyFont="1" applyFill="1" applyBorder="1" applyAlignment="1">
      <alignment vertical="top" wrapText="1"/>
    </xf>
    <xf numFmtId="3" fontId="3" fillId="0" borderId="21" xfId="0" applyNumberFormat="1" applyFont="1" applyFill="1" applyBorder="1" applyAlignment="1">
      <alignment horizontal="center" vertical="top"/>
    </xf>
    <xf numFmtId="166" fontId="20" fillId="7" borderId="7" xfId="0" applyNumberFormat="1" applyFont="1" applyFill="1" applyBorder="1" applyAlignment="1">
      <alignment horizontal="center" vertical="top"/>
    </xf>
    <xf numFmtId="166" fontId="20" fillId="7" borderId="34" xfId="0" applyNumberFormat="1" applyFont="1" applyFill="1" applyBorder="1" applyAlignment="1">
      <alignment horizontal="center" vertical="top"/>
    </xf>
    <xf numFmtId="166" fontId="5" fillId="3" borderId="35" xfId="0" applyNumberFormat="1" applyFont="1" applyFill="1" applyBorder="1" applyAlignment="1">
      <alignment horizontal="center" vertical="center" textRotation="90" wrapText="1"/>
    </xf>
    <xf numFmtId="166" fontId="7" fillId="7" borderId="75" xfId="0" applyNumberFormat="1" applyFont="1" applyFill="1" applyBorder="1" applyAlignment="1">
      <alignment horizontal="center" vertical="center" textRotation="90" wrapText="1"/>
    </xf>
    <xf numFmtId="49" fontId="7" fillId="7" borderId="11" xfId="0" applyNumberFormat="1" applyFont="1" applyFill="1" applyBorder="1" applyAlignment="1">
      <alignment vertical="center" textRotation="90" wrapText="1"/>
    </xf>
    <xf numFmtId="3" fontId="7" fillId="7" borderId="11" xfId="0" applyNumberFormat="1" applyFont="1" applyFill="1" applyBorder="1" applyAlignment="1">
      <alignment textRotation="90"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0" borderId="98"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4" fillId="8" borderId="11" xfId="0" applyNumberFormat="1" applyFont="1" applyFill="1" applyBorder="1" applyAlignment="1">
      <alignment horizontal="center" vertical="top"/>
    </xf>
    <xf numFmtId="166" fontId="4" fillId="8"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3" fillId="3" borderId="49"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3" fillId="7" borderId="20" xfId="0" applyNumberFormat="1" applyFont="1" applyFill="1" applyBorder="1" applyAlignment="1">
      <alignment vertical="top"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7" borderId="28" xfId="0" applyNumberFormat="1" applyFont="1" applyFill="1" applyBorder="1" applyAlignment="1">
      <alignmen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49" fontId="4" fillId="7" borderId="49" xfId="0" applyNumberFormat="1" applyFont="1" applyFill="1" applyBorder="1" applyAlignment="1">
      <alignment horizontal="center" vertical="top"/>
    </xf>
    <xf numFmtId="166" fontId="3" fillId="7" borderId="29" xfId="0" applyNumberFormat="1" applyFont="1" applyFill="1" applyBorder="1" applyAlignment="1">
      <alignment horizontal="left" vertical="top" wrapText="1"/>
    </xf>
    <xf numFmtId="3" fontId="3" fillId="0" borderId="100" xfId="0" applyNumberFormat="1" applyFont="1" applyFill="1" applyBorder="1" applyAlignment="1">
      <alignment horizontal="center" vertical="top"/>
    </xf>
    <xf numFmtId="166" fontId="20" fillId="7" borderId="29" xfId="0" applyNumberFormat="1" applyFont="1" applyFill="1" applyBorder="1" applyAlignment="1">
      <alignment horizontal="left" vertical="top" wrapText="1"/>
    </xf>
    <xf numFmtId="166" fontId="3" fillId="7" borderId="107" xfId="0" applyNumberFormat="1" applyFont="1" applyFill="1" applyBorder="1" applyAlignment="1">
      <alignment horizontal="center" vertical="top"/>
    </xf>
    <xf numFmtId="166" fontId="4" fillId="0" borderId="14" xfId="0" applyNumberFormat="1" applyFont="1" applyBorder="1" applyAlignment="1">
      <alignment horizontal="center" vertical="top"/>
    </xf>
    <xf numFmtId="166" fontId="3" fillId="7" borderId="15" xfId="0" applyNumberFormat="1" applyFont="1" applyFill="1" applyBorder="1" applyAlignment="1">
      <alignment horizontal="center" vertical="top" wrapText="1"/>
    </xf>
    <xf numFmtId="0" fontId="1" fillId="0" borderId="0" xfId="0" applyFont="1" applyBorder="1" applyAlignment="1">
      <alignment horizontal="center" vertical="center" textRotation="90" wrapText="1"/>
    </xf>
    <xf numFmtId="166" fontId="7" fillId="7" borderId="82" xfId="0" applyNumberFormat="1" applyFont="1" applyFill="1" applyBorder="1" applyAlignment="1">
      <alignment horizontal="center" vertical="top"/>
    </xf>
    <xf numFmtId="166" fontId="7" fillId="7" borderId="110" xfId="0" applyNumberFormat="1" applyFont="1" applyFill="1" applyBorder="1" applyAlignment="1">
      <alignment horizontal="center" vertical="top"/>
    </xf>
    <xf numFmtId="166" fontId="3" fillId="7" borderId="83" xfId="0" applyNumberFormat="1" applyFont="1" applyFill="1" applyBorder="1" applyAlignment="1">
      <alignment horizontal="center" vertical="top"/>
    </xf>
    <xf numFmtId="3" fontId="7" fillId="0" borderId="8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3" fontId="7" fillId="0" borderId="111" xfId="0" applyNumberFormat="1" applyFont="1" applyFill="1" applyBorder="1" applyAlignment="1">
      <alignment horizontal="center" vertical="top"/>
    </xf>
    <xf numFmtId="166" fontId="3" fillId="0" borderId="100" xfId="0" applyNumberFormat="1" applyFont="1" applyFill="1" applyBorder="1" applyAlignment="1">
      <alignment horizontal="center" vertical="top"/>
    </xf>
    <xf numFmtId="166" fontId="3" fillId="0" borderId="28" xfId="0" applyNumberFormat="1" applyFont="1" applyFill="1" applyBorder="1" applyAlignment="1">
      <alignment vertical="top" wrapText="1"/>
    </xf>
    <xf numFmtId="166" fontId="3" fillId="7" borderId="1" xfId="0" applyNumberFormat="1" applyFont="1" applyFill="1" applyBorder="1" applyAlignment="1">
      <alignment vertical="top" wrapText="1"/>
    </xf>
    <xf numFmtId="0" fontId="3" fillId="0" borderId="87" xfId="0" applyFont="1" applyBorder="1" applyAlignment="1">
      <alignment vertical="top" wrapText="1"/>
    </xf>
    <xf numFmtId="166" fontId="3" fillId="7" borderId="80" xfId="0" applyNumberFormat="1" applyFont="1" applyFill="1" applyBorder="1" applyAlignment="1">
      <alignment vertical="top" wrapText="1"/>
    </xf>
    <xf numFmtId="0" fontId="3" fillId="0" borderId="87" xfId="0" applyFont="1" applyBorder="1" applyAlignment="1">
      <alignment vertical="top"/>
    </xf>
    <xf numFmtId="49" fontId="2" fillId="7" borderId="20"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49" fontId="2" fillId="7" borderId="28" xfId="0" applyNumberFormat="1" applyFont="1" applyFill="1" applyBorder="1" applyAlignment="1">
      <alignment horizontal="center" vertical="center" textRotation="90" wrapText="1"/>
    </xf>
    <xf numFmtId="166" fontId="3" fillId="7" borderId="70" xfId="0" applyNumberFormat="1" applyFont="1" applyFill="1" applyBorder="1" applyAlignment="1">
      <alignment horizontal="right" vertical="top"/>
    </xf>
    <xf numFmtId="166" fontId="9" fillId="7" borderId="21" xfId="0" applyNumberFormat="1" applyFont="1" applyFill="1" applyBorder="1" applyAlignment="1">
      <alignment horizontal="center" vertical="top" wrapText="1"/>
    </xf>
    <xf numFmtId="166" fontId="3" fillId="7" borderId="21"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96" xfId="0" applyNumberFormat="1" applyFont="1" applyFill="1" applyBorder="1" applyAlignment="1">
      <alignment horizontal="center" vertical="top"/>
    </xf>
    <xf numFmtId="3" fontId="3" fillId="0" borderId="98" xfId="0" applyNumberFormat="1" applyFont="1" applyFill="1" applyBorder="1" applyAlignment="1">
      <alignment horizontal="center" vertical="top"/>
    </xf>
    <xf numFmtId="3" fontId="25" fillId="7" borderId="20" xfId="0" applyNumberFormat="1" applyFont="1" applyFill="1" applyBorder="1" applyAlignment="1">
      <alignment horizontal="center" vertical="top"/>
    </xf>
    <xf numFmtId="3" fontId="25" fillId="7" borderId="39" xfId="0" applyNumberFormat="1" applyFont="1" applyFill="1" applyBorder="1" applyAlignment="1">
      <alignment horizontal="center" vertical="top"/>
    </xf>
    <xf numFmtId="3" fontId="25" fillId="7" borderId="11" xfId="1" applyNumberFormat="1" applyFont="1" applyFill="1" applyBorder="1" applyAlignment="1">
      <alignment horizontal="center" vertical="top" wrapText="1"/>
    </xf>
    <xf numFmtId="3" fontId="25" fillId="7" borderId="44" xfId="1"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7" borderId="18" xfId="0" applyFont="1" applyFill="1" applyBorder="1" applyAlignment="1">
      <alignment horizontal="center" wrapText="1"/>
    </xf>
    <xf numFmtId="166" fontId="4" fillId="3" borderId="47"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xf>
    <xf numFmtId="49" fontId="3" fillId="7" borderId="21" xfId="0" applyNumberFormat="1" applyFont="1" applyFill="1" applyBorder="1" applyAlignment="1">
      <alignment horizontal="center" vertical="top"/>
    </xf>
    <xf numFmtId="49" fontId="3" fillId="7" borderId="114" xfId="0" applyNumberFormat="1" applyFont="1" applyFill="1" applyBorder="1" applyAlignment="1">
      <alignment horizontal="center" vertical="top"/>
    </xf>
    <xf numFmtId="49" fontId="3" fillId="7" borderId="111" xfId="0" applyNumberFormat="1" applyFont="1" applyFill="1" applyBorder="1" applyAlignment="1">
      <alignment horizontal="center" vertical="top"/>
    </xf>
    <xf numFmtId="49" fontId="3" fillId="7" borderId="27" xfId="0" applyNumberFormat="1" applyFont="1" applyFill="1" applyBorder="1" applyAlignment="1">
      <alignment horizontal="center" vertical="top"/>
    </xf>
    <xf numFmtId="0" fontId="31" fillId="7" borderId="11" xfId="0" applyFont="1" applyFill="1" applyBorder="1" applyAlignment="1">
      <alignment horizontal="center" vertical="top" wrapText="1"/>
    </xf>
    <xf numFmtId="166" fontId="25" fillId="7" borderId="86" xfId="0" applyNumberFormat="1" applyFont="1" applyFill="1" applyBorder="1" applyAlignment="1">
      <alignment horizontal="left" vertical="top" wrapText="1"/>
    </xf>
    <xf numFmtId="3" fontId="32" fillId="7" borderId="87" xfId="0" applyNumberFormat="1" applyFont="1" applyFill="1" applyBorder="1" applyAlignment="1">
      <alignment horizontal="center" vertical="center" wrapText="1"/>
    </xf>
    <xf numFmtId="3" fontId="25" fillId="7" borderId="11" xfId="0" applyNumberFormat="1" applyFont="1" applyFill="1" applyBorder="1" applyAlignment="1">
      <alignment horizontal="center" vertical="top"/>
    </xf>
    <xf numFmtId="166" fontId="25" fillId="7" borderId="7" xfId="0" applyNumberFormat="1" applyFont="1" applyFill="1" applyBorder="1" applyAlignment="1">
      <alignment horizontal="left" vertical="top" wrapText="1"/>
    </xf>
    <xf numFmtId="3" fontId="25" fillId="7" borderId="49" xfId="0" applyNumberFormat="1" applyFont="1" applyFill="1" applyBorder="1" applyAlignment="1">
      <alignment horizontal="center" vertical="top"/>
    </xf>
    <xf numFmtId="3" fontId="25" fillId="7" borderId="20" xfId="0" applyNumberFormat="1" applyFont="1" applyFill="1" applyBorder="1" applyAlignment="1">
      <alignment horizontal="center" vertical="top" wrapText="1"/>
    </xf>
    <xf numFmtId="3" fontId="25" fillId="7" borderId="39" xfId="0" applyNumberFormat="1" applyFont="1" applyFill="1" applyBorder="1" applyAlignment="1">
      <alignment horizontal="center" vertical="top" wrapText="1"/>
    </xf>
    <xf numFmtId="3" fontId="25" fillId="7" borderId="11" xfId="0" applyNumberFormat="1" applyFont="1" applyFill="1" applyBorder="1" applyAlignment="1">
      <alignment horizontal="center" vertical="top" wrapText="1"/>
    </xf>
    <xf numFmtId="3" fontId="25" fillId="7" borderId="44" xfId="0" applyNumberFormat="1" applyFont="1" applyFill="1" applyBorder="1" applyAlignment="1">
      <alignment horizontal="center" vertical="top" wrapText="1"/>
    </xf>
    <xf numFmtId="3" fontId="25" fillId="7" borderId="28" xfId="0" applyNumberFormat="1" applyFont="1" applyFill="1" applyBorder="1" applyAlignment="1">
      <alignment horizontal="center" vertical="top" wrapText="1"/>
    </xf>
    <xf numFmtId="166" fontId="28" fillId="7" borderId="29" xfId="0" applyNumberFormat="1" applyFont="1" applyFill="1" applyBorder="1" applyAlignment="1">
      <alignment horizontal="left" vertical="top" wrapText="1"/>
    </xf>
    <xf numFmtId="0" fontId="31" fillId="7" borderId="37" xfId="0" applyFont="1" applyFill="1" applyBorder="1" applyAlignment="1">
      <alignment vertical="top" wrapText="1"/>
    </xf>
    <xf numFmtId="0" fontId="31" fillId="7" borderId="20" xfId="0" applyFont="1" applyFill="1" applyBorder="1" applyAlignment="1">
      <alignment horizontal="center" vertical="top" wrapText="1"/>
    </xf>
    <xf numFmtId="3" fontId="25" fillId="7" borderId="44" xfId="0" applyNumberFormat="1" applyFont="1" applyFill="1" applyBorder="1" applyAlignment="1">
      <alignment horizontal="center" vertical="top"/>
    </xf>
    <xf numFmtId="3" fontId="25" fillId="7" borderId="28" xfId="0" applyNumberFormat="1" applyFont="1" applyFill="1" applyBorder="1" applyAlignment="1">
      <alignment horizontal="center" vertical="top"/>
    </xf>
    <xf numFmtId="3" fontId="25" fillId="7" borderId="0" xfId="0" applyNumberFormat="1" applyFont="1" applyFill="1" applyBorder="1" applyAlignment="1">
      <alignment horizontal="center" vertical="top"/>
    </xf>
    <xf numFmtId="166" fontId="20" fillId="3" borderId="29" xfId="0" applyNumberFormat="1" applyFont="1" applyFill="1" applyBorder="1" applyAlignment="1">
      <alignment horizontal="left" vertical="top" wrapText="1"/>
    </xf>
    <xf numFmtId="165" fontId="3" fillId="0" borderId="23" xfId="0" applyNumberFormat="1" applyFont="1" applyBorder="1" applyAlignment="1">
      <alignment horizontal="center"/>
    </xf>
    <xf numFmtId="165" fontId="3" fillId="0" borderId="77" xfId="0" applyNumberFormat="1" applyFont="1" applyBorder="1" applyAlignment="1">
      <alignment horizontal="center"/>
    </xf>
    <xf numFmtId="166" fontId="3" fillId="7" borderId="6" xfId="0" applyNumberFormat="1" applyFont="1" applyFill="1" applyBorder="1" applyAlignment="1">
      <alignment horizontal="center"/>
    </xf>
    <xf numFmtId="166" fontId="3" fillId="7" borderId="11" xfId="0" applyNumberFormat="1" applyFont="1" applyFill="1" applyBorder="1" applyAlignment="1">
      <alignment horizontal="center"/>
    </xf>
    <xf numFmtId="166" fontId="3" fillId="7" borderId="0" xfId="0" applyNumberFormat="1" applyFont="1" applyFill="1" applyBorder="1" applyAlignment="1">
      <alignment horizontal="center"/>
    </xf>
    <xf numFmtId="166" fontId="3" fillId="7" borderId="23" xfId="0" applyNumberFormat="1" applyFont="1" applyFill="1" applyBorder="1" applyAlignment="1">
      <alignment horizontal="center"/>
    </xf>
    <xf numFmtId="166" fontId="3" fillId="7" borderId="28" xfId="0" applyNumberFormat="1" applyFont="1" applyFill="1" applyBorder="1" applyAlignment="1">
      <alignment horizontal="center"/>
    </xf>
    <xf numFmtId="166" fontId="3" fillId="7" borderId="77" xfId="0" applyNumberFormat="1" applyFont="1" applyFill="1" applyBorder="1" applyAlignment="1">
      <alignment horizontal="center"/>
    </xf>
    <xf numFmtId="166" fontId="4" fillId="7" borderId="75" xfId="0" applyNumberFormat="1" applyFont="1" applyFill="1" applyBorder="1" applyAlignment="1">
      <alignment horizontal="center"/>
    </xf>
    <xf numFmtId="166" fontId="4" fillId="7" borderId="10" xfId="0" applyNumberFormat="1" applyFont="1" applyFill="1" applyBorder="1" applyAlignment="1">
      <alignment horizontal="center"/>
    </xf>
    <xf numFmtId="166" fontId="27" fillId="7" borderId="49" xfId="0" applyNumberFormat="1" applyFont="1" applyFill="1" applyBorder="1" applyAlignment="1">
      <alignment horizontal="center" vertical="top"/>
    </xf>
    <xf numFmtId="166" fontId="25" fillId="7" borderId="7" xfId="0" applyNumberFormat="1" applyFont="1" applyFill="1" applyBorder="1" applyAlignment="1">
      <alignment vertical="top" wrapText="1"/>
    </xf>
    <xf numFmtId="166" fontId="25" fillId="7" borderId="37" xfId="0" applyNumberFormat="1" applyFont="1" applyFill="1" applyBorder="1" applyAlignment="1">
      <alignment vertical="top" wrapText="1"/>
    </xf>
    <xf numFmtId="3" fontId="15" fillId="7" borderId="61" xfId="0" applyNumberFormat="1" applyFont="1" applyFill="1" applyBorder="1" applyAlignment="1">
      <alignment horizontal="center" vertical="top"/>
    </xf>
    <xf numFmtId="3" fontId="15" fillId="7" borderId="21" xfId="0" applyNumberFormat="1" applyFont="1" applyFill="1" applyBorder="1" applyAlignment="1">
      <alignment horizontal="center" vertical="top"/>
    </xf>
    <xf numFmtId="3" fontId="15" fillId="7" borderId="18" xfId="0" applyNumberFormat="1" applyFont="1" applyFill="1" applyBorder="1" applyAlignment="1">
      <alignment horizontal="center" vertical="top"/>
    </xf>
    <xf numFmtId="166" fontId="25" fillId="7" borderId="29" xfId="0" applyNumberFormat="1" applyFont="1" applyFill="1" applyBorder="1" applyAlignment="1">
      <alignment vertical="top" wrapText="1"/>
    </xf>
    <xf numFmtId="3" fontId="25" fillId="7" borderId="27" xfId="0" applyNumberFormat="1" applyFont="1" applyFill="1" applyBorder="1" applyAlignment="1">
      <alignment horizontal="center" vertical="top"/>
    </xf>
    <xf numFmtId="3" fontId="7" fillId="7" borderId="11" xfId="0" applyNumberFormat="1" applyFont="1" applyFill="1" applyBorder="1" applyAlignment="1">
      <alignment horizontal="center" vertical="top" wrapText="1"/>
    </xf>
    <xf numFmtId="3" fontId="7" fillId="7" borderId="44"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122" xfId="0" applyNumberFormat="1" applyFont="1" applyFill="1" applyBorder="1" applyAlignment="1">
      <alignment horizontal="center" vertical="top"/>
    </xf>
    <xf numFmtId="3" fontId="3" fillId="7" borderId="1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0" fontId="0" fillId="7" borderId="7" xfId="0" applyFill="1" applyBorder="1" applyAlignment="1">
      <alignment horizontal="left" vertical="top" wrapText="1"/>
    </xf>
    <xf numFmtId="0" fontId="0" fillId="7" borderId="11" xfId="0"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35"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xf>
    <xf numFmtId="0" fontId="31" fillId="7" borderId="7" xfId="0" applyFont="1" applyFill="1" applyBorder="1" applyAlignment="1">
      <alignment vertical="top" wrapText="1"/>
    </xf>
    <xf numFmtId="0" fontId="25" fillId="7" borderId="37" xfId="0" applyFont="1" applyFill="1" applyBorder="1" applyAlignment="1">
      <alignment vertical="top" wrapText="1"/>
    </xf>
    <xf numFmtId="166" fontId="4" fillId="3" borderId="11" xfId="0" applyNumberFormat="1" applyFont="1" applyFill="1" applyBorder="1" applyAlignment="1">
      <alignment horizontal="center" vertical="top" wrapText="1"/>
    </xf>
    <xf numFmtId="49" fontId="2" fillId="3" borderId="49" xfId="0" applyNumberFormat="1" applyFont="1" applyFill="1" applyBorder="1" applyAlignment="1">
      <alignment horizontal="center" vertical="top" textRotation="90" wrapText="1"/>
    </xf>
    <xf numFmtId="166" fontId="4" fillId="7"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horizontal="center" vertical="center" textRotation="90" wrapText="1"/>
    </xf>
    <xf numFmtId="0" fontId="25" fillId="7" borderId="7" xfId="0" applyFont="1" applyFill="1" applyBorder="1" applyAlignment="1">
      <alignment vertical="top" wrapText="1"/>
    </xf>
    <xf numFmtId="0" fontId="25" fillId="7" borderId="20" xfId="0" applyFont="1" applyFill="1" applyBorder="1" applyAlignment="1">
      <alignment horizontal="center" vertical="top" wrapText="1"/>
    </xf>
    <xf numFmtId="0" fontId="25" fillId="7" borderId="29" xfId="0" applyFont="1" applyFill="1" applyBorder="1" applyAlignment="1">
      <alignment vertical="top" wrapText="1"/>
    </xf>
    <xf numFmtId="0" fontId="25" fillId="7" borderId="28" xfId="0" applyFont="1" applyFill="1" applyBorder="1" applyAlignment="1">
      <alignment horizontal="center" vertical="top" wrapText="1"/>
    </xf>
    <xf numFmtId="3" fontId="7" fillId="7" borderId="0" xfId="0" applyNumberFormat="1" applyFont="1" applyFill="1" applyBorder="1" applyAlignment="1">
      <alignment horizontal="center" vertical="top" wrapText="1"/>
    </xf>
    <xf numFmtId="3" fontId="7" fillId="7" borderId="21" xfId="0" applyNumberFormat="1" applyFont="1" applyFill="1" applyBorder="1" applyAlignment="1">
      <alignment horizontal="center" vertical="top" wrapText="1"/>
    </xf>
    <xf numFmtId="166" fontId="3" fillId="7" borderId="87" xfId="0" applyNumberFormat="1" applyFont="1" applyFill="1" applyBorder="1" applyAlignment="1">
      <alignment horizontal="left" vertical="top" wrapText="1"/>
    </xf>
    <xf numFmtId="0" fontId="3" fillId="7" borderId="29" xfId="0" applyFont="1" applyFill="1" applyBorder="1" applyAlignment="1">
      <alignment horizontal="left" vertical="top" wrapText="1"/>
    </xf>
    <xf numFmtId="49" fontId="7" fillId="7" borderId="0" xfId="0" applyNumberFormat="1" applyFont="1" applyFill="1" applyBorder="1" applyAlignment="1">
      <alignment horizontal="center" vertical="center" textRotation="90" wrapText="1"/>
    </xf>
    <xf numFmtId="166" fontId="3" fillId="3" borderId="11" xfId="0" applyNumberFormat="1" applyFont="1" applyFill="1" applyBorder="1" applyAlignment="1">
      <alignment horizontal="left" vertical="top" wrapText="1"/>
    </xf>
    <xf numFmtId="49" fontId="3" fillId="0" borderId="49" xfId="0" applyNumberFormat="1" applyFont="1" applyFill="1" applyBorder="1" applyAlignment="1">
      <alignment horizontal="center" vertical="top"/>
    </xf>
    <xf numFmtId="166" fontId="4" fillId="7" borderId="23" xfId="0" applyNumberFormat="1" applyFont="1" applyFill="1" applyBorder="1" applyAlignment="1">
      <alignment horizontal="center" vertical="top"/>
    </xf>
    <xf numFmtId="166" fontId="4" fillId="7" borderId="66" xfId="0" applyNumberFormat="1" applyFont="1" applyFill="1" applyBorder="1" applyAlignment="1">
      <alignment horizontal="center" vertical="top"/>
    </xf>
    <xf numFmtId="166" fontId="7" fillId="7" borderId="28" xfId="0" applyNumberFormat="1" applyFont="1" applyFill="1" applyBorder="1" applyAlignment="1">
      <alignment horizontal="left" textRotation="90" wrapText="1"/>
    </xf>
    <xf numFmtId="49" fontId="7" fillId="7" borderId="28" xfId="0" applyNumberFormat="1" applyFont="1" applyFill="1" applyBorder="1" applyAlignment="1">
      <alignment horizontal="center" vertical="center" textRotation="90" wrapText="1"/>
    </xf>
    <xf numFmtId="0" fontId="0" fillId="7" borderId="27" xfId="0" applyFont="1" applyFill="1" applyBorder="1" applyAlignment="1">
      <alignment horizontal="center" vertical="top"/>
    </xf>
    <xf numFmtId="166" fontId="3" fillId="7" borderId="124" xfId="0" applyNumberFormat="1" applyFont="1" applyFill="1" applyBorder="1" applyAlignment="1">
      <alignment horizontal="center" vertical="top"/>
    </xf>
    <xf numFmtId="166" fontId="4" fillId="7" borderId="80" xfId="0" applyNumberFormat="1" applyFont="1" applyFill="1" applyBorder="1" applyAlignment="1">
      <alignment horizontal="center" vertical="top"/>
    </xf>
    <xf numFmtId="166" fontId="12" fillId="7" borderId="11" xfId="0" applyNumberFormat="1" applyFont="1" applyFill="1" applyBorder="1" applyAlignment="1">
      <alignment horizontal="center" vertical="center" wrapText="1"/>
    </xf>
    <xf numFmtId="166" fontId="4"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3" fillId="7" borderId="49" xfId="0" applyNumberFormat="1" applyFont="1" applyFill="1" applyBorder="1" applyAlignment="1">
      <alignment vertical="top"/>
    </xf>
    <xf numFmtId="3" fontId="3" fillId="0" borderId="48" xfId="0" applyNumberFormat="1" applyFont="1" applyFill="1" applyBorder="1" applyAlignment="1">
      <alignment horizontal="center" vertical="top"/>
    </xf>
    <xf numFmtId="166" fontId="3" fillId="7" borderId="79" xfId="0" applyNumberFormat="1" applyFont="1" applyFill="1" applyBorder="1" applyAlignment="1">
      <alignment vertical="top" wrapText="1"/>
    </xf>
    <xf numFmtId="49" fontId="33" fillId="7" borderId="28" xfId="0" applyNumberFormat="1" applyFont="1" applyFill="1" applyBorder="1" applyAlignment="1">
      <alignment horizontal="center" vertical="top"/>
    </xf>
    <xf numFmtId="166" fontId="15" fillId="7" borderId="6"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3" fillId="7" borderId="37" xfId="0" applyFont="1" applyFill="1" applyBorder="1" applyAlignment="1">
      <alignment horizontal="left" vertical="top" wrapText="1"/>
    </xf>
    <xf numFmtId="0" fontId="25" fillId="7" borderId="29" xfId="0" applyFont="1" applyFill="1" applyBorder="1" applyAlignment="1">
      <alignment horizontal="left" vertical="top" wrapText="1"/>
    </xf>
    <xf numFmtId="166" fontId="4" fillId="7" borderId="77" xfId="0" applyNumberFormat="1" applyFont="1" applyFill="1" applyBorder="1" applyAlignment="1">
      <alignment horizontal="center" vertical="top" textRotation="90" wrapText="1"/>
    </xf>
    <xf numFmtId="166" fontId="3" fillId="7" borderId="0" xfId="0" applyNumberFormat="1" applyFont="1" applyFill="1" applyBorder="1" applyAlignment="1">
      <alignment horizontal="right" vertical="top" wrapText="1"/>
    </xf>
    <xf numFmtId="166" fontId="3" fillId="7" borderId="6" xfId="0" applyNumberFormat="1" applyFont="1" applyFill="1" applyBorder="1" applyAlignment="1">
      <alignment horizontal="right" vertical="top" wrapText="1"/>
    </xf>
    <xf numFmtId="166" fontId="3" fillId="7" borderId="18" xfId="0" applyNumberFormat="1" applyFont="1" applyFill="1" applyBorder="1" applyAlignment="1">
      <alignment horizontal="center"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3" fillId="7" borderId="84" xfId="0" applyNumberFormat="1" applyFont="1" applyFill="1" applyBorder="1" applyAlignment="1">
      <alignment horizontal="left" vertical="top" wrapText="1"/>
    </xf>
    <xf numFmtId="166" fontId="4" fillId="7" borderId="0" xfId="0" applyNumberFormat="1" applyFont="1" applyFill="1" applyBorder="1" applyAlignment="1">
      <alignment horizontal="center" vertical="top" wrapText="1"/>
    </xf>
    <xf numFmtId="0" fontId="3" fillId="7" borderId="37" xfId="0" applyFont="1" applyFill="1" applyBorder="1" applyAlignment="1">
      <alignment vertical="center" wrapText="1"/>
    </xf>
    <xf numFmtId="0" fontId="3" fillId="7" borderId="20" xfId="0" applyFont="1" applyFill="1" applyBorder="1" applyAlignment="1">
      <alignment horizontal="center" vertical="center"/>
    </xf>
    <xf numFmtId="0" fontId="3" fillId="7" borderId="20" xfId="0" applyFont="1" applyFill="1" applyBorder="1" applyAlignment="1">
      <alignment horizontal="right" vertical="center"/>
    </xf>
    <xf numFmtId="0" fontId="3" fillId="7" borderId="28" xfId="0" applyFont="1" applyFill="1" applyBorder="1" applyAlignment="1">
      <alignment horizontal="center" vertical="center"/>
    </xf>
    <xf numFmtId="0" fontId="3" fillId="7" borderId="28" xfId="0" applyFont="1" applyFill="1" applyBorder="1" applyAlignment="1">
      <alignment horizontal="right" vertical="center"/>
    </xf>
    <xf numFmtId="49" fontId="4" fillId="8" borderId="49" xfId="0" applyNumberFormat="1" applyFont="1" applyFill="1" applyBorder="1" applyAlignment="1">
      <alignment horizontal="center" vertical="top"/>
    </xf>
    <xf numFmtId="49" fontId="3" fillId="7" borderId="0" xfId="0" applyNumberFormat="1" applyFont="1" applyFill="1" applyBorder="1" applyAlignment="1">
      <alignment horizontal="center" vertical="top"/>
    </xf>
    <xf numFmtId="49" fontId="3" fillId="7" borderId="77"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49" fontId="24" fillId="7" borderId="28" xfId="0" applyNumberFormat="1" applyFont="1" applyFill="1" applyBorder="1" applyAlignment="1">
      <alignment horizontal="center" vertical="top"/>
    </xf>
    <xf numFmtId="166" fontId="4" fillId="7" borderId="1" xfId="0" applyNumberFormat="1" applyFont="1" applyFill="1" applyBorder="1" applyAlignment="1">
      <alignment horizontal="center" vertical="top"/>
    </xf>
    <xf numFmtId="166" fontId="3" fillId="7" borderId="77" xfId="0" applyNumberFormat="1" applyFont="1" applyFill="1" applyBorder="1" applyAlignment="1">
      <alignment horizontal="center" vertical="top" wrapText="1"/>
    </xf>
    <xf numFmtId="166" fontId="4" fillId="7" borderId="40" xfId="0" applyNumberFormat="1" applyFont="1" applyFill="1" applyBorder="1" applyAlignment="1">
      <alignment horizontal="center" vertical="top"/>
    </xf>
    <xf numFmtId="3" fontId="3" fillId="7" borderId="108"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3" fontId="3" fillId="7" borderId="114" xfId="0" applyNumberFormat="1" applyFont="1" applyFill="1" applyBorder="1" applyAlignment="1">
      <alignment horizontal="center" vertical="top"/>
    </xf>
    <xf numFmtId="3" fontId="32" fillId="7" borderId="20" xfId="0" applyNumberFormat="1" applyFont="1" applyFill="1" applyBorder="1" applyAlignment="1">
      <alignment horizontal="center" vertical="center" wrapText="1"/>
    </xf>
    <xf numFmtId="3" fontId="7" fillId="7" borderId="47" xfId="0" applyNumberFormat="1" applyFont="1" applyFill="1" applyBorder="1" applyAlignment="1">
      <alignment horizontal="center" vertical="center" wrapText="1"/>
    </xf>
    <xf numFmtId="3" fontId="7" fillId="7" borderId="21" xfId="0" applyNumberFormat="1" applyFont="1" applyFill="1" applyBorder="1" applyAlignment="1">
      <alignment horizontal="center" vertical="center" wrapText="1"/>
    </xf>
    <xf numFmtId="166" fontId="4" fillId="7" borderId="10" xfId="0" applyNumberFormat="1" applyFont="1" applyFill="1" applyBorder="1" applyAlignment="1">
      <alignment horizontal="center" vertical="top"/>
    </xf>
    <xf numFmtId="49" fontId="3" fillId="7" borderId="96" xfId="0" applyNumberFormat="1" applyFont="1" applyFill="1" applyBorder="1" applyAlignment="1">
      <alignment horizontal="center" vertical="top"/>
    </xf>
    <xf numFmtId="49" fontId="3" fillId="7" borderId="88" xfId="0" applyNumberFormat="1" applyFont="1" applyFill="1" applyBorder="1" applyAlignment="1">
      <alignment horizontal="center" vertical="top"/>
    </xf>
    <xf numFmtId="166" fontId="3" fillId="7" borderId="0" xfId="0" applyNumberFormat="1" applyFont="1" applyFill="1" applyBorder="1" applyAlignment="1">
      <alignment vertical="top"/>
    </xf>
    <xf numFmtId="166" fontId="3" fillId="7" borderId="77" xfId="0" applyNumberFormat="1" applyFont="1" applyFill="1" applyBorder="1" applyAlignment="1">
      <alignment vertical="top"/>
    </xf>
    <xf numFmtId="3" fontId="25" fillId="7" borderId="54" xfId="0" applyNumberFormat="1" applyFont="1" applyFill="1" applyBorder="1" applyAlignment="1">
      <alignment horizontal="center" vertical="top" wrapText="1"/>
    </xf>
    <xf numFmtId="166" fontId="4" fillId="3" borderId="54" xfId="0" applyNumberFormat="1" applyFont="1" applyFill="1" applyBorder="1" applyAlignment="1">
      <alignment horizontal="center" vertical="top"/>
    </xf>
    <xf numFmtId="3" fontId="25" fillId="7" borderId="7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166" fontId="3" fillId="7" borderId="28" xfId="0" applyNumberFormat="1" applyFont="1" applyFill="1" applyBorder="1" applyAlignment="1">
      <alignment vertical="top" wrapText="1"/>
    </xf>
    <xf numFmtId="166" fontId="3" fillId="2" borderId="72" xfId="0" applyNumberFormat="1" applyFont="1" applyFill="1" applyBorder="1" applyAlignment="1">
      <alignment horizontal="center"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166" fontId="3" fillId="7" borderId="37" xfId="0" applyNumberFormat="1" applyFont="1" applyFill="1" applyBorder="1" applyAlignment="1">
      <alignment horizontal="left" vertical="top" wrapText="1"/>
    </xf>
    <xf numFmtId="166" fontId="4" fillId="2"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25" fillId="7" borderId="37" xfId="0" applyNumberFormat="1" applyFont="1" applyFill="1" applyBorder="1" applyAlignment="1">
      <alignment horizontal="left" vertical="top" wrapText="1"/>
    </xf>
    <xf numFmtId="0" fontId="25" fillId="7" borderId="37" xfId="0" applyFont="1" applyFill="1" applyBorder="1" applyAlignment="1">
      <alignment vertical="top" wrapText="1"/>
    </xf>
    <xf numFmtId="166" fontId="4" fillId="3" borderId="49" xfId="0" applyNumberFormat="1" applyFont="1" applyFill="1" applyBorder="1" applyAlignment="1">
      <alignment horizontal="center" vertical="top"/>
    </xf>
    <xf numFmtId="166" fontId="4" fillId="3" borderId="35"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0" fontId="31" fillId="7" borderId="7" xfId="0" applyFont="1" applyFill="1" applyBorder="1" applyAlignment="1">
      <alignment vertical="top" wrapText="1"/>
    </xf>
    <xf numFmtId="166" fontId="3" fillId="7" borderId="48" xfId="0" applyNumberFormat="1" applyFont="1" applyFill="1" applyBorder="1" applyAlignment="1">
      <alignment horizontal="left" vertical="top" wrapText="1"/>
    </xf>
    <xf numFmtId="0" fontId="0" fillId="7" borderId="30" xfId="0" applyFill="1" applyBorder="1" applyAlignment="1">
      <alignment vertical="top" wrapText="1"/>
    </xf>
    <xf numFmtId="166" fontId="9" fillId="7" borderId="9" xfId="0" applyNumberFormat="1" applyFont="1" applyFill="1" applyBorder="1" applyAlignment="1">
      <alignment vertical="top" wrapText="1"/>
    </xf>
    <xf numFmtId="166" fontId="4" fillId="3" borderId="49" xfId="0" applyNumberFormat="1" applyFont="1" applyFill="1" applyBorder="1" applyAlignment="1">
      <alignment horizontal="center" vertical="top" wrapText="1"/>
    </xf>
    <xf numFmtId="166" fontId="3" fillId="7" borderId="29" xfId="0" applyNumberFormat="1"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32" xfId="0" applyFont="1" applyFill="1" applyBorder="1" applyAlignment="1">
      <alignment vertical="top"/>
    </xf>
    <xf numFmtId="0" fontId="3" fillId="7" borderId="0" xfId="0" applyFont="1" applyFill="1" applyAlignment="1">
      <alignment vertical="top"/>
    </xf>
    <xf numFmtId="0" fontId="3" fillId="7" borderId="23" xfId="0" applyFont="1" applyFill="1" applyBorder="1" applyAlignment="1">
      <alignment horizontal="center" vertical="top"/>
    </xf>
    <xf numFmtId="0" fontId="23" fillId="0" borderId="0" xfId="0" applyFont="1" applyFill="1"/>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49" fontId="3" fillId="7" borderId="83" xfId="0" applyNumberFormat="1" applyFont="1" applyFill="1" applyBorder="1" applyAlignment="1">
      <alignment horizontal="center" vertical="top"/>
    </xf>
    <xf numFmtId="165" fontId="3" fillId="7" borderId="8" xfId="0" applyNumberFormat="1" applyFont="1" applyFill="1" applyBorder="1" applyAlignment="1">
      <alignment horizontal="center" vertical="top"/>
    </xf>
    <xf numFmtId="166" fontId="8" fillId="3" borderId="49" xfId="0" applyNumberFormat="1" applyFont="1" applyFill="1" applyBorder="1" applyAlignment="1">
      <alignment horizontal="left" vertical="top" wrapText="1"/>
    </xf>
    <xf numFmtId="166" fontId="3" fillId="0" borderId="5" xfId="0" applyNumberFormat="1" applyFont="1" applyFill="1" applyBorder="1" applyAlignment="1">
      <alignment horizontal="left" vertical="top" wrapText="1"/>
    </xf>
    <xf numFmtId="3" fontId="3" fillId="7" borderId="42"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166" fontId="4" fillId="3" borderId="15" xfId="0" applyNumberFormat="1" applyFont="1" applyFill="1" applyBorder="1" applyAlignment="1">
      <alignment horizontal="center" vertical="top"/>
    </xf>
    <xf numFmtId="166" fontId="3" fillId="0" borderId="28" xfId="0" applyNumberFormat="1" applyFont="1" applyFill="1" applyBorder="1" applyAlignment="1">
      <alignment horizontal="center" vertical="top"/>
    </xf>
    <xf numFmtId="166" fontId="3" fillId="0" borderId="34" xfId="0" applyNumberFormat="1" applyFont="1" applyBorder="1" applyAlignment="1">
      <alignment vertical="top"/>
    </xf>
    <xf numFmtId="166" fontId="3" fillId="0" borderId="45" xfId="0" applyNumberFormat="1" applyFont="1" applyBorder="1" applyAlignment="1">
      <alignment vertical="top"/>
    </xf>
    <xf numFmtId="166" fontId="3" fillId="0" borderId="25" xfId="0" applyNumberFormat="1" applyFont="1" applyBorder="1" applyAlignment="1">
      <alignment vertical="top"/>
    </xf>
    <xf numFmtId="166" fontId="3" fillId="0" borderId="51" xfId="0" applyNumberFormat="1" applyFont="1" applyBorder="1" applyAlignment="1">
      <alignment vertical="top"/>
    </xf>
    <xf numFmtId="166" fontId="7" fillId="7" borderId="35" xfId="0" applyNumberFormat="1" applyFont="1" applyFill="1" applyBorder="1" applyAlignment="1">
      <alignment horizontal="center" vertical="center" textRotation="90" wrapText="1"/>
    </xf>
    <xf numFmtId="166" fontId="3" fillId="0" borderId="6" xfId="0" applyNumberFormat="1" applyFont="1" applyBorder="1" applyAlignment="1">
      <alignment vertical="top"/>
    </xf>
    <xf numFmtId="0" fontId="0" fillId="0" borderId="49" xfId="0" applyBorder="1" applyAlignment="1">
      <alignment vertical="top" wrapText="1"/>
    </xf>
    <xf numFmtId="49" fontId="7" fillId="7" borderId="35" xfId="0" applyNumberFormat="1" applyFont="1" applyFill="1" applyBorder="1" applyAlignment="1">
      <alignment horizontal="center" vertical="top" wrapText="1"/>
    </xf>
    <xf numFmtId="49" fontId="7" fillId="7" borderId="103" xfId="0" applyNumberFormat="1" applyFont="1" applyFill="1" applyBorder="1" applyAlignment="1">
      <alignment horizontal="center" vertical="top" wrapText="1"/>
    </xf>
    <xf numFmtId="49" fontId="3" fillId="0" borderId="47" xfId="0" applyNumberFormat="1" applyFont="1" applyFill="1" applyBorder="1" applyAlignment="1">
      <alignment horizontal="center" vertical="top"/>
    </xf>
    <xf numFmtId="49" fontId="3" fillId="0" borderId="92" xfId="0" applyNumberFormat="1" applyFont="1" applyFill="1" applyBorder="1" applyAlignment="1">
      <alignment horizontal="center" vertical="top"/>
    </xf>
    <xf numFmtId="3" fontId="3" fillId="0" borderId="92" xfId="0" applyNumberFormat="1" applyFont="1" applyFill="1" applyBorder="1" applyAlignment="1">
      <alignment horizontal="center" vertical="top"/>
    </xf>
    <xf numFmtId="3" fontId="3" fillId="0" borderId="103" xfId="0" applyNumberFormat="1" applyFont="1" applyFill="1" applyBorder="1" applyAlignment="1">
      <alignment horizontal="center" vertical="top"/>
    </xf>
    <xf numFmtId="166" fontId="9" fillId="7" borderId="74" xfId="0" applyNumberFormat="1" applyFont="1" applyFill="1" applyBorder="1" applyAlignment="1">
      <alignment vertical="top" wrapText="1"/>
    </xf>
    <xf numFmtId="0" fontId="0" fillId="7" borderId="30" xfId="0" applyFill="1" applyBorder="1" applyAlignment="1">
      <alignment horizontal="center" textRotation="90" wrapText="1"/>
    </xf>
    <xf numFmtId="166" fontId="3" fillId="7" borderId="31"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166" fontId="3" fillId="0" borderId="54" xfId="0" applyNumberFormat="1" applyFont="1" applyFill="1" applyBorder="1" applyAlignment="1">
      <alignment horizontal="center" vertical="top"/>
    </xf>
    <xf numFmtId="166" fontId="25" fillId="7" borderId="29" xfId="0" applyNumberFormat="1" applyFont="1" applyFill="1" applyBorder="1" applyAlignment="1">
      <alignment horizontal="left" vertical="top" wrapText="1"/>
    </xf>
    <xf numFmtId="166" fontId="3" fillId="7" borderId="18" xfId="0" applyNumberFormat="1" applyFont="1" applyFill="1" applyBorder="1" applyAlignment="1">
      <alignment horizontal="center" vertical="top" wrapText="1"/>
    </xf>
    <xf numFmtId="166" fontId="3"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25" fillId="7" borderId="37"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0" fontId="31" fillId="7" borderId="7" xfId="0" applyFont="1" applyFill="1" applyBorder="1" applyAlignment="1">
      <alignment vertical="top" wrapText="1"/>
    </xf>
    <xf numFmtId="0" fontId="30" fillId="7" borderId="66" xfId="0" applyFont="1" applyFill="1" applyBorder="1" applyAlignment="1">
      <alignment vertical="top"/>
    </xf>
    <xf numFmtId="0" fontId="28" fillId="7" borderId="29" xfId="0" applyFont="1" applyFill="1" applyBorder="1" applyAlignment="1">
      <alignment vertical="top" wrapText="1"/>
    </xf>
    <xf numFmtId="3" fontId="3" fillId="0" borderId="52" xfId="0" applyNumberFormat="1" applyFont="1" applyFill="1" applyBorder="1" applyAlignment="1">
      <alignment horizontal="left" vertical="top" wrapText="1"/>
    </xf>
    <xf numFmtId="0" fontId="34" fillId="0" borderId="0" xfId="0" applyFont="1" applyAlignment="1">
      <alignment horizontal="justify" vertical="center"/>
    </xf>
    <xf numFmtId="49" fontId="3" fillId="7" borderId="49" xfId="0" applyNumberFormat="1" applyFont="1" applyFill="1" applyBorder="1" applyAlignment="1">
      <alignmen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0" fontId="0" fillId="7" borderId="28" xfId="0" applyFont="1" applyFill="1" applyBorder="1" applyAlignment="1">
      <alignment horizontal="center" vertical="top" textRotation="90" wrapText="1"/>
    </xf>
    <xf numFmtId="166" fontId="25" fillId="7" borderId="37" xfId="0" applyNumberFormat="1" applyFont="1" applyFill="1" applyBorder="1" applyAlignment="1">
      <alignment horizontal="left" vertical="top" wrapText="1"/>
    </xf>
    <xf numFmtId="0" fontId="3" fillId="7" borderId="7" xfId="0"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0" fontId="30" fillId="7" borderId="66" xfId="0" applyFont="1" applyFill="1" applyBorder="1" applyAlignment="1">
      <alignment vertical="top"/>
    </xf>
    <xf numFmtId="0" fontId="28" fillId="7" borderId="29" xfId="0" applyFont="1" applyFill="1" applyBorder="1" applyAlignment="1">
      <alignment vertical="top" wrapText="1"/>
    </xf>
    <xf numFmtId="0" fontId="3" fillId="0" borderId="0" xfId="0" applyFont="1" applyAlignment="1">
      <alignment horizontal="justify" vertical="center"/>
    </xf>
    <xf numFmtId="166" fontId="15" fillId="7" borderId="34" xfId="0" applyNumberFormat="1" applyFont="1" applyFill="1" applyBorder="1" applyAlignment="1">
      <alignment horizontal="center" vertical="top"/>
    </xf>
    <xf numFmtId="166" fontId="15" fillId="7" borderId="11" xfId="0" applyNumberFormat="1" applyFont="1" applyFill="1" applyBorder="1" applyAlignment="1">
      <alignment horizontal="center" vertical="top"/>
    </xf>
    <xf numFmtId="166" fontId="3" fillId="7" borderId="18" xfId="0" applyNumberFormat="1" applyFont="1" applyFill="1" applyBorder="1" applyAlignment="1">
      <alignment vertical="top"/>
    </xf>
    <xf numFmtId="166" fontId="3" fillId="7" borderId="18" xfId="0" applyNumberFormat="1" applyFont="1" applyFill="1" applyBorder="1" applyAlignment="1">
      <alignment horizontal="center" vertical="top" wrapText="1"/>
    </xf>
    <xf numFmtId="166" fontId="4" fillId="8" borderId="31" xfId="0" applyNumberFormat="1" applyFont="1" applyFill="1" applyBorder="1" applyAlignment="1">
      <alignment horizontal="center" vertical="top"/>
    </xf>
    <xf numFmtId="0" fontId="3" fillId="10" borderId="23" xfId="0" applyFont="1" applyFill="1" applyBorder="1" applyAlignment="1">
      <alignment horizontal="center" vertical="center"/>
    </xf>
    <xf numFmtId="166" fontId="3" fillId="10" borderId="6" xfId="0" applyNumberFormat="1" applyFont="1" applyFill="1" applyBorder="1" applyAlignment="1">
      <alignment horizontal="center" vertical="center"/>
    </xf>
    <xf numFmtId="0" fontId="3" fillId="10" borderId="66" xfId="0" applyFont="1" applyFill="1" applyBorder="1" applyAlignment="1">
      <alignment horizontal="center" vertical="center"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17" fillId="7" borderId="28" xfId="0" applyNumberFormat="1" applyFont="1" applyFill="1" applyBorder="1" applyAlignment="1">
      <alignment horizontal="center" vertical="center" wrapText="1"/>
    </xf>
    <xf numFmtId="166" fontId="25" fillId="7" borderId="7" xfId="0" applyNumberFormat="1" applyFont="1" applyFill="1" applyBorder="1" applyAlignment="1">
      <alignment horizontal="left" vertical="top" wrapText="1"/>
    </xf>
    <xf numFmtId="166" fontId="3" fillId="7" borderId="7" xfId="0" applyNumberFormat="1" applyFont="1" applyFill="1" applyBorder="1" applyAlignment="1">
      <alignment vertical="top" wrapText="1"/>
    </xf>
    <xf numFmtId="166" fontId="3" fillId="7" borderId="7" xfId="0" applyNumberFormat="1" applyFont="1" applyFill="1" applyBorder="1" applyAlignment="1">
      <alignment vertical="top" wrapText="1"/>
    </xf>
    <xf numFmtId="3" fontId="3" fillId="3" borderId="20"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49" fontId="2" fillId="7"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17" fillId="7" borderId="11" xfId="0" applyNumberFormat="1" applyFont="1" applyFill="1" applyBorder="1" applyAlignment="1">
      <alignment horizontal="center" vertical="center" wrapText="1"/>
    </xf>
    <xf numFmtId="166" fontId="25" fillId="7" borderId="7" xfId="0" applyNumberFormat="1" applyFont="1" applyFill="1" applyBorder="1" applyAlignment="1">
      <alignment horizontal="left" vertical="top" wrapText="1"/>
    </xf>
    <xf numFmtId="166" fontId="4" fillId="2" borderId="30"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0" fontId="9" fillId="0" borderId="34" xfId="0" applyFont="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49" fontId="4" fillId="7" borderId="25" xfId="0" applyNumberFormat="1" applyFont="1" applyFill="1" applyBorder="1" applyAlignment="1">
      <alignment horizontal="center" vertical="top"/>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4" fillId="7" borderId="1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49"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18" xfId="0" applyFont="1" applyFill="1" applyBorder="1" applyAlignment="1">
      <alignment horizontal="center" vertical="top" wrapText="1"/>
    </xf>
    <xf numFmtId="166" fontId="9" fillId="0" borderId="30" xfId="0" applyNumberFormat="1" applyFont="1" applyFill="1" applyBorder="1" applyAlignment="1">
      <alignment vertical="top" wrapText="1"/>
    </xf>
    <xf numFmtId="166" fontId="12" fillId="7" borderId="30" xfId="0" applyNumberFormat="1" applyFont="1" applyFill="1" applyBorder="1" applyAlignment="1">
      <alignment horizontal="center" vertical="center" textRotation="90" wrapText="1"/>
    </xf>
    <xf numFmtId="166" fontId="4" fillId="7" borderId="31" xfId="0" applyNumberFormat="1" applyFont="1" applyFill="1" applyBorder="1" applyAlignment="1">
      <alignment horizontal="center" vertical="top"/>
    </xf>
    <xf numFmtId="166" fontId="20" fillId="7" borderId="9" xfId="0" applyNumberFormat="1" applyFont="1" applyFill="1" applyBorder="1" applyAlignment="1">
      <alignment horizontal="left" vertical="top" wrapText="1"/>
    </xf>
    <xf numFmtId="3" fontId="3" fillId="7" borderId="30" xfId="0" applyNumberFormat="1" applyFont="1" applyFill="1" applyBorder="1" applyAlignment="1">
      <alignment horizontal="center" vertical="top"/>
    </xf>
    <xf numFmtId="3" fontId="7" fillId="7" borderId="30" xfId="0" applyNumberFormat="1" applyFont="1" applyFill="1" applyBorder="1" applyAlignment="1">
      <alignment horizontal="center" vertical="top" wrapText="1"/>
    </xf>
    <xf numFmtId="3" fontId="7" fillId="7" borderId="31" xfId="0" applyNumberFormat="1" applyFont="1" applyFill="1" applyBorder="1" applyAlignment="1">
      <alignment horizontal="center" vertical="top" wrapText="1"/>
    </xf>
    <xf numFmtId="3" fontId="32" fillId="7" borderId="11" xfId="0" applyNumberFormat="1" applyFont="1" applyFill="1" applyBorder="1" applyAlignment="1">
      <alignment horizontal="center" vertical="center" wrapText="1"/>
    </xf>
    <xf numFmtId="3" fontId="7" fillId="7" borderId="49" xfId="0" applyNumberFormat="1" applyFont="1" applyFill="1" applyBorder="1" applyAlignment="1">
      <alignment horizontal="center" vertical="center" wrapText="1"/>
    </xf>
    <xf numFmtId="3" fontId="7" fillId="7" borderId="18" xfId="0" applyNumberFormat="1" applyFont="1" applyFill="1" applyBorder="1" applyAlignment="1">
      <alignment horizontal="center" vertical="center" wrapText="1"/>
    </xf>
    <xf numFmtId="166" fontId="3" fillId="7" borderId="44" xfId="0" applyNumberFormat="1" applyFont="1" applyFill="1" applyBorder="1" applyAlignment="1">
      <alignment horizontal="center"/>
    </xf>
    <xf numFmtId="166" fontId="3" fillId="7" borderId="48" xfId="0" applyNumberFormat="1" applyFont="1" applyFill="1" applyBorder="1" applyAlignment="1">
      <alignment horizontal="center"/>
    </xf>
    <xf numFmtId="0" fontId="0" fillId="0" borderId="35" xfId="0" applyBorder="1" applyAlignment="1">
      <alignment horizontal="left" vertical="top" wrapText="1"/>
    </xf>
    <xf numFmtId="166" fontId="3" fillId="7" borderId="44" xfId="0" applyNumberFormat="1" applyFont="1" applyFill="1" applyBorder="1" applyAlignment="1">
      <alignment horizontal="right" vertical="top" wrapText="1"/>
    </xf>
    <xf numFmtId="166" fontId="4" fillId="7" borderId="18" xfId="0" applyNumberFormat="1" applyFont="1" applyFill="1" applyBorder="1" applyAlignment="1">
      <alignment horizontal="center" vertical="top"/>
    </xf>
    <xf numFmtId="166" fontId="3" fillId="7" borderId="6" xfId="0" applyNumberFormat="1" applyFont="1" applyFill="1" applyBorder="1" applyAlignment="1">
      <alignment horizontal="center" wrapText="1"/>
    </xf>
    <xf numFmtId="3" fontId="25" fillId="7" borderId="18" xfId="0" applyNumberFormat="1" applyFont="1" applyFill="1" applyBorder="1" applyAlignment="1">
      <alignment horizontal="center" vertical="top"/>
    </xf>
    <xf numFmtId="166" fontId="9" fillId="7" borderId="30" xfId="0" applyNumberFormat="1" applyFont="1" applyFill="1" applyBorder="1" applyAlignment="1">
      <alignment vertical="top" wrapText="1"/>
    </xf>
    <xf numFmtId="3" fontId="3" fillId="7" borderId="26"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49" xfId="0" applyNumberFormat="1" applyFont="1" applyFill="1" applyBorder="1" applyAlignment="1">
      <alignment vertical="top" wrapText="1"/>
    </xf>
    <xf numFmtId="49" fontId="4" fillId="7" borderId="49"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9" fillId="7" borderId="53" xfId="0" applyNumberFormat="1" applyFont="1" applyFill="1" applyBorder="1" applyAlignment="1">
      <alignment vertical="top" wrapText="1"/>
    </xf>
    <xf numFmtId="49" fontId="3" fillId="7" borderId="100" xfId="0" applyNumberFormat="1" applyFont="1" applyFill="1" applyBorder="1" applyAlignment="1">
      <alignment horizontal="center" vertical="top"/>
    </xf>
    <xf numFmtId="166" fontId="3" fillId="7" borderId="1"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166" fontId="7" fillId="7" borderId="11" xfId="0" applyNumberFormat="1" applyFont="1" applyFill="1" applyBorder="1" applyAlignment="1">
      <alignment horizontal="center" vertical="top"/>
    </xf>
    <xf numFmtId="166" fontId="7" fillId="7" borderId="0" xfId="0" applyNumberFormat="1" applyFont="1" applyFill="1" applyBorder="1" applyAlignment="1">
      <alignment horizontal="center" vertical="top"/>
    </xf>
    <xf numFmtId="3" fontId="7" fillId="0" borderId="18" xfId="0" applyNumberFormat="1" applyFont="1" applyFill="1" applyBorder="1" applyAlignment="1">
      <alignment horizontal="center" vertical="top"/>
    </xf>
    <xf numFmtId="3" fontId="7" fillId="7" borderId="18" xfId="0" applyNumberFormat="1" applyFont="1" applyFill="1" applyBorder="1" applyAlignment="1">
      <alignment horizontal="center" vertical="top"/>
    </xf>
    <xf numFmtId="166" fontId="3" fillId="7" borderId="79" xfId="0" applyNumberFormat="1" applyFont="1" applyFill="1" applyBorder="1" applyAlignment="1">
      <alignment vertical="top"/>
    </xf>
    <xf numFmtId="166" fontId="3" fillId="7" borderId="80" xfId="0" applyNumberFormat="1" applyFont="1" applyFill="1" applyBorder="1" applyAlignment="1">
      <alignment vertical="top"/>
    </xf>
    <xf numFmtId="166" fontId="3" fillId="7" borderId="94" xfId="0" applyNumberFormat="1" applyFont="1" applyFill="1" applyBorder="1" applyAlignment="1">
      <alignment vertical="top"/>
    </xf>
    <xf numFmtId="0" fontId="7" fillId="7" borderId="19" xfId="0" applyFont="1" applyFill="1" applyBorder="1" applyAlignment="1">
      <alignment vertical="top" textRotation="90" wrapText="1"/>
    </xf>
    <xf numFmtId="0" fontId="7" fillId="7" borderId="48" xfId="0" applyFont="1" applyFill="1" applyBorder="1" applyAlignment="1">
      <alignment vertical="top" textRotation="90" wrapText="1"/>
    </xf>
    <xf numFmtId="49" fontId="7" fillId="7" borderId="20" xfId="0" applyNumberFormat="1" applyFont="1" applyFill="1" applyBorder="1" applyAlignment="1">
      <alignment vertical="center" textRotation="90" wrapText="1"/>
    </xf>
    <xf numFmtId="0" fontId="3" fillId="7" borderId="21" xfId="0" applyFont="1" applyFill="1" applyBorder="1" applyAlignment="1">
      <alignment horizontal="right" vertical="center"/>
    </xf>
    <xf numFmtId="0" fontId="29" fillId="7" borderId="27" xfId="0" applyFont="1" applyFill="1" applyBorder="1" applyAlignment="1">
      <alignment horizontal="right" vertical="center"/>
    </xf>
    <xf numFmtId="49" fontId="4" fillId="2" borderId="25" xfId="0" applyNumberFormat="1" applyFont="1" applyFill="1" applyBorder="1" applyAlignment="1">
      <alignment horizontal="center" vertical="top"/>
    </xf>
    <xf numFmtId="49" fontId="4" fillId="8" borderId="25" xfId="0" applyNumberFormat="1" applyFont="1" applyFill="1" applyBorder="1" applyAlignment="1">
      <alignment horizontal="center" vertical="top"/>
    </xf>
    <xf numFmtId="49" fontId="7" fillId="7" borderId="25" xfId="0" applyNumberFormat="1" applyFont="1" applyFill="1" applyBorder="1" applyAlignment="1">
      <alignment horizontal="center" vertical="center" textRotation="90" wrapText="1"/>
    </xf>
    <xf numFmtId="0" fontId="0" fillId="7" borderId="26" xfId="0" applyFont="1" applyFill="1" applyBorder="1" applyAlignment="1">
      <alignment horizontal="center" vertical="top"/>
    </xf>
    <xf numFmtId="166" fontId="4" fillId="7" borderId="45" xfId="0" applyNumberFormat="1" applyFont="1" applyFill="1" applyBorder="1" applyAlignment="1">
      <alignment horizontal="center" vertical="top"/>
    </xf>
    <xf numFmtId="166" fontId="9" fillId="7" borderId="5" xfId="0" applyNumberFormat="1" applyFont="1" applyFill="1" applyBorder="1" applyAlignment="1">
      <alignment vertical="top" wrapText="1"/>
    </xf>
    <xf numFmtId="166" fontId="12" fillId="7" borderId="25" xfId="0" applyNumberFormat="1" applyFont="1" applyFill="1" applyBorder="1" applyAlignment="1">
      <alignment horizontal="center" vertical="top" wrapText="1"/>
    </xf>
    <xf numFmtId="49" fontId="4" fillId="7" borderId="31" xfId="0" applyNumberFormat="1" applyFont="1" applyFill="1" applyBorder="1" applyAlignment="1">
      <alignment horizontal="center" vertical="top"/>
    </xf>
    <xf numFmtId="166" fontId="9" fillId="7" borderId="48" xfId="0" applyNumberFormat="1" applyFont="1" applyFill="1" applyBorder="1" applyAlignment="1">
      <alignment vertical="top" wrapText="1"/>
    </xf>
    <xf numFmtId="166" fontId="9" fillId="7" borderId="19" xfId="0" applyNumberFormat="1" applyFont="1" applyFill="1" applyBorder="1" applyAlignment="1">
      <alignment vertical="top" wrapText="1"/>
    </xf>
    <xf numFmtId="0" fontId="3" fillId="0" borderId="46" xfId="0" applyFont="1" applyFill="1" applyBorder="1" applyAlignment="1">
      <alignment vertical="top" wrapText="1"/>
    </xf>
    <xf numFmtId="0" fontId="3" fillId="7" borderId="97" xfId="0" applyFont="1" applyFill="1" applyBorder="1" applyAlignment="1">
      <alignment vertical="top" wrapText="1"/>
    </xf>
    <xf numFmtId="0" fontId="3" fillId="0" borderId="125" xfId="0" applyFont="1" applyFill="1" applyBorder="1" applyAlignment="1">
      <alignment vertical="top" wrapText="1"/>
    </xf>
    <xf numFmtId="0" fontId="3" fillId="7" borderId="46" xfId="0" applyFont="1" applyFill="1" applyBorder="1" applyAlignment="1">
      <alignment vertical="top" wrapText="1"/>
    </xf>
    <xf numFmtId="49" fontId="4" fillId="7" borderId="18"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3" fontId="3" fillId="0" borderId="96" xfId="0" applyNumberFormat="1" applyFont="1" applyFill="1" applyBorder="1" applyAlignment="1">
      <alignment horizontal="center" vertical="top" wrapText="1"/>
    </xf>
    <xf numFmtId="3" fontId="3" fillId="0" borderId="88"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xf>
    <xf numFmtId="166" fontId="20" fillId="7" borderId="48" xfId="0" applyNumberFormat="1" applyFont="1" applyFill="1" applyBorder="1" applyAlignment="1">
      <alignment horizontal="center" vertical="center" textRotation="90" wrapText="1"/>
    </xf>
    <xf numFmtId="166" fontId="20" fillId="7" borderId="37" xfId="0" applyNumberFormat="1" applyFont="1" applyFill="1" applyBorder="1" applyAlignment="1">
      <alignment horizontal="center" vertical="top"/>
    </xf>
    <xf numFmtId="166" fontId="20" fillId="7" borderId="19" xfId="0" applyNumberFormat="1" applyFont="1" applyFill="1" applyBorder="1" applyAlignment="1">
      <alignment horizontal="center" vertical="center" textRotation="90" wrapText="1"/>
    </xf>
    <xf numFmtId="166" fontId="3" fillId="7" borderId="16" xfId="0" applyNumberFormat="1" applyFont="1" applyFill="1" applyBorder="1" applyAlignment="1">
      <alignment vertical="top" wrapText="1"/>
    </xf>
    <xf numFmtId="3" fontId="3" fillId="0" borderId="102" xfId="0" applyNumberFormat="1" applyFont="1" applyFill="1" applyBorder="1" applyAlignment="1">
      <alignment horizontal="center" vertical="top" wrapText="1"/>
    </xf>
    <xf numFmtId="3" fontId="3" fillId="0" borderId="83"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49" fontId="7" fillId="7" borderId="20" xfId="0" applyNumberFormat="1" applyFont="1" applyFill="1" applyBorder="1" applyAlignment="1">
      <alignment horizontal="center" vertical="center" textRotation="90" wrapText="1"/>
    </xf>
    <xf numFmtId="166" fontId="2" fillId="7" borderId="20" xfId="0" applyNumberFormat="1" applyFont="1" applyFill="1" applyBorder="1" applyAlignment="1">
      <alignment horizontal="center" vertical="top" textRotation="90" wrapText="1"/>
    </xf>
    <xf numFmtId="166" fontId="3" fillId="7" borderId="47" xfId="0" applyNumberFormat="1" applyFont="1" applyFill="1" applyBorder="1" applyAlignment="1">
      <alignment vertical="top" wrapText="1"/>
    </xf>
    <xf numFmtId="166" fontId="3" fillId="7" borderId="7" xfId="0" applyNumberFormat="1" applyFont="1" applyFill="1" applyBorder="1" applyAlignment="1">
      <alignment vertical="top" wrapText="1"/>
    </xf>
    <xf numFmtId="0" fontId="3" fillId="7" borderId="5" xfId="0" applyFont="1" applyFill="1" applyBorder="1" applyAlignment="1">
      <alignment vertical="top" wrapText="1"/>
    </xf>
    <xf numFmtId="3" fontId="3" fillId="7" borderId="42"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0" borderId="123" xfId="0" applyNumberFormat="1" applyFont="1" applyFill="1" applyBorder="1" applyAlignment="1">
      <alignment horizontal="center" vertical="top"/>
    </xf>
    <xf numFmtId="3" fontId="3" fillId="0" borderId="118" xfId="0" applyNumberFormat="1" applyFont="1" applyFill="1" applyBorder="1" applyAlignment="1">
      <alignment horizontal="center" vertical="top"/>
    </xf>
    <xf numFmtId="166" fontId="3" fillId="7" borderId="38" xfId="0" applyNumberFormat="1" applyFont="1" applyFill="1" applyBorder="1" applyAlignment="1">
      <alignment vertical="top" wrapText="1"/>
    </xf>
    <xf numFmtId="166" fontId="2" fillId="7" borderId="1" xfId="0" applyNumberFormat="1" applyFont="1" applyFill="1" applyBorder="1" applyAlignment="1">
      <alignment horizontal="center" vertical="top" textRotation="90" wrapText="1"/>
    </xf>
    <xf numFmtId="166" fontId="4" fillId="7" borderId="21" xfId="0" applyNumberFormat="1" applyFont="1" applyFill="1" applyBorder="1" applyAlignment="1">
      <alignment horizontal="center" vertical="top"/>
    </xf>
    <xf numFmtId="166" fontId="3" fillId="7" borderId="16" xfId="0" applyNumberFormat="1" applyFont="1" applyFill="1" applyBorder="1" applyAlignment="1">
      <alignment horizontal="left" vertical="top" wrapText="1"/>
    </xf>
    <xf numFmtId="166" fontId="3" fillId="7" borderId="22"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3" fontId="3" fillId="0" borderId="1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49" fontId="4" fillId="7" borderId="11"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49" fontId="7" fillId="7" borderId="11" xfId="0" applyNumberFormat="1" applyFont="1" applyFill="1" applyBorder="1" applyAlignment="1">
      <alignment horizontal="center" vertical="center" textRotation="90" wrapText="1"/>
    </xf>
    <xf numFmtId="49"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166" fontId="4" fillId="2" borderId="6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7" fillId="7" borderId="11" xfId="0" applyNumberFormat="1" applyFont="1" applyFill="1" applyBorder="1" applyAlignment="1">
      <alignment horizontal="left" textRotation="90" wrapText="1"/>
    </xf>
    <xf numFmtId="166" fontId="20" fillId="7" borderId="7" xfId="0" applyNumberFormat="1" applyFont="1" applyFill="1" applyBorder="1" applyAlignment="1">
      <alignment vertical="top" wrapText="1"/>
    </xf>
    <xf numFmtId="0" fontId="35" fillId="0" borderId="0" xfId="0" applyFont="1" applyAlignment="1">
      <alignment horizontal="justify" vertical="center"/>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9" fillId="7" borderId="11" xfId="0" applyNumberFormat="1" applyFont="1" applyFill="1" applyBorder="1" applyAlignment="1">
      <alignment horizontal="center" vertical="center" textRotation="90" wrapText="1"/>
    </xf>
    <xf numFmtId="3" fontId="3" fillId="7" borderId="82" xfId="0" applyNumberFormat="1" applyFont="1" applyFill="1" applyBorder="1" applyAlignment="1">
      <alignment horizontal="center" vertical="top"/>
    </xf>
    <xf numFmtId="0" fontId="3" fillId="7" borderId="0" xfId="0" applyFont="1" applyFill="1" applyBorder="1" applyAlignment="1">
      <alignment horizontal="center" vertical="center"/>
    </xf>
    <xf numFmtId="166" fontId="3" fillId="7" borderId="102" xfId="0" applyNumberFormat="1" applyFont="1" applyFill="1" applyBorder="1" applyAlignment="1">
      <alignment horizontal="center" vertical="top"/>
    </xf>
    <xf numFmtId="3" fontId="7" fillId="7" borderId="111" xfId="0" applyNumberFormat="1" applyFont="1" applyFill="1" applyBorder="1" applyAlignment="1">
      <alignment horizontal="center" vertical="top"/>
    </xf>
    <xf numFmtId="3" fontId="7" fillId="7" borderId="83" xfId="0" applyNumberFormat="1" applyFont="1" applyFill="1" applyBorder="1" applyAlignment="1">
      <alignment horizontal="center" vertical="top"/>
    </xf>
    <xf numFmtId="165" fontId="3" fillId="0" borderId="0" xfId="0" applyNumberFormat="1" applyFont="1" applyBorder="1" applyAlignment="1">
      <alignment vertical="top"/>
    </xf>
    <xf numFmtId="166" fontId="2" fillId="7" borderId="20" xfId="0" applyNumberFormat="1" applyFont="1" applyFill="1" applyBorder="1" applyAlignment="1">
      <alignment horizontal="center" vertical="top"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vertical="top" wrapText="1"/>
    </xf>
    <xf numFmtId="166" fontId="3" fillId="7" borderId="28" xfId="0" applyNumberFormat="1" applyFont="1" applyFill="1" applyBorder="1" applyAlignment="1">
      <alignment vertical="top" wrapText="1"/>
    </xf>
    <xf numFmtId="166" fontId="3" fillId="7" borderId="11" xfId="0" applyNumberFormat="1" applyFont="1" applyFill="1" applyBorder="1" applyAlignment="1">
      <alignment vertical="top" wrapText="1"/>
    </xf>
    <xf numFmtId="166" fontId="4" fillId="9" borderId="34"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49" fontId="3"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0" fontId="3" fillId="7" borderId="11" xfId="0" applyFont="1" applyFill="1"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2" fillId="7" borderId="20" xfId="0" applyNumberFormat="1" applyFont="1" applyFill="1" applyBorder="1" applyAlignment="1">
      <alignment horizontal="center" vertical="top" textRotation="90" wrapText="1"/>
    </xf>
    <xf numFmtId="166" fontId="3"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0" fontId="0" fillId="0" borderId="52" xfId="0" applyBorder="1" applyAlignment="1">
      <alignment horizontal="left"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3" fontId="3" fillId="0" borderId="0" xfId="0" applyNumberFormat="1" applyFont="1" applyAlignment="1">
      <alignment horizontal="left" vertical="top" wrapText="1"/>
    </xf>
    <xf numFmtId="0" fontId="0" fillId="7" borderId="28" xfId="0" applyFont="1" applyFill="1" applyBorder="1" applyAlignment="1">
      <alignment horizontal="center" vertical="top" textRotation="90" wrapText="1"/>
    </xf>
    <xf numFmtId="166" fontId="4" fillId="7" borderId="18"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166" fontId="3" fillId="2" borderId="32" xfId="0" applyNumberFormat="1" applyFont="1" applyFill="1" applyBorder="1" applyAlignment="1">
      <alignment horizontal="center" vertical="top" wrapText="1"/>
    </xf>
    <xf numFmtId="0" fontId="3" fillId="7" borderId="5" xfId="0" applyFont="1" applyFill="1" applyBorder="1" applyAlignment="1">
      <alignment vertical="top" wrapText="1"/>
    </xf>
    <xf numFmtId="166" fontId="4" fillId="8" borderId="53" xfId="0" applyNumberFormat="1" applyFont="1" applyFill="1" applyBorder="1" applyAlignment="1">
      <alignment horizontal="center" vertical="top"/>
    </xf>
    <xf numFmtId="3" fontId="25" fillId="7" borderId="61" xfId="0" applyNumberFormat="1" applyFont="1" applyFill="1" applyBorder="1" applyAlignment="1">
      <alignment horizontal="center" vertical="top" wrapText="1"/>
    </xf>
    <xf numFmtId="3" fontId="25" fillId="7" borderId="77" xfId="0" applyNumberFormat="1" applyFont="1" applyFill="1" applyBorder="1" applyAlignment="1">
      <alignment horizontal="center" vertical="top" wrapText="1"/>
    </xf>
    <xf numFmtId="3" fontId="25" fillId="7" borderId="0" xfId="0" applyNumberFormat="1" applyFont="1" applyFill="1" applyBorder="1" applyAlignment="1">
      <alignment horizontal="center" vertical="top" wrapText="1"/>
    </xf>
    <xf numFmtId="3" fontId="7" fillId="7" borderId="57"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xf>
    <xf numFmtId="3" fontId="3" fillId="7" borderId="110" xfId="0" applyNumberFormat="1" applyFont="1" applyFill="1" applyBorder="1" applyAlignment="1">
      <alignment horizontal="center" vertical="top" wrapText="1"/>
    </xf>
    <xf numFmtId="3" fontId="3" fillId="7" borderId="100" xfId="0" applyNumberFormat="1" applyFont="1" applyFill="1" applyBorder="1" applyAlignment="1">
      <alignment horizontal="center" vertical="top" wrapText="1"/>
    </xf>
    <xf numFmtId="3" fontId="3" fillId="7" borderId="61" xfId="0" applyNumberFormat="1" applyFont="1" applyFill="1" applyBorder="1" applyAlignment="1">
      <alignment horizontal="center" vertical="top" wrapText="1"/>
    </xf>
    <xf numFmtId="3" fontId="3" fillId="7" borderId="77" xfId="0" applyNumberFormat="1" applyFont="1" applyFill="1" applyBorder="1" applyAlignment="1">
      <alignment horizontal="center" vertical="top" wrapText="1"/>
    </xf>
    <xf numFmtId="3" fontId="25" fillId="7" borderId="61"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77" xfId="0" applyNumberFormat="1" applyFont="1" applyFill="1" applyBorder="1" applyAlignment="1">
      <alignment horizontal="center" vertical="top"/>
    </xf>
    <xf numFmtId="3" fontId="3" fillId="0" borderId="75" xfId="0" applyNumberFormat="1" applyFont="1" applyFill="1" applyBorder="1" applyAlignment="1">
      <alignment horizontal="center" vertical="top"/>
    </xf>
    <xf numFmtId="3" fontId="3" fillId="7" borderId="52" xfId="0" applyNumberFormat="1" applyFont="1" applyFill="1" applyBorder="1" applyAlignment="1">
      <alignment horizontal="center" vertical="top" wrapText="1"/>
    </xf>
    <xf numFmtId="3" fontId="3" fillId="7" borderId="0" xfId="0" applyNumberFormat="1" applyFont="1" applyFill="1" applyBorder="1" applyAlignment="1">
      <alignment horizontal="center" vertical="top" wrapText="1"/>
    </xf>
    <xf numFmtId="3" fontId="25" fillId="7" borderId="0" xfId="1" applyNumberFormat="1" applyFont="1" applyFill="1" applyBorder="1" applyAlignment="1">
      <alignment horizontal="center" vertical="top" wrapText="1"/>
    </xf>
    <xf numFmtId="166" fontId="3" fillId="0" borderId="52" xfId="0" applyNumberFormat="1" applyFont="1" applyBorder="1" applyAlignment="1">
      <alignment vertical="top"/>
    </xf>
    <xf numFmtId="166" fontId="3" fillId="7" borderId="119" xfId="0" applyNumberFormat="1" applyFont="1" applyFill="1" applyBorder="1" applyAlignment="1">
      <alignment vertical="top"/>
    </xf>
    <xf numFmtId="166" fontId="3" fillId="0" borderId="49" xfId="0" applyNumberFormat="1" applyFont="1" applyFill="1" applyBorder="1" applyAlignment="1">
      <alignment horizontal="center" vertical="top"/>
    </xf>
    <xf numFmtId="3" fontId="3" fillId="0" borderId="119" xfId="0" applyNumberFormat="1" applyFont="1" applyFill="1" applyBorder="1" applyAlignment="1">
      <alignment horizontal="center" vertical="top"/>
    </xf>
    <xf numFmtId="166" fontId="3" fillId="7" borderId="32" xfId="0" applyNumberFormat="1" applyFont="1" applyFill="1" applyBorder="1" applyAlignment="1">
      <alignment horizontal="center" vertical="top"/>
    </xf>
    <xf numFmtId="3" fontId="3" fillId="0" borderId="64"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166" fontId="3" fillId="0" borderId="52" xfId="0" applyNumberFormat="1" applyFont="1" applyFill="1" applyBorder="1" applyAlignment="1">
      <alignment horizontal="center" vertical="top"/>
    </xf>
    <xf numFmtId="166" fontId="3" fillId="0" borderId="77" xfId="0" applyNumberFormat="1" applyFont="1" applyFill="1" applyBorder="1" applyAlignment="1">
      <alignment horizontal="center" vertical="top"/>
    </xf>
    <xf numFmtId="166" fontId="3" fillId="0" borderId="61" xfId="0" applyNumberFormat="1" applyFont="1" applyFill="1" applyBorder="1" applyAlignment="1">
      <alignment horizontal="center" vertical="top"/>
    </xf>
    <xf numFmtId="49" fontId="3" fillId="0" borderId="100" xfId="0" applyNumberFormat="1" applyFont="1" applyFill="1" applyBorder="1" applyAlignment="1">
      <alignment horizontal="center" vertical="top"/>
    </xf>
    <xf numFmtId="166" fontId="3" fillId="0" borderId="121" xfId="0" applyNumberFormat="1" applyFont="1" applyFill="1" applyBorder="1" applyAlignment="1">
      <alignment horizontal="center" vertical="top"/>
    </xf>
    <xf numFmtId="166" fontId="7" fillId="7" borderId="32" xfId="0" applyNumberFormat="1" applyFont="1" applyFill="1" applyBorder="1" applyAlignment="1">
      <alignment horizontal="center" vertical="top" wrapText="1"/>
    </xf>
    <xf numFmtId="0" fontId="35" fillId="0" borderId="0" xfId="0" applyFont="1" applyAlignment="1">
      <alignment horizontal="left" vertical="top" wrapText="1"/>
    </xf>
    <xf numFmtId="0" fontId="0" fillId="0" borderId="0" xfId="0" applyAlignment="1">
      <alignment horizontal="left" vertical="top"/>
    </xf>
    <xf numFmtId="0" fontId="4" fillId="0" borderId="0" xfId="0" applyFont="1" applyBorder="1" applyAlignment="1">
      <alignment horizontal="right" vertical="top"/>
    </xf>
    <xf numFmtId="3" fontId="25" fillId="0" borderId="26" xfId="0" applyNumberFormat="1" applyFont="1" applyBorder="1" applyAlignment="1">
      <alignment vertical="top"/>
    </xf>
    <xf numFmtId="0" fontId="3" fillId="0" borderId="65" xfId="0" applyFont="1" applyBorder="1" applyAlignment="1">
      <alignment horizontal="center" vertical="center" textRotation="90" wrapText="1"/>
    </xf>
    <xf numFmtId="3" fontId="25" fillId="0" borderId="31" xfId="0" applyNumberFormat="1" applyFont="1" applyBorder="1" applyAlignment="1">
      <alignment vertical="top"/>
    </xf>
    <xf numFmtId="49" fontId="3" fillId="7" borderId="102" xfId="0" applyNumberFormat="1" applyFont="1" applyFill="1" applyBorder="1" applyAlignment="1">
      <alignment horizontal="center" vertical="top"/>
    </xf>
    <xf numFmtId="3" fontId="3" fillId="7" borderId="92" xfId="0" applyNumberFormat="1" applyFont="1" applyFill="1" applyBorder="1" applyAlignment="1">
      <alignment horizontal="center" vertical="top" wrapText="1"/>
    </xf>
    <xf numFmtId="3" fontId="7" fillId="7" borderId="47"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center" wrapText="1"/>
    </xf>
    <xf numFmtId="3" fontId="15" fillId="7" borderId="47" xfId="0" applyNumberFormat="1" applyFont="1" applyFill="1" applyBorder="1" applyAlignment="1">
      <alignment horizontal="center" vertical="top"/>
    </xf>
    <xf numFmtId="3" fontId="15" fillId="7" borderId="49" xfId="0" applyNumberFormat="1" applyFont="1" applyFill="1" applyBorder="1" applyAlignment="1">
      <alignment horizontal="center" vertical="top"/>
    </xf>
    <xf numFmtId="3" fontId="25" fillId="7" borderId="18" xfId="0" applyNumberFormat="1" applyFont="1" applyFill="1" applyBorder="1" applyAlignment="1">
      <alignment horizontal="center" vertical="top" wrapText="1"/>
    </xf>
    <xf numFmtId="3" fontId="3" fillId="0" borderId="26" xfId="0" applyNumberFormat="1" applyFont="1" applyFill="1" applyBorder="1" applyAlignment="1">
      <alignment horizontal="center" vertical="top"/>
    </xf>
    <xf numFmtId="3" fontId="25" fillId="7" borderId="18" xfId="1" applyNumberFormat="1" applyFont="1" applyFill="1" applyBorder="1" applyAlignment="1">
      <alignment horizontal="center" vertical="top" wrapText="1"/>
    </xf>
    <xf numFmtId="165" fontId="3" fillId="7" borderId="11"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6" fontId="4" fillId="8" borderId="30" xfId="0" applyNumberFormat="1" applyFont="1" applyFill="1" applyBorder="1" applyAlignment="1">
      <alignment horizontal="center" vertical="top"/>
    </xf>
    <xf numFmtId="166" fontId="4" fillId="3" borderId="71" xfId="0" applyNumberFormat="1" applyFont="1" applyFill="1" applyBorder="1" applyAlignment="1">
      <alignment horizontal="center" vertical="top"/>
    </xf>
    <xf numFmtId="166" fontId="4" fillId="2" borderId="55" xfId="0" applyNumberFormat="1" applyFont="1" applyFill="1" applyBorder="1" applyAlignment="1">
      <alignment horizontal="center" vertical="top"/>
    </xf>
    <xf numFmtId="165" fontId="3" fillId="7" borderId="34" xfId="0" applyNumberFormat="1" applyFont="1" applyFill="1" applyBorder="1" applyAlignment="1">
      <alignment horizontal="center" vertical="top"/>
    </xf>
    <xf numFmtId="165" fontId="3" fillId="7" borderId="66" xfId="0" applyNumberFormat="1" applyFont="1" applyFill="1" applyBorder="1" applyAlignment="1">
      <alignment horizontal="center" vertical="top"/>
    </xf>
    <xf numFmtId="166" fontId="3" fillId="7" borderId="34" xfId="0" applyNumberFormat="1" applyFont="1" applyFill="1" applyBorder="1" applyAlignment="1">
      <alignment horizontal="center"/>
    </xf>
    <xf numFmtId="166" fontId="3" fillId="7" borderId="66" xfId="0" applyNumberFormat="1" applyFont="1" applyFill="1" applyBorder="1" applyAlignment="1">
      <alignment horizontal="center"/>
    </xf>
    <xf numFmtId="166" fontId="3" fillId="7" borderId="66" xfId="1" applyNumberFormat="1" applyFont="1" applyFill="1" applyBorder="1" applyAlignment="1">
      <alignment horizontal="center" vertical="top"/>
    </xf>
    <xf numFmtId="0" fontId="3" fillId="7" borderId="77" xfId="0" applyFont="1" applyFill="1" applyBorder="1" applyAlignment="1">
      <alignment vertical="top"/>
    </xf>
    <xf numFmtId="0" fontId="3" fillId="7" borderId="48" xfId="0" applyFont="1" applyFill="1" applyBorder="1" applyAlignment="1">
      <alignment horizontal="left" vertical="top" wrapText="1"/>
    </xf>
    <xf numFmtId="166" fontId="25" fillId="7" borderId="46" xfId="0" applyNumberFormat="1" applyFont="1" applyFill="1" applyBorder="1" applyAlignment="1">
      <alignment horizontal="left" vertical="top" wrapText="1"/>
    </xf>
    <xf numFmtId="0" fontId="28" fillId="7" borderId="19" xfId="0" applyFont="1" applyFill="1" applyBorder="1" applyAlignment="1">
      <alignment vertical="top" wrapText="1"/>
    </xf>
    <xf numFmtId="166" fontId="25" fillId="7" borderId="97" xfId="0" applyNumberFormat="1" applyFont="1" applyFill="1" applyBorder="1" applyAlignment="1">
      <alignment horizontal="left" vertical="top" wrapText="1"/>
    </xf>
    <xf numFmtId="0" fontId="25" fillId="7" borderId="19" xfId="0" applyFont="1" applyFill="1" applyBorder="1" applyAlignment="1">
      <alignment horizontal="left" vertical="top" wrapText="1"/>
    </xf>
    <xf numFmtId="166" fontId="25" fillId="7" borderId="48" xfId="0" applyNumberFormat="1" applyFont="1" applyFill="1" applyBorder="1" applyAlignment="1">
      <alignment horizontal="left" vertical="top" wrapText="1"/>
    </xf>
    <xf numFmtId="166" fontId="28" fillId="7" borderId="19" xfId="0" applyNumberFormat="1" applyFont="1" applyFill="1" applyBorder="1" applyAlignment="1">
      <alignment horizontal="left" vertical="top" wrapText="1"/>
    </xf>
    <xf numFmtId="166" fontId="3" fillId="7" borderId="19" xfId="0" applyNumberFormat="1" applyFont="1" applyFill="1" applyBorder="1" applyAlignment="1">
      <alignment vertical="top" wrapText="1"/>
    </xf>
    <xf numFmtId="166" fontId="20" fillId="7" borderId="53"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0" fontId="3" fillId="7" borderId="99" xfId="0" applyFont="1" applyFill="1" applyBorder="1" applyAlignment="1">
      <alignment horizontal="left" vertical="top" wrapText="1"/>
    </xf>
    <xf numFmtId="0" fontId="3" fillId="7" borderId="97" xfId="0" applyFont="1" applyFill="1" applyBorder="1" applyAlignment="1">
      <alignment horizontal="left" vertical="top" wrapText="1"/>
    </xf>
    <xf numFmtId="166" fontId="20" fillId="7" borderId="19" xfId="0" applyNumberFormat="1" applyFont="1" applyFill="1" applyBorder="1" applyAlignment="1">
      <alignment vertical="top" wrapText="1"/>
    </xf>
    <xf numFmtId="0" fontId="31" fillId="7" borderId="48" xfId="0" applyFont="1" applyFill="1" applyBorder="1" applyAlignment="1">
      <alignment vertical="top" wrapText="1"/>
    </xf>
    <xf numFmtId="0" fontId="25" fillId="7" borderId="19" xfId="0" applyFont="1" applyFill="1" applyBorder="1" applyAlignment="1">
      <alignment vertical="top" wrapText="1"/>
    </xf>
    <xf numFmtId="0" fontId="25" fillId="7" borderId="48" xfId="0" applyFont="1" applyFill="1" applyBorder="1" applyAlignment="1">
      <alignment vertical="top" wrapText="1"/>
    </xf>
    <xf numFmtId="166" fontId="3" fillId="7" borderId="41" xfId="0" applyNumberFormat="1"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166" fontId="3" fillId="3" borderId="62" xfId="0" applyNumberFormat="1" applyFont="1" applyFill="1" applyBorder="1" applyAlignment="1">
      <alignment vertical="top" wrapText="1"/>
    </xf>
    <xf numFmtId="166" fontId="3" fillId="7" borderId="41" xfId="0" applyNumberFormat="1" applyFont="1" applyFill="1" applyBorder="1" applyAlignment="1">
      <alignment vertical="top" wrapText="1"/>
    </xf>
    <xf numFmtId="166" fontId="3" fillId="0" borderId="19" xfId="0" applyNumberFormat="1" applyFont="1" applyFill="1" applyBorder="1" applyAlignment="1">
      <alignment vertical="top" wrapText="1"/>
    </xf>
    <xf numFmtId="166" fontId="25" fillId="7" borderId="48" xfId="0" applyNumberFormat="1" applyFont="1" applyFill="1" applyBorder="1" applyAlignment="1">
      <alignment vertical="top" wrapText="1"/>
    </xf>
    <xf numFmtId="166" fontId="25" fillId="7" borderId="46" xfId="0" applyNumberFormat="1" applyFont="1" applyFill="1" applyBorder="1" applyAlignment="1">
      <alignment vertical="top" wrapText="1"/>
    </xf>
    <xf numFmtId="165" fontId="3" fillId="7" borderId="44"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6" fontId="3" fillId="7" borderId="54" xfId="0" applyNumberFormat="1" applyFont="1" applyFill="1" applyBorder="1" applyAlignment="1">
      <alignment horizontal="center"/>
    </xf>
    <xf numFmtId="166" fontId="3" fillId="0" borderId="44" xfId="0" applyNumberFormat="1" applyFont="1" applyBorder="1" applyAlignment="1">
      <alignment vertical="top"/>
    </xf>
    <xf numFmtId="3" fontId="3" fillId="7" borderId="123" xfId="0" applyNumberFormat="1" applyFont="1" applyFill="1" applyBorder="1" applyAlignment="1">
      <alignment horizontal="center" vertical="top"/>
    </xf>
    <xf numFmtId="0" fontId="3" fillId="7" borderId="47" xfId="0" applyFont="1" applyFill="1" applyBorder="1" applyAlignment="1">
      <alignment horizontal="right" vertical="center"/>
    </xf>
    <xf numFmtId="0" fontId="29" fillId="7" borderId="35" xfId="0" applyFont="1" applyFill="1" applyBorder="1" applyAlignment="1">
      <alignment horizontal="right" vertical="center"/>
    </xf>
    <xf numFmtId="3" fontId="3" fillId="7" borderId="115" xfId="0" applyNumberFormat="1" applyFont="1" applyFill="1" applyBorder="1" applyAlignment="1">
      <alignment horizontal="center" vertical="top"/>
    </xf>
    <xf numFmtId="3" fontId="3" fillId="0" borderId="26" xfId="0" applyNumberFormat="1" applyFont="1" applyFill="1" applyBorder="1" applyAlignment="1">
      <alignment horizontal="center" vertical="top" wrapText="1"/>
    </xf>
    <xf numFmtId="166" fontId="3" fillId="0" borderId="11" xfId="0" applyNumberFormat="1" applyFont="1" applyBorder="1" applyAlignment="1">
      <alignment vertical="top"/>
    </xf>
    <xf numFmtId="166" fontId="3" fillId="3" borderId="18" xfId="0" applyNumberFormat="1" applyFont="1" applyFill="1" applyBorder="1" applyAlignment="1">
      <alignment horizontal="center" vertical="top"/>
    </xf>
    <xf numFmtId="166" fontId="3" fillId="3" borderId="25" xfId="0" applyNumberFormat="1" applyFont="1" applyFill="1" applyBorder="1" applyAlignment="1">
      <alignment horizontal="center" vertical="top"/>
    </xf>
    <xf numFmtId="3" fontId="7" fillId="7" borderId="49" xfId="0" applyNumberFormat="1" applyFont="1" applyFill="1" applyBorder="1" applyAlignment="1">
      <alignment horizontal="center" vertical="top"/>
    </xf>
    <xf numFmtId="3" fontId="7" fillId="0" borderId="49" xfId="0" applyNumberFormat="1" applyFont="1" applyFill="1" applyBorder="1" applyAlignment="1">
      <alignment horizontal="center" vertical="top"/>
    </xf>
    <xf numFmtId="49" fontId="7" fillId="7" borderId="92" xfId="0" applyNumberFormat="1" applyFont="1" applyFill="1" applyBorder="1" applyAlignment="1">
      <alignment horizontal="center" vertical="top" wrapText="1"/>
    </xf>
    <xf numFmtId="49" fontId="7" fillId="7" borderId="18" xfId="0" applyNumberFormat="1" applyFont="1" applyFill="1" applyBorder="1" applyAlignment="1">
      <alignment horizontal="center" vertical="top" wrapText="1"/>
    </xf>
    <xf numFmtId="166" fontId="4" fillId="2" borderId="74" xfId="0" applyNumberFormat="1" applyFont="1" applyFill="1" applyBorder="1" applyAlignment="1">
      <alignment horizontal="center" vertical="top"/>
    </xf>
    <xf numFmtId="166" fontId="3" fillId="7" borderId="41" xfId="0" applyNumberFormat="1" applyFont="1" applyFill="1" applyBorder="1" applyAlignment="1">
      <alignment horizontal="center" vertical="top"/>
    </xf>
    <xf numFmtId="166" fontId="3" fillId="7" borderId="36" xfId="0" applyNumberFormat="1" applyFont="1" applyFill="1" applyBorder="1" applyAlignment="1">
      <alignment vertical="top" wrapText="1"/>
    </xf>
    <xf numFmtId="166" fontId="3" fillId="7" borderId="99" xfId="0" applyNumberFormat="1" applyFont="1" applyFill="1" applyBorder="1" applyAlignment="1">
      <alignment vertical="top" wrapText="1"/>
    </xf>
    <xf numFmtId="0" fontId="3" fillId="7" borderId="125" xfId="0" applyFont="1" applyFill="1" applyBorder="1" applyAlignment="1">
      <alignment horizontal="left" vertical="top" wrapText="1"/>
    </xf>
    <xf numFmtId="166" fontId="3" fillId="0" borderId="41" xfId="0" applyNumberFormat="1" applyFont="1" applyFill="1" applyBorder="1" applyAlignment="1">
      <alignment vertical="top" wrapText="1"/>
    </xf>
    <xf numFmtId="0" fontId="3" fillId="7" borderId="19" xfId="0" applyFont="1" applyFill="1" applyBorder="1" applyAlignment="1">
      <alignment vertical="top" wrapText="1"/>
    </xf>
    <xf numFmtId="166" fontId="4" fillId="8" borderId="44" xfId="0" applyNumberFormat="1" applyFont="1" applyFill="1" applyBorder="1" applyAlignment="1">
      <alignment horizontal="center" vertical="top"/>
    </xf>
    <xf numFmtId="166" fontId="4" fillId="5" borderId="56" xfId="0" applyNumberFormat="1" applyFont="1" applyFill="1" applyBorder="1" applyAlignment="1">
      <alignment horizontal="center" vertical="top"/>
    </xf>
    <xf numFmtId="166" fontId="4" fillId="9" borderId="30" xfId="0" applyNumberFormat="1" applyFont="1" applyFill="1" applyBorder="1" applyAlignment="1">
      <alignment horizontal="center" vertical="top"/>
    </xf>
    <xf numFmtId="166" fontId="4" fillId="5" borderId="4" xfId="0" applyNumberFormat="1" applyFont="1" applyFill="1" applyBorder="1" applyAlignment="1">
      <alignment horizontal="center" vertical="top"/>
    </xf>
    <xf numFmtId="166" fontId="3" fillId="0" borderId="46" xfId="0" applyNumberFormat="1" applyFont="1" applyFill="1" applyBorder="1" applyAlignment="1">
      <alignment horizontal="left" vertical="top" wrapText="1"/>
    </xf>
    <xf numFmtId="166" fontId="3" fillId="0" borderId="97" xfId="0" applyNumberFormat="1" applyFont="1" applyFill="1" applyBorder="1" applyAlignment="1">
      <alignment horizontal="left" vertical="top" wrapText="1"/>
    </xf>
    <xf numFmtId="166" fontId="9" fillId="7" borderId="32" xfId="0" applyNumberFormat="1" applyFont="1" applyFill="1" applyBorder="1" applyAlignment="1">
      <alignment vertical="top" wrapText="1"/>
    </xf>
    <xf numFmtId="166" fontId="7" fillId="7" borderId="31" xfId="0" applyNumberFormat="1" applyFont="1" applyFill="1" applyBorder="1" applyAlignment="1">
      <alignment horizontal="center" vertical="top" wrapText="1"/>
    </xf>
    <xf numFmtId="166" fontId="4" fillId="8" borderId="1"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wrapText="1"/>
    </xf>
    <xf numFmtId="166" fontId="4" fillId="5" borderId="1"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xf>
    <xf numFmtId="166" fontId="4" fillId="5" borderId="1" xfId="0" applyNumberFormat="1" applyFont="1" applyFill="1" applyBorder="1" applyAlignment="1">
      <alignment horizontal="center" vertical="top"/>
    </xf>
    <xf numFmtId="166" fontId="4" fillId="5" borderId="43" xfId="0" applyNumberFormat="1" applyFont="1" applyFill="1" applyBorder="1" applyAlignment="1">
      <alignment horizontal="center" vertical="top"/>
    </xf>
    <xf numFmtId="166" fontId="4" fillId="8" borderId="69" xfId="0" applyNumberFormat="1" applyFont="1" applyFill="1" applyBorder="1" applyAlignment="1">
      <alignment horizontal="center" vertical="top"/>
    </xf>
    <xf numFmtId="166" fontId="4" fillId="8" borderId="1" xfId="0" applyNumberFormat="1" applyFont="1" applyFill="1" applyBorder="1" applyAlignment="1">
      <alignment horizontal="center" vertical="top"/>
    </xf>
    <xf numFmtId="166" fontId="4" fillId="8" borderId="43" xfId="0" applyNumberFormat="1" applyFont="1" applyFill="1" applyBorder="1" applyAlignment="1">
      <alignment horizontal="center" vertical="top"/>
    </xf>
    <xf numFmtId="166" fontId="3" fillId="8" borderId="69" xfId="0" applyNumberFormat="1" applyFont="1" applyFill="1" applyBorder="1" applyAlignment="1">
      <alignment horizontal="center" vertical="top"/>
    </xf>
    <xf numFmtId="166" fontId="3" fillId="8" borderId="1" xfId="0" applyNumberFormat="1" applyFont="1" applyFill="1" applyBorder="1" applyAlignment="1">
      <alignment horizontal="center" vertical="top"/>
    </xf>
    <xf numFmtId="166" fontId="4" fillId="11" borderId="74" xfId="0" applyNumberFormat="1" applyFont="1" applyFill="1" applyBorder="1" applyAlignment="1">
      <alignment horizontal="center" vertical="top" wrapText="1"/>
    </xf>
    <xf numFmtId="166" fontId="4" fillId="11" borderId="30" xfId="0" applyNumberFormat="1" applyFont="1" applyFill="1" applyBorder="1" applyAlignment="1">
      <alignment horizontal="center" vertical="top" wrapText="1"/>
    </xf>
    <xf numFmtId="166" fontId="4" fillId="11" borderId="74" xfId="0" applyNumberFormat="1" applyFont="1" applyFill="1" applyBorder="1" applyAlignment="1">
      <alignment horizontal="center" vertical="top"/>
    </xf>
    <xf numFmtId="166" fontId="4" fillId="11" borderId="30" xfId="0" applyNumberFormat="1" applyFont="1" applyFill="1" applyBorder="1" applyAlignment="1">
      <alignment horizontal="center" vertical="top"/>
    </xf>
    <xf numFmtId="166" fontId="4" fillId="11" borderId="33" xfId="0" applyNumberFormat="1" applyFont="1" applyFill="1" applyBorder="1" applyAlignment="1">
      <alignment horizontal="center" vertical="top"/>
    </xf>
    <xf numFmtId="0" fontId="25" fillId="7" borderId="45" xfId="0" applyFont="1" applyFill="1" applyBorder="1" applyAlignment="1">
      <alignment horizontal="center" vertical="center" wrapText="1"/>
    </xf>
    <xf numFmtId="0" fontId="3" fillId="7" borderId="25" xfId="0" applyFont="1" applyFill="1" applyBorder="1" applyAlignment="1">
      <alignment horizontal="center" vertical="center" wrapText="1"/>
    </xf>
    <xf numFmtId="0" fontId="3" fillId="7" borderId="51" xfId="0" applyFont="1" applyFill="1" applyBorder="1" applyAlignment="1">
      <alignment horizontal="center" vertical="center" wrapText="1"/>
    </xf>
    <xf numFmtId="0" fontId="3" fillId="7" borderId="45" xfId="0" applyFont="1" applyFill="1" applyBorder="1" applyAlignment="1">
      <alignment horizontal="center" vertical="center" wrapText="1"/>
    </xf>
    <xf numFmtId="0" fontId="3" fillId="7" borderId="13" xfId="0" applyFont="1" applyFill="1" applyBorder="1" applyAlignment="1">
      <alignment horizontal="center" vertical="center" wrapText="1"/>
    </xf>
    <xf numFmtId="166" fontId="15" fillId="7" borderId="25" xfId="0" applyNumberFormat="1" applyFont="1" applyFill="1" applyBorder="1" applyAlignment="1">
      <alignment horizontal="center" vertical="top"/>
    </xf>
    <xf numFmtId="166" fontId="15" fillId="7" borderId="28" xfId="0" applyNumberFormat="1" applyFont="1" applyFill="1" applyBorder="1" applyAlignment="1">
      <alignment horizontal="center" vertical="top"/>
    </xf>
    <xf numFmtId="166" fontId="15" fillId="7" borderId="52" xfId="0" applyNumberFormat="1" applyFont="1" applyFill="1" applyBorder="1" applyAlignment="1">
      <alignment horizontal="center" vertical="top"/>
    </xf>
    <xf numFmtId="166" fontId="15" fillId="7" borderId="0" xfId="0" applyNumberFormat="1" applyFont="1" applyFill="1" applyBorder="1" applyAlignment="1">
      <alignment horizontal="center" vertical="top"/>
    </xf>
    <xf numFmtId="166" fontId="15" fillId="7" borderId="77"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3" fillId="0" borderId="19" xfId="0" applyFont="1" applyBorder="1" applyAlignment="1">
      <alignment horizontal="left" vertical="top" wrapText="1"/>
    </xf>
    <xf numFmtId="3" fontId="15" fillId="3" borderId="61" xfId="0" applyNumberFormat="1" applyFont="1" applyFill="1" applyBorder="1" applyAlignment="1">
      <alignment horizontal="center" vertical="top" wrapText="1"/>
    </xf>
    <xf numFmtId="166" fontId="25" fillId="7" borderId="7" xfId="0" applyNumberFormat="1" applyFont="1" applyFill="1" applyBorder="1" applyAlignment="1">
      <alignment horizontal="left" vertical="top" wrapText="1"/>
    </xf>
    <xf numFmtId="166" fontId="3" fillId="7" borderId="64"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4" xfId="0" applyNumberFormat="1" applyFont="1" applyFill="1" applyBorder="1" applyAlignment="1">
      <alignment horizontal="center" vertical="top" wrapText="1"/>
    </xf>
    <xf numFmtId="0" fontId="4" fillId="0" borderId="0" xfId="0" applyNumberFormat="1" applyFont="1" applyFill="1" applyAlignment="1">
      <alignment vertical="top"/>
    </xf>
    <xf numFmtId="0" fontId="3" fillId="0" borderId="0" xfId="0" applyFont="1" applyFill="1" applyAlignment="1">
      <alignment horizontal="center" vertical="top"/>
    </xf>
    <xf numFmtId="3" fontId="3" fillId="0" borderId="0" xfId="0" applyNumberFormat="1" applyFont="1" applyFill="1" applyAlignment="1">
      <alignment vertical="top"/>
    </xf>
    <xf numFmtId="166" fontId="3" fillId="7" borderId="43" xfId="0" applyNumberFormat="1" applyFont="1" applyFill="1" applyBorder="1" applyAlignment="1">
      <alignment horizontal="center" vertical="top"/>
    </xf>
    <xf numFmtId="166" fontId="3" fillId="8" borderId="43" xfId="0" applyNumberFormat="1" applyFont="1" applyFill="1" applyBorder="1" applyAlignment="1">
      <alignment horizontal="center" vertical="top"/>
    </xf>
    <xf numFmtId="166" fontId="15" fillId="7" borderId="11" xfId="0" applyNumberFormat="1" applyFont="1" applyFill="1" applyBorder="1" applyAlignment="1">
      <alignment horizontal="center" vertical="center" wrapText="1"/>
    </xf>
    <xf numFmtId="49"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166" fontId="3" fillId="7" borderId="81" xfId="0" applyNumberFormat="1" applyFont="1" applyFill="1" applyBorder="1" applyAlignment="1">
      <alignment horizontal="left"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9" xfId="0" applyNumberFormat="1" applyFont="1" applyFill="1" applyBorder="1" applyAlignment="1">
      <alignment horizontal="center" vertical="top" wrapText="1"/>
    </xf>
    <xf numFmtId="3" fontId="3" fillId="7" borderId="82"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49" fontId="15" fillId="7" borderId="108"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0" fontId="3" fillId="0" borderId="0" xfId="0" applyFont="1" applyFill="1" applyBorder="1" applyAlignment="1">
      <alignment vertical="top"/>
    </xf>
    <xf numFmtId="0" fontId="29" fillId="7" borderId="18" xfId="0" applyFont="1" applyFill="1" applyBorder="1" applyAlignment="1">
      <alignment horizontal="right" vertical="center"/>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15" fillId="0" borderId="34" xfId="0" applyNumberFormat="1" applyFont="1" applyFill="1" applyBorder="1" applyAlignment="1">
      <alignment horizontal="center" vertical="top"/>
    </xf>
    <xf numFmtId="166" fontId="15" fillId="0" borderId="11" xfId="0" applyNumberFormat="1" applyFont="1" applyFill="1" applyBorder="1" applyAlignment="1">
      <alignment horizontal="center" vertical="top"/>
    </xf>
    <xf numFmtId="166" fontId="15" fillId="0" borderId="0" xfId="0" applyNumberFormat="1" applyFont="1" applyFill="1" applyBorder="1" applyAlignment="1">
      <alignment horizontal="center" vertical="top"/>
    </xf>
    <xf numFmtId="166" fontId="15" fillId="7" borderId="44" xfId="0" applyNumberFormat="1" applyFont="1" applyFill="1" applyBorder="1" applyAlignment="1">
      <alignment horizontal="center" vertical="top"/>
    </xf>
    <xf numFmtId="166" fontId="15" fillId="7" borderId="51" xfId="0" applyNumberFormat="1" applyFont="1" applyFill="1" applyBorder="1" applyAlignment="1">
      <alignment horizontal="center" vertical="top"/>
    </xf>
    <xf numFmtId="166" fontId="3" fillId="7" borderId="0" xfId="0" applyNumberFormat="1" applyFont="1" applyFill="1" applyBorder="1" applyAlignment="1">
      <alignment horizontal="center" vertical="center" wrapText="1"/>
    </xf>
    <xf numFmtId="166" fontId="15" fillId="7" borderId="20" xfId="0" applyNumberFormat="1" applyFont="1" applyFill="1" applyBorder="1" applyAlignment="1">
      <alignment horizontal="center" vertical="top"/>
    </xf>
    <xf numFmtId="166" fontId="15" fillId="7" borderId="39" xfId="0" applyNumberFormat="1" applyFont="1" applyFill="1" applyBorder="1" applyAlignment="1">
      <alignment horizontal="center" vertical="top"/>
    </xf>
    <xf numFmtId="166" fontId="15" fillId="7" borderId="61"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15" fillId="7" borderId="54" xfId="0" applyNumberFormat="1" applyFont="1" applyFill="1" applyBorder="1" applyAlignment="1">
      <alignment horizontal="center" vertical="top"/>
    </xf>
    <xf numFmtId="3" fontId="15" fillId="7" borderId="30" xfId="2" applyNumberFormat="1" applyFont="1" applyFill="1" applyBorder="1" applyAlignment="1">
      <alignment horizontal="center" vertical="top"/>
    </xf>
    <xf numFmtId="49" fontId="15" fillId="0" borderId="11" xfId="2" applyNumberFormat="1" applyFont="1" applyFill="1" applyBorder="1" applyAlignment="1">
      <alignment horizontal="center" vertical="top" wrapText="1"/>
    </xf>
    <xf numFmtId="3" fontId="3" fillId="0" borderId="18" xfId="0" applyNumberFormat="1" applyFont="1" applyFill="1" applyBorder="1" applyAlignment="1">
      <alignment horizontal="left" vertical="top" wrapText="1"/>
    </xf>
    <xf numFmtId="3" fontId="15" fillId="0" borderId="11" xfId="0" applyNumberFormat="1" applyFont="1" applyFill="1" applyBorder="1" applyAlignment="1">
      <alignment horizontal="center" vertical="top"/>
    </xf>
    <xf numFmtId="3" fontId="15" fillId="0" borderId="0"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3" fontId="3" fillId="7" borderId="18"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4" fillId="9" borderId="57" xfId="0" applyNumberFormat="1" applyFont="1" applyFill="1" applyBorder="1" applyAlignment="1">
      <alignment horizontal="center" vertical="top"/>
    </xf>
    <xf numFmtId="166" fontId="4" fillId="5" borderId="76" xfId="0" applyNumberFormat="1" applyFont="1" applyFill="1" applyBorder="1" applyAlignment="1">
      <alignment horizontal="center" vertical="top"/>
    </xf>
    <xf numFmtId="166" fontId="4" fillId="2" borderId="31" xfId="0" applyNumberFormat="1" applyFont="1" applyFill="1" applyBorder="1" applyAlignment="1">
      <alignment horizontal="center" vertical="top"/>
    </xf>
    <xf numFmtId="49" fontId="15"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0" fontId="3" fillId="7" borderId="113" xfId="0" applyFont="1" applyFill="1" applyBorder="1" applyAlignment="1">
      <alignment horizontal="left" vertical="top" wrapText="1"/>
    </xf>
    <xf numFmtId="166" fontId="25" fillId="7" borderId="46" xfId="0" applyNumberFormat="1" applyFont="1" applyFill="1" applyBorder="1" applyAlignment="1">
      <alignment horizontal="left" vertical="top" wrapText="1"/>
    </xf>
    <xf numFmtId="3" fontId="3" fillId="7" borderId="18"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3" fontId="15" fillId="7" borderId="20" xfId="0" applyNumberFormat="1" applyFont="1" applyFill="1" applyBorder="1" applyAlignment="1">
      <alignment horizontal="center" vertical="top" wrapText="1"/>
    </xf>
    <xf numFmtId="166" fontId="3" fillId="7" borderId="37" xfId="0" applyNumberFormat="1" applyFont="1" applyFill="1" applyBorder="1" applyAlignment="1">
      <alignment vertical="top" wrapText="1"/>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4" fillId="7" borderId="11" xfId="0" applyNumberFormat="1" applyFont="1" applyFill="1" applyBorder="1" applyAlignment="1">
      <alignment horizontal="center" vertical="center" wrapText="1"/>
    </xf>
    <xf numFmtId="166" fontId="17" fillId="7" borderId="11" xfId="0" applyNumberFormat="1" applyFont="1" applyFill="1" applyBorder="1" applyAlignment="1">
      <alignment horizontal="center" vertical="center" wrapText="1"/>
    </xf>
    <xf numFmtId="165" fontId="15" fillId="7" borderId="28" xfId="0" applyNumberFormat="1" applyFont="1" applyFill="1" applyBorder="1" applyAlignment="1">
      <alignment horizontal="center" vertical="top"/>
    </xf>
    <xf numFmtId="165" fontId="15" fillId="7" borderId="77" xfId="0" applyNumberFormat="1" applyFont="1" applyFill="1" applyBorder="1" applyAlignment="1">
      <alignment horizontal="center" vertical="top"/>
    </xf>
    <xf numFmtId="165" fontId="15" fillId="7" borderId="11" xfId="0" applyNumberFormat="1" applyFont="1" applyFill="1" applyBorder="1" applyAlignment="1">
      <alignment horizontal="center" vertical="top"/>
    </xf>
    <xf numFmtId="165" fontId="15" fillId="7" borderId="44" xfId="0" applyNumberFormat="1" applyFont="1" applyFill="1" applyBorder="1" applyAlignment="1">
      <alignment horizontal="center" vertical="top"/>
    </xf>
    <xf numFmtId="166" fontId="36" fillId="7" borderId="7" xfId="0" applyNumberFormat="1" applyFont="1" applyFill="1" applyBorder="1" applyAlignment="1">
      <alignment horizontal="left" vertical="top" wrapText="1"/>
    </xf>
    <xf numFmtId="3" fontId="36" fillId="7" borderId="20" xfId="0" applyNumberFormat="1" applyFont="1" applyFill="1" applyBorder="1" applyAlignment="1">
      <alignment horizontal="center" vertical="top"/>
    </xf>
    <xf numFmtId="166" fontId="15" fillId="7" borderId="50" xfId="0" applyNumberFormat="1" applyFont="1" applyFill="1" applyBorder="1" applyAlignment="1">
      <alignment horizontal="center" vertical="top"/>
    </xf>
    <xf numFmtId="166" fontId="15" fillId="7" borderId="0" xfId="0" applyNumberFormat="1" applyFont="1" applyFill="1" applyBorder="1" applyAlignment="1">
      <alignment horizontal="center" vertical="top" wrapText="1"/>
    </xf>
    <xf numFmtId="0" fontId="0" fillId="7" borderId="49" xfId="0" applyFill="1" applyBorder="1" applyAlignment="1">
      <alignment horizontal="left" vertical="top" wrapText="1"/>
    </xf>
    <xf numFmtId="0" fontId="0" fillId="0" borderId="35" xfId="0" applyFill="1" applyBorder="1" applyAlignment="1">
      <alignment horizontal="left" vertical="top" wrapText="1"/>
    </xf>
    <xf numFmtId="166" fontId="3" fillId="7" borderId="20" xfId="0" applyNumberFormat="1" applyFont="1" applyFill="1" applyBorder="1" applyAlignment="1">
      <alignment horizontal="center" vertical="top" wrapText="1"/>
    </xf>
    <xf numFmtId="166" fontId="3" fillId="7" borderId="39" xfId="0" applyNumberFormat="1" applyFont="1" applyFill="1" applyBorder="1" applyAlignment="1">
      <alignment horizontal="center" vertical="top" wrapText="1"/>
    </xf>
    <xf numFmtId="166" fontId="15" fillId="7" borderId="20" xfId="0" applyNumberFormat="1" applyFont="1" applyFill="1" applyBorder="1" applyAlignment="1">
      <alignment horizontal="center" vertical="top" wrapText="1"/>
    </xf>
    <xf numFmtId="166" fontId="15" fillId="7" borderId="61" xfId="0" applyNumberFormat="1" applyFont="1" applyFill="1" applyBorder="1" applyAlignment="1">
      <alignment horizontal="center" vertical="top" wrapText="1"/>
    </xf>
    <xf numFmtId="0" fontId="31" fillId="7" borderId="46" xfId="0" applyFont="1" applyFill="1" applyBorder="1" applyAlignment="1">
      <alignment vertical="top" wrapText="1"/>
    </xf>
    <xf numFmtId="166" fontId="3" fillId="7" borderId="77" xfId="0" applyNumberFormat="1" applyFont="1" applyFill="1" applyBorder="1" applyAlignment="1">
      <alignment horizontal="right" vertical="top" wrapText="1"/>
    </xf>
    <xf numFmtId="166" fontId="3" fillId="7" borderId="28" xfId="0" applyNumberFormat="1" applyFont="1" applyFill="1" applyBorder="1" applyAlignment="1">
      <alignment horizontal="right" vertical="top" wrapText="1"/>
    </xf>
    <xf numFmtId="166" fontId="3" fillId="7" borderId="66" xfId="0" applyNumberFormat="1" applyFont="1" applyFill="1" applyBorder="1" applyAlignment="1">
      <alignment horizontal="right" vertical="top" wrapText="1"/>
    </xf>
    <xf numFmtId="166" fontId="3" fillId="7" borderId="54" xfId="0" applyNumberFormat="1" applyFont="1" applyFill="1" applyBorder="1" applyAlignment="1">
      <alignment horizontal="right" vertical="top" wrapText="1"/>
    </xf>
    <xf numFmtId="0" fontId="31" fillId="7" borderId="19" xfId="0" applyFont="1" applyFill="1" applyBorder="1" applyAlignment="1">
      <alignment vertical="top" wrapText="1"/>
    </xf>
    <xf numFmtId="166" fontId="4" fillId="7" borderId="68" xfId="0" applyNumberFormat="1" applyFont="1" applyFill="1" applyBorder="1" applyAlignment="1">
      <alignment horizontal="center" vertical="top"/>
    </xf>
    <xf numFmtId="166" fontId="15" fillId="7" borderId="49" xfId="0" applyNumberFormat="1" applyFont="1" applyFill="1" applyBorder="1" applyAlignment="1">
      <alignment horizontal="center" vertical="top"/>
    </xf>
    <xf numFmtId="166" fontId="15" fillId="7" borderId="35" xfId="0" applyNumberFormat="1" applyFont="1" applyFill="1" applyBorder="1" applyAlignment="1">
      <alignment horizontal="center" vertical="top"/>
    </xf>
    <xf numFmtId="166" fontId="15" fillId="7" borderId="66" xfId="0" applyNumberFormat="1" applyFont="1" applyFill="1" applyBorder="1" applyAlignment="1">
      <alignment horizontal="center" vertical="top"/>
    </xf>
    <xf numFmtId="3" fontId="15" fillId="3" borderId="20" xfId="0" applyNumberFormat="1" applyFont="1" applyFill="1" applyBorder="1" applyAlignment="1">
      <alignment horizontal="center" vertical="top" wrapText="1"/>
    </xf>
    <xf numFmtId="166" fontId="33" fillId="7" borderId="20" xfId="0" applyNumberFormat="1" applyFont="1" applyFill="1" applyBorder="1" applyAlignment="1">
      <alignment horizontal="center" vertical="center" wrapText="1"/>
    </xf>
    <xf numFmtId="166" fontId="38" fillId="7" borderId="28" xfId="0" applyNumberFormat="1" applyFont="1" applyFill="1" applyBorder="1" applyAlignment="1">
      <alignment horizontal="center" vertical="center" wrapText="1"/>
    </xf>
    <xf numFmtId="166" fontId="33" fillId="7" borderId="11" xfId="0" applyNumberFormat="1" applyFont="1" applyFill="1" applyBorder="1" applyAlignment="1">
      <alignment horizontal="center" vertical="center" wrapText="1"/>
    </xf>
    <xf numFmtId="166" fontId="38" fillId="7" borderId="11" xfId="0" applyNumberFormat="1" applyFont="1" applyFill="1" applyBorder="1" applyAlignment="1">
      <alignment horizontal="center" vertical="center" wrapText="1"/>
    </xf>
    <xf numFmtId="3" fontId="15" fillId="7" borderId="77"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center" wrapText="1"/>
    </xf>
    <xf numFmtId="166" fontId="15" fillId="7" borderId="46" xfId="0" applyNumberFormat="1" applyFont="1" applyFill="1" applyBorder="1" applyAlignment="1">
      <alignment vertical="top" wrapText="1"/>
    </xf>
    <xf numFmtId="0" fontId="15" fillId="0" borderId="48" xfId="0" applyFont="1" applyBorder="1" applyAlignment="1">
      <alignment horizontal="left" vertical="top" wrapText="1"/>
    </xf>
    <xf numFmtId="0" fontId="15" fillId="7" borderId="19" xfId="0" applyFont="1" applyFill="1" applyBorder="1" applyAlignment="1">
      <alignment vertical="top" wrapText="1"/>
    </xf>
    <xf numFmtId="166" fontId="4" fillId="5" borderId="16" xfId="0" applyNumberFormat="1" applyFont="1" applyFill="1" applyBorder="1" applyAlignment="1">
      <alignment horizontal="center" vertical="top"/>
    </xf>
    <xf numFmtId="166" fontId="4" fillId="8" borderId="16" xfId="0" applyNumberFormat="1" applyFont="1" applyFill="1" applyBorder="1" applyAlignment="1">
      <alignment horizontal="center" vertical="top"/>
    </xf>
    <xf numFmtId="166" fontId="3" fillId="7" borderId="16" xfId="0" applyNumberFormat="1" applyFont="1" applyFill="1" applyBorder="1" applyAlignment="1">
      <alignment horizontal="center" vertical="top"/>
    </xf>
    <xf numFmtId="166" fontId="3" fillId="7" borderId="17" xfId="0" applyNumberFormat="1" applyFont="1" applyFill="1" applyBorder="1" applyAlignment="1">
      <alignment horizontal="center" vertical="top"/>
    </xf>
    <xf numFmtId="166" fontId="3" fillId="8" borderId="16" xfId="0" applyNumberFormat="1" applyFont="1" applyFill="1" applyBorder="1" applyAlignment="1">
      <alignment horizontal="center" vertical="top"/>
    </xf>
    <xf numFmtId="166" fontId="4" fillId="11" borderId="9" xfId="0" applyNumberFormat="1" applyFont="1" applyFill="1" applyBorder="1" applyAlignment="1">
      <alignment horizontal="center" vertical="top"/>
    </xf>
    <xf numFmtId="166" fontId="4" fillId="5" borderId="17" xfId="0" applyNumberFormat="1" applyFont="1" applyFill="1" applyBorder="1" applyAlignment="1">
      <alignment horizontal="center" vertical="top"/>
    </xf>
    <xf numFmtId="166" fontId="4" fillId="8" borderId="17" xfId="0" applyNumberFormat="1" applyFont="1" applyFill="1" applyBorder="1" applyAlignment="1">
      <alignment horizontal="center" vertical="top"/>
    </xf>
    <xf numFmtId="166" fontId="3" fillId="0" borderId="0" xfId="0" applyNumberFormat="1" applyFont="1" applyAlignment="1">
      <alignment horizontal="left" vertical="top" wrapText="1"/>
    </xf>
    <xf numFmtId="0" fontId="4" fillId="0" borderId="0" xfId="0" applyNumberFormat="1" applyFont="1" applyFill="1" applyAlignment="1">
      <alignment horizontal="center" vertical="top"/>
    </xf>
    <xf numFmtId="0" fontId="3" fillId="0" borderId="0" xfId="0" applyFont="1" applyAlignment="1">
      <alignment horizontal="left" vertical="top" wrapText="1"/>
    </xf>
    <xf numFmtId="0" fontId="0" fillId="0" borderId="0" xfId="0" applyAlignment="1">
      <alignment horizontal="left" vertical="top" wrapText="1"/>
    </xf>
    <xf numFmtId="3" fontId="3" fillId="0" borderId="0" xfId="0" applyNumberFormat="1" applyFont="1" applyFill="1" applyBorder="1" applyAlignment="1">
      <alignment horizontal="left" vertical="top" wrapText="1"/>
    </xf>
    <xf numFmtId="0" fontId="9" fillId="0" borderId="0" xfId="0" applyFont="1" applyAlignment="1">
      <alignment horizontal="left" vertical="top"/>
    </xf>
    <xf numFmtId="0" fontId="0" fillId="0" borderId="52" xfId="0" applyFill="1" applyBorder="1" applyAlignment="1">
      <alignment horizontal="left" vertical="top" wrapText="1"/>
    </xf>
    <xf numFmtId="0" fontId="0" fillId="0" borderId="0" xfId="0" applyFill="1" applyAlignment="1">
      <alignment horizontal="left" vertical="top" wrapText="1"/>
    </xf>
    <xf numFmtId="166" fontId="9" fillId="0" borderId="0" xfId="0" applyNumberFormat="1" applyFont="1" applyFill="1" applyAlignment="1">
      <alignment horizontal="left" vertical="top" wrapText="1"/>
    </xf>
    <xf numFmtId="3" fontId="3" fillId="0" borderId="0" xfId="0" applyNumberFormat="1" applyFont="1" applyFill="1" applyBorder="1" applyAlignment="1">
      <alignment vertical="top"/>
    </xf>
    <xf numFmtId="0" fontId="9" fillId="0" borderId="0" xfId="0" applyFont="1" applyFill="1"/>
    <xf numFmtId="165" fontId="3" fillId="0" borderId="0" xfId="0" applyNumberFormat="1" applyFont="1" applyFill="1" applyBorder="1" applyAlignment="1">
      <alignment vertical="top"/>
    </xf>
    <xf numFmtId="164" fontId="3" fillId="0" borderId="0" xfId="1" applyFont="1" applyFill="1" applyBorder="1" applyAlignment="1">
      <alignment vertical="top"/>
    </xf>
    <xf numFmtId="166" fontId="3" fillId="0" borderId="0" xfId="0" applyNumberFormat="1" applyFont="1" applyFill="1" applyBorder="1" applyAlignment="1">
      <alignment vertical="top"/>
    </xf>
    <xf numFmtId="0" fontId="35" fillId="0" borderId="0" xfId="0" applyFont="1" applyFill="1" applyAlignment="1">
      <alignment horizontal="justify" vertical="center"/>
    </xf>
    <xf numFmtId="166" fontId="3" fillId="0" borderId="0" xfId="0" applyNumberFormat="1" applyFont="1" applyFill="1" applyAlignment="1">
      <alignment vertical="top"/>
    </xf>
    <xf numFmtId="166" fontId="15" fillId="0" borderId="0" xfId="0" applyNumberFormat="1" applyFont="1" applyFill="1" applyAlignment="1">
      <alignment vertical="top"/>
    </xf>
    <xf numFmtId="3" fontId="3" fillId="0" borderId="28"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7" borderId="11" xfId="0" applyNumberFormat="1" applyFont="1" applyFill="1" applyBorder="1" applyAlignment="1">
      <alignment horizontal="center" vertical="top"/>
    </xf>
    <xf numFmtId="166" fontId="3" fillId="2" borderId="73" xfId="0" applyNumberFormat="1" applyFont="1" applyFill="1" applyBorder="1" applyAlignment="1">
      <alignment horizontal="center" vertical="top" wrapText="1"/>
    </xf>
    <xf numFmtId="0" fontId="0" fillId="0" borderId="7" xfId="0" applyBorder="1" applyAlignment="1">
      <alignment horizontal="left" vertical="top" wrapText="1"/>
    </xf>
    <xf numFmtId="166" fontId="4" fillId="7" borderId="11"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9" fillId="7" borderId="35"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0" fontId="0" fillId="0" borderId="29" xfId="0" applyBorder="1" applyAlignment="1">
      <alignment horizontal="left" vertical="top" wrapText="1"/>
    </xf>
    <xf numFmtId="166" fontId="25" fillId="7" borderId="7" xfId="0" applyNumberFormat="1" applyFont="1" applyFill="1" applyBorder="1" applyAlignment="1">
      <alignment horizontal="left" vertical="top" wrapText="1"/>
    </xf>
    <xf numFmtId="3" fontId="3" fillId="7" borderId="47" xfId="0" applyNumberFormat="1" applyFont="1" applyFill="1" applyBorder="1" applyAlignment="1">
      <alignment horizontal="center" vertical="top"/>
    </xf>
    <xf numFmtId="3" fontId="15" fillId="7" borderId="11"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xf>
    <xf numFmtId="3" fontId="3" fillId="0" borderId="47"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15" fillId="7" borderId="20" xfId="0" applyNumberFormat="1" applyFont="1" applyFill="1" applyBorder="1" applyAlignment="1">
      <alignment horizontal="center" vertical="top" wrapText="1"/>
    </xf>
    <xf numFmtId="3" fontId="25"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166" fontId="4" fillId="8"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11" xfId="0" applyNumberFormat="1" applyFont="1" applyFill="1" applyBorder="1" applyAlignment="1">
      <alignment horizontal="center" vertical="top" wrapText="1"/>
    </xf>
    <xf numFmtId="166" fontId="9" fillId="7" borderId="18" xfId="0" applyNumberFormat="1" applyFont="1" applyFill="1" applyBorder="1" applyAlignment="1">
      <alignment horizontal="center" vertical="top" wrapText="1"/>
    </xf>
    <xf numFmtId="0" fontId="14" fillId="0" borderId="11" xfId="0" applyFont="1" applyBorder="1" applyAlignment="1">
      <alignment horizontal="center" vertical="top" textRotation="90"/>
    </xf>
    <xf numFmtId="166" fontId="3" fillId="2" borderId="32" xfId="0" applyNumberFormat="1" applyFont="1" applyFill="1" applyBorder="1" applyAlignment="1">
      <alignment horizontal="center" vertical="top" wrapText="1"/>
    </xf>
    <xf numFmtId="166" fontId="20"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4" fillId="4" borderId="74"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3" fontId="3" fillId="7" borderId="21" xfId="0" applyNumberFormat="1" applyFont="1" applyFill="1" applyBorder="1" applyAlignment="1">
      <alignment horizontal="center" vertical="top"/>
    </xf>
    <xf numFmtId="3" fontId="3" fillId="7" borderId="83" xfId="0" applyNumberFormat="1" applyFont="1" applyFill="1" applyBorder="1" applyAlignment="1">
      <alignment horizontal="center" vertical="top"/>
    </xf>
    <xf numFmtId="0" fontId="3" fillId="0" borderId="77" xfId="0" applyFont="1" applyBorder="1" applyAlignment="1">
      <alignment vertical="top"/>
    </xf>
    <xf numFmtId="3" fontId="3" fillId="0" borderId="75"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166" fontId="3" fillId="0" borderId="75" xfId="0" applyNumberFormat="1" applyFont="1" applyBorder="1" applyAlignment="1">
      <alignment vertical="top"/>
    </xf>
    <xf numFmtId="3" fontId="3" fillId="7" borderId="52" xfId="0" applyNumberFormat="1" applyFont="1" applyFill="1" applyBorder="1" applyAlignment="1">
      <alignment horizontal="center" vertical="top"/>
    </xf>
    <xf numFmtId="3" fontId="7" fillId="7" borderId="77" xfId="0" applyNumberFormat="1" applyFont="1" applyFill="1" applyBorder="1" applyAlignment="1">
      <alignment horizontal="center" vertical="top" wrapText="1"/>
    </xf>
    <xf numFmtId="166" fontId="3" fillId="8" borderId="32" xfId="0" applyNumberFormat="1" applyFont="1" applyFill="1" applyBorder="1" applyAlignment="1">
      <alignment horizontal="center" vertical="top"/>
    </xf>
    <xf numFmtId="166" fontId="3" fillId="0" borderId="66" xfId="0" applyNumberFormat="1" applyFont="1" applyFill="1" applyBorder="1" applyAlignment="1">
      <alignment horizontal="center" vertical="top" wrapText="1"/>
    </xf>
    <xf numFmtId="166" fontId="3" fillId="0" borderId="66" xfId="0" applyNumberFormat="1" applyFont="1" applyFill="1" applyBorder="1" applyAlignment="1">
      <alignment horizontal="center" vertical="top"/>
    </xf>
    <xf numFmtId="166" fontId="3" fillId="0" borderId="66" xfId="1" applyNumberFormat="1" applyFont="1" applyFill="1" applyBorder="1" applyAlignment="1">
      <alignment horizontal="center" vertical="top" wrapText="1"/>
    </xf>
    <xf numFmtId="166" fontId="3" fillId="7" borderId="6" xfId="0" applyNumberFormat="1" applyFont="1" applyFill="1" applyBorder="1" applyAlignment="1">
      <alignment horizontal="center" vertical="center" wrapText="1"/>
    </xf>
    <xf numFmtId="0" fontId="3" fillId="0" borderId="17" xfId="0" applyFont="1" applyBorder="1" applyAlignment="1">
      <alignment vertical="top"/>
    </xf>
    <xf numFmtId="3" fontId="25" fillId="7" borderId="21" xfId="0" applyNumberFormat="1" applyFont="1" applyFill="1" applyBorder="1" applyAlignment="1">
      <alignment horizontal="center" vertical="top" wrapText="1"/>
    </xf>
    <xf numFmtId="3" fontId="25" fillId="7" borderId="27" xfId="0" applyNumberFormat="1"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25" fillId="7" borderId="21" xfId="0" applyNumberFormat="1" applyFont="1" applyFill="1" applyBorder="1" applyAlignment="1">
      <alignment horizontal="center" vertical="top"/>
    </xf>
    <xf numFmtId="3" fontId="3" fillId="3" borderId="21" xfId="0" applyNumberFormat="1" applyFont="1" applyFill="1" applyBorder="1" applyAlignment="1">
      <alignment horizontal="center" vertical="top" wrapText="1"/>
    </xf>
    <xf numFmtId="0" fontId="40" fillId="0" borderId="10" xfId="0" applyFont="1" applyBorder="1" applyAlignment="1">
      <alignment horizontal="center" vertical="center" wrapText="1"/>
    </xf>
    <xf numFmtId="166" fontId="15" fillId="7" borderId="8" xfId="0" applyNumberFormat="1" applyFont="1" applyFill="1" applyBorder="1" applyAlignment="1">
      <alignment horizontal="center" vertical="top"/>
    </xf>
    <xf numFmtId="166" fontId="15" fillId="7" borderId="6" xfId="0" applyNumberFormat="1" applyFont="1" applyFill="1" applyBorder="1" applyAlignment="1">
      <alignment horizontal="center" vertical="top" wrapText="1"/>
    </xf>
    <xf numFmtId="166" fontId="15" fillId="7" borderId="8" xfId="0" applyNumberFormat="1" applyFont="1" applyFill="1" applyBorder="1" applyAlignment="1">
      <alignment horizontal="center" vertical="top" wrapText="1"/>
    </xf>
    <xf numFmtId="3" fontId="15" fillId="7" borderId="11" xfId="0" applyNumberFormat="1" applyFont="1" applyFill="1" applyBorder="1" applyAlignment="1">
      <alignment horizontal="center" vertical="top"/>
    </xf>
    <xf numFmtId="3" fontId="15" fillId="7" borderId="20" xfId="0" applyNumberFormat="1" applyFont="1" applyFill="1" applyBorder="1" applyAlignment="1">
      <alignment horizontal="center" vertical="top"/>
    </xf>
    <xf numFmtId="166" fontId="25" fillId="7" borderId="34" xfId="0" applyNumberFormat="1" applyFont="1" applyFill="1" applyBorder="1" applyAlignment="1">
      <alignment horizontal="left" vertical="top" wrapText="1"/>
    </xf>
    <xf numFmtId="0" fontId="15" fillId="10" borderId="23" xfId="0" applyFont="1" applyFill="1" applyBorder="1" applyAlignment="1">
      <alignment horizontal="center" vertical="center"/>
    </xf>
    <xf numFmtId="3" fontId="20" fillId="3" borderId="11"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0" fontId="3" fillId="7" borderId="34" xfId="0" applyFont="1" applyFill="1" applyBorder="1" applyAlignment="1">
      <alignment horizontal="center" vertical="center"/>
    </xf>
    <xf numFmtId="166" fontId="15" fillId="10" borderId="6" xfId="0" applyNumberFormat="1" applyFont="1" applyFill="1" applyBorder="1" applyAlignment="1">
      <alignment horizontal="center" vertical="center"/>
    </xf>
    <xf numFmtId="3" fontId="3" fillId="3" borderId="18" xfId="0" applyNumberFormat="1" applyFont="1" applyFill="1" applyBorder="1" applyAlignment="1">
      <alignment horizontal="center" vertical="top" wrapText="1"/>
    </xf>
    <xf numFmtId="166" fontId="15" fillId="7" borderId="23" xfId="0" applyNumberFormat="1" applyFont="1" applyFill="1" applyBorder="1" applyAlignment="1">
      <alignment horizontal="center" vertical="top"/>
    </xf>
    <xf numFmtId="166" fontId="15" fillId="0" borderId="0" xfId="0" applyNumberFormat="1" applyFont="1" applyBorder="1" applyAlignment="1">
      <alignment vertical="top"/>
    </xf>
    <xf numFmtId="3" fontId="25" fillId="7" borderId="35" xfId="0" applyNumberFormat="1" applyFont="1" applyFill="1" applyBorder="1" applyAlignment="1">
      <alignment horizontal="center" vertical="top"/>
    </xf>
    <xf numFmtId="3" fontId="3" fillId="0" borderId="49" xfId="0" applyNumberFormat="1" applyFont="1" applyFill="1" applyBorder="1" applyAlignment="1">
      <alignment horizontal="center" vertical="top"/>
    </xf>
    <xf numFmtId="166" fontId="3" fillId="0" borderId="15" xfId="0" applyNumberFormat="1" applyFont="1" applyBorder="1" applyAlignment="1">
      <alignment vertical="top"/>
    </xf>
    <xf numFmtId="166" fontId="3" fillId="0" borderId="88" xfId="0" applyNumberFormat="1" applyFont="1" applyFill="1" applyBorder="1" applyAlignment="1">
      <alignment horizontal="center" vertical="top"/>
    </xf>
    <xf numFmtId="166" fontId="3" fillId="7" borderId="53" xfId="0" applyNumberFormat="1" applyFont="1" applyFill="1" applyBorder="1" applyAlignment="1">
      <alignment vertical="top" wrapText="1"/>
    </xf>
    <xf numFmtId="3" fontId="7" fillId="0" borderId="96" xfId="0" applyNumberFormat="1" applyFont="1" applyFill="1" applyBorder="1" applyAlignment="1">
      <alignment horizontal="center" vertical="top"/>
    </xf>
    <xf numFmtId="3" fontId="7" fillId="0" borderId="114" xfId="0" applyNumberFormat="1" applyFont="1" applyFill="1" applyBorder="1" applyAlignment="1">
      <alignment horizontal="center" vertical="top"/>
    </xf>
    <xf numFmtId="3" fontId="7" fillId="7" borderId="114" xfId="0" applyNumberFormat="1" applyFont="1" applyFill="1" applyBorder="1" applyAlignment="1">
      <alignment horizontal="center" vertical="top"/>
    </xf>
    <xf numFmtId="3" fontId="7" fillId="7" borderId="102" xfId="0" applyNumberFormat="1" applyFont="1" applyFill="1" applyBorder="1" applyAlignment="1">
      <alignment horizontal="center" vertical="top"/>
    </xf>
    <xf numFmtId="3" fontId="7" fillId="7" borderId="27" xfId="0" applyNumberFormat="1" applyFont="1" applyFill="1" applyBorder="1" applyAlignment="1">
      <alignment horizontal="center" vertical="top" wrapText="1"/>
    </xf>
    <xf numFmtId="166" fontId="20" fillId="7" borderId="46" xfId="0" applyNumberFormat="1" applyFont="1" applyFill="1" applyBorder="1" applyAlignment="1">
      <alignment horizontal="center" vertical="center" textRotation="90" wrapText="1"/>
    </xf>
    <xf numFmtId="166" fontId="3" fillId="7" borderId="126" xfId="0" applyNumberFormat="1" applyFont="1" applyFill="1" applyBorder="1" applyAlignment="1">
      <alignment horizontal="center" vertical="top"/>
    </xf>
    <xf numFmtId="166" fontId="3" fillId="7" borderId="127" xfId="0" applyNumberFormat="1" applyFont="1" applyFill="1" applyBorder="1" applyAlignment="1">
      <alignment horizontal="center" vertical="top"/>
    </xf>
    <xf numFmtId="0" fontId="3" fillId="7" borderId="90" xfId="0" applyFont="1" applyFill="1" applyBorder="1" applyAlignment="1">
      <alignment vertical="top" wrapText="1"/>
    </xf>
    <xf numFmtId="0" fontId="3" fillId="7" borderId="81" xfId="0" applyFont="1" applyFill="1" applyBorder="1" applyAlignment="1">
      <alignment vertical="top" wrapText="1"/>
    </xf>
    <xf numFmtId="0" fontId="3" fillId="7" borderId="107" xfId="0" applyFont="1" applyFill="1" applyBorder="1" applyAlignment="1">
      <alignment vertical="top" wrapText="1"/>
    </xf>
    <xf numFmtId="166" fontId="15" fillId="0" borderId="23" xfId="0" applyNumberFormat="1" applyFont="1" applyBorder="1" applyAlignment="1">
      <alignment horizontal="center" vertical="top"/>
    </xf>
    <xf numFmtId="3" fontId="15" fillId="7" borderId="47" xfId="0" applyNumberFormat="1" applyFont="1" applyFill="1" applyBorder="1" applyAlignment="1">
      <alignment horizontal="center" vertical="top" wrapText="1"/>
    </xf>
    <xf numFmtId="3" fontId="15" fillId="0" borderId="47" xfId="0" applyNumberFormat="1" applyFont="1" applyFill="1" applyBorder="1" applyAlignment="1">
      <alignment horizontal="center" vertical="top"/>
    </xf>
    <xf numFmtId="3" fontId="15" fillId="0" borderId="21" xfId="0" applyNumberFormat="1" applyFont="1" applyFill="1" applyBorder="1" applyAlignment="1">
      <alignment horizontal="center" vertical="top"/>
    </xf>
    <xf numFmtId="3" fontId="15" fillId="0" borderId="20" xfId="0" applyNumberFormat="1" applyFont="1" applyFill="1" applyBorder="1" applyAlignment="1">
      <alignment horizontal="center" vertical="top"/>
    </xf>
    <xf numFmtId="166" fontId="3" fillId="0" borderId="26" xfId="0" applyNumberFormat="1" applyFont="1" applyFill="1" applyBorder="1" applyAlignment="1">
      <alignment horizontal="center" vertical="top"/>
    </xf>
    <xf numFmtId="166" fontId="3" fillId="0" borderId="21" xfId="0" applyNumberFormat="1" applyFont="1" applyFill="1" applyBorder="1" applyAlignment="1">
      <alignment horizontal="center" vertical="top"/>
    </xf>
    <xf numFmtId="49" fontId="3" fillId="0" borderId="88" xfId="0" applyNumberFormat="1" applyFont="1" applyFill="1" applyBorder="1" applyAlignment="1">
      <alignment horizontal="center" vertical="top"/>
    </xf>
    <xf numFmtId="166" fontId="3" fillId="0" borderId="103" xfId="0" applyNumberFormat="1" applyFont="1" applyFill="1" applyBorder="1" applyAlignment="1">
      <alignment horizontal="center" vertical="top"/>
    </xf>
    <xf numFmtId="166" fontId="3" fillId="8" borderId="63" xfId="0" applyNumberFormat="1" applyFont="1" applyFill="1" applyBorder="1" applyAlignment="1">
      <alignment horizontal="center" vertical="top"/>
    </xf>
    <xf numFmtId="166" fontId="15" fillId="3"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center"/>
    </xf>
    <xf numFmtId="166" fontId="3" fillId="7" borderId="66" xfId="0" applyNumberFormat="1" applyFont="1" applyFill="1" applyBorder="1" applyAlignment="1">
      <alignment horizontal="center" vertical="center"/>
    </xf>
    <xf numFmtId="0" fontId="3" fillId="7" borderId="81" xfId="0" applyFont="1" applyFill="1" applyBorder="1" applyAlignment="1">
      <alignment wrapText="1"/>
    </xf>
    <xf numFmtId="1" fontId="3" fillId="7" borderId="82" xfId="0" applyNumberFormat="1" applyFont="1" applyFill="1" applyBorder="1" applyAlignment="1">
      <alignment horizontal="center" vertical="top"/>
    </xf>
    <xf numFmtId="166" fontId="3" fillId="7" borderId="8" xfId="0" applyNumberFormat="1" applyFont="1" applyFill="1" applyBorder="1" applyAlignment="1">
      <alignment horizontal="center" vertical="center"/>
    </xf>
    <xf numFmtId="166" fontId="3" fillId="7" borderId="50" xfId="0" applyNumberFormat="1" applyFont="1" applyFill="1" applyBorder="1" applyAlignment="1">
      <alignment horizontal="center" vertical="center"/>
    </xf>
    <xf numFmtId="3" fontId="3" fillId="7" borderId="18"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166" fontId="3" fillId="0" borderId="0" xfId="0" applyNumberFormat="1" applyFont="1" applyBorder="1" applyAlignment="1">
      <alignment vertical="top" wrapText="1"/>
    </xf>
    <xf numFmtId="166" fontId="15" fillId="7" borderId="30" xfId="0" applyNumberFormat="1" applyFont="1" applyFill="1" applyBorder="1" applyAlignment="1">
      <alignment vertical="top" wrapText="1"/>
    </xf>
    <xf numFmtId="0" fontId="15" fillId="0" borderId="0" xfId="0" applyFont="1" applyBorder="1" applyAlignment="1">
      <alignment vertical="top"/>
    </xf>
    <xf numFmtId="0" fontId="4" fillId="0" borderId="0" xfId="0" applyFont="1" applyAlignment="1">
      <alignment horizontal="justify" vertical="center"/>
    </xf>
    <xf numFmtId="0" fontId="3" fillId="0" borderId="0" xfId="0" applyFont="1" applyBorder="1" applyAlignment="1">
      <alignment horizontal="left" vertical="top"/>
    </xf>
    <xf numFmtId="166" fontId="3" fillId="12" borderId="8" xfId="0" applyNumberFormat="1" applyFont="1" applyFill="1" applyBorder="1" applyAlignment="1">
      <alignment horizontal="center" vertical="top"/>
    </xf>
    <xf numFmtId="166" fontId="3" fillId="12" borderId="61" xfId="0" applyNumberFormat="1" applyFont="1" applyFill="1" applyBorder="1" applyAlignment="1">
      <alignment horizontal="center" vertical="top" wrapText="1"/>
    </xf>
    <xf numFmtId="166" fontId="3" fillId="12" borderId="20" xfId="0" applyNumberFormat="1" applyFont="1" applyFill="1" applyBorder="1" applyAlignment="1">
      <alignment horizontal="center" vertical="top" wrapText="1"/>
    </xf>
    <xf numFmtId="166" fontId="3" fillId="12" borderId="50" xfId="0" applyNumberFormat="1" applyFont="1" applyFill="1" applyBorder="1" applyAlignment="1">
      <alignment horizontal="center" vertical="top" wrapText="1"/>
    </xf>
    <xf numFmtId="166" fontId="3" fillId="12" borderId="39" xfId="0" applyNumberFormat="1" applyFont="1" applyFill="1" applyBorder="1" applyAlignment="1">
      <alignment horizontal="center" vertical="top" wrapText="1"/>
    </xf>
    <xf numFmtId="166" fontId="3" fillId="12" borderId="50" xfId="0" applyNumberFormat="1" applyFont="1" applyFill="1" applyBorder="1" applyAlignment="1">
      <alignment horizontal="center" vertical="top"/>
    </xf>
    <xf numFmtId="166" fontId="3" fillId="12" borderId="20" xfId="0" applyNumberFormat="1" applyFont="1" applyFill="1" applyBorder="1" applyAlignment="1">
      <alignment horizontal="center" vertical="top"/>
    </xf>
    <xf numFmtId="166" fontId="3" fillId="12" borderId="39" xfId="0" applyNumberFormat="1" applyFont="1" applyFill="1" applyBorder="1" applyAlignment="1">
      <alignment horizontal="center" vertical="top"/>
    </xf>
    <xf numFmtId="3" fontId="3" fillId="12" borderId="20" xfId="0" applyNumberFormat="1" applyFont="1" applyFill="1" applyBorder="1" applyAlignment="1">
      <alignment horizontal="center" vertical="top"/>
    </xf>
    <xf numFmtId="3" fontId="3" fillId="12" borderId="47" xfId="0" applyNumberFormat="1" applyFont="1" applyFill="1" applyBorder="1" applyAlignment="1">
      <alignment horizontal="center" vertical="top"/>
    </xf>
    <xf numFmtId="166" fontId="3" fillId="12" borderId="6" xfId="0" applyNumberFormat="1" applyFont="1" applyFill="1" applyBorder="1" applyAlignment="1">
      <alignment horizontal="center" vertical="top"/>
    </xf>
    <xf numFmtId="166" fontId="3" fillId="12" borderId="0" xfId="0" applyNumberFormat="1" applyFont="1" applyFill="1" applyBorder="1" applyAlignment="1">
      <alignment horizontal="center" vertical="top" wrapText="1"/>
    </xf>
    <xf numFmtId="166" fontId="3" fillId="12" borderId="11" xfId="0" applyNumberFormat="1" applyFont="1" applyFill="1" applyBorder="1" applyAlignment="1">
      <alignment horizontal="center" vertical="top" wrapText="1"/>
    </xf>
    <xf numFmtId="166" fontId="3" fillId="12" borderId="34" xfId="0" applyNumberFormat="1" applyFont="1" applyFill="1" applyBorder="1" applyAlignment="1">
      <alignment horizontal="center" vertical="top" wrapText="1"/>
    </xf>
    <xf numFmtId="166" fontId="15" fillId="12" borderId="11" xfId="0" applyNumberFormat="1" applyFont="1" applyFill="1" applyBorder="1" applyAlignment="1">
      <alignment horizontal="center" vertical="top" wrapText="1"/>
    </xf>
    <xf numFmtId="166" fontId="15" fillId="12" borderId="44" xfId="0" applyNumberFormat="1" applyFont="1" applyFill="1" applyBorder="1" applyAlignment="1">
      <alignment horizontal="center" vertical="top" wrapText="1"/>
    </xf>
    <xf numFmtId="3" fontId="3" fillId="12" borderId="49" xfId="0" applyNumberFormat="1" applyFont="1" applyFill="1" applyBorder="1" applyAlignment="1">
      <alignment horizontal="center" vertical="top"/>
    </xf>
    <xf numFmtId="166" fontId="15" fillId="12" borderId="0" xfId="0" applyNumberFormat="1" applyFont="1" applyFill="1" applyBorder="1" applyAlignment="1">
      <alignment horizontal="center" vertical="top" wrapText="1"/>
    </xf>
    <xf numFmtId="166" fontId="3" fillId="12" borderId="44" xfId="0" applyNumberFormat="1" applyFont="1" applyFill="1" applyBorder="1" applyAlignment="1">
      <alignment horizontal="center" vertical="top" wrapText="1"/>
    </xf>
    <xf numFmtId="0" fontId="0" fillId="12" borderId="48" xfId="0" applyFill="1" applyBorder="1" applyAlignment="1">
      <alignment horizontal="left" vertical="top" wrapText="1"/>
    </xf>
    <xf numFmtId="166" fontId="3" fillId="12" borderId="0" xfId="0" applyNumberFormat="1" applyFont="1" applyFill="1" applyBorder="1" applyAlignment="1">
      <alignment horizontal="center" vertical="top"/>
    </xf>
    <xf numFmtId="166" fontId="3" fillId="12" borderId="11" xfId="0" applyNumberFormat="1" applyFont="1" applyFill="1" applyBorder="1" applyAlignment="1">
      <alignment horizontal="center" vertical="top"/>
    </xf>
    <xf numFmtId="166" fontId="3" fillId="12" borderId="34" xfId="0" applyNumberFormat="1" applyFont="1" applyFill="1" applyBorder="1" applyAlignment="1">
      <alignment horizontal="center" vertical="top"/>
    </xf>
    <xf numFmtId="166" fontId="3" fillId="12" borderId="44" xfId="0" applyNumberFormat="1" applyFont="1" applyFill="1" applyBorder="1" applyAlignment="1">
      <alignment horizontal="center" vertical="top"/>
    </xf>
    <xf numFmtId="166" fontId="3" fillId="12" borderId="87" xfId="0" applyNumberFormat="1" applyFont="1" applyFill="1" applyBorder="1" applyAlignment="1">
      <alignment horizontal="left" vertical="top" wrapText="1"/>
    </xf>
    <xf numFmtId="166" fontId="15" fillId="12" borderId="11" xfId="0" applyNumberFormat="1" applyFont="1" applyFill="1" applyBorder="1" applyAlignment="1">
      <alignment horizontal="center" vertical="top"/>
    </xf>
    <xf numFmtId="166" fontId="15" fillId="12" borderId="0" xfId="0" applyNumberFormat="1" applyFont="1" applyFill="1" applyBorder="1" applyAlignment="1">
      <alignment horizontal="center" vertical="top"/>
    </xf>
    <xf numFmtId="166" fontId="3" fillId="12" borderId="97" xfId="0" applyNumberFormat="1" applyFont="1" applyFill="1" applyBorder="1" applyAlignment="1">
      <alignment horizontal="left" vertical="top" wrapText="1"/>
    </xf>
    <xf numFmtId="3" fontId="3" fillId="12" borderId="87" xfId="0" applyNumberFormat="1" applyFont="1" applyFill="1" applyBorder="1" applyAlignment="1">
      <alignment horizontal="center" vertical="top"/>
    </xf>
    <xf numFmtId="3" fontId="3" fillId="12" borderId="96" xfId="0" applyNumberFormat="1" applyFont="1" applyFill="1" applyBorder="1" applyAlignment="1">
      <alignment horizontal="center" vertical="top"/>
    </xf>
    <xf numFmtId="166" fontId="3" fillId="12" borderId="35" xfId="0" applyNumberFormat="1" applyFont="1" applyFill="1" applyBorder="1" applyAlignment="1">
      <alignment horizontal="left" vertical="top" wrapText="1"/>
    </xf>
    <xf numFmtId="166" fontId="3" fillId="12" borderId="23" xfId="0" applyNumberFormat="1" applyFont="1" applyFill="1" applyBorder="1" applyAlignment="1">
      <alignment horizontal="center" vertical="top"/>
    </xf>
    <xf numFmtId="166" fontId="3" fillId="12" borderId="77" xfId="0" applyNumberFormat="1" applyFont="1" applyFill="1" applyBorder="1" applyAlignment="1">
      <alignment horizontal="center" vertical="top"/>
    </xf>
    <xf numFmtId="166" fontId="3" fillId="12" borderId="28" xfId="0" applyNumberFormat="1" applyFont="1" applyFill="1" applyBorder="1" applyAlignment="1">
      <alignment horizontal="center" vertical="top"/>
    </xf>
    <xf numFmtId="166" fontId="3" fillId="12" borderId="66" xfId="0" applyNumberFormat="1" applyFont="1" applyFill="1" applyBorder="1" applyAlignment="1">
      <alignment horizontal="center" vertical="top"/>
    </xf>
    <xf numFmtId="166" fontId="15" fillId="12" borderId="28" xfId="0" applyNumberFormat="1" applyFont="1" applyFill="1" applyBorder="1" applyAlignment="1">
      <alignment horizontal="center" vertical="top"/>
    </xf>
    <xf numFmtId="166" fontId="15" fillId="12" borderId="54" xfId="0" applyNumberFormat="1" applyFont="1" applyFill="1" applyBorder="1" applyAlignment="1">
      <alignment horizontal="center" vertical="top"/>
    </xf>
    <xf numFmtId="0" fontId="3" fillId="12" borderId="19" xfId="0" applyFont="1" applyFill="1" applyBorder="1" applyAlignment="1">
      <alignment horizontal="left" vertical="top" wrapText="1"/>
    </xf>
    <xf numFmtId="3" fontId="3" fillId="12" borderId="28" xfId="0" applyNumberFormat="1" applyFont="1" applyFill="1" applyBorder="1" applyAlignment="1">
      <alignment horizontal="center" vertical="top"/>
    </xf>
    <xf numFmtId="3" fontId="3" fillId="12" borderId="35" xfId="0" applyNumberFormat="1" applyFont="1" applyFill="1" applyBorder="1" applyAlignment="1">
      <alignment horizontal="center" vertical="top"/>
    </xf>
    <xf numFmtId="166" fontId="3" fillId="12" borderId="61" xfId="0" applyNumberFormat="1" applyFont="1" applyFill="1" applyBorder="1" applyAlignment="1">
      <alignment horizontal="center" vertical="top"/>
    </xf>
    <xf numFmtId="166" fontId="15" fillId="12" borderId="20" xfId="0" applyNumberFormat="1" applyFont="1" applyFill="1" applyBorder="1" applyAlignment="1">
      <alignment horizontal="center" vertical="top"/>
    </xf>
    <xf numFmtId="166" fontId="15" fillId="12" borderId="61" xfId="0" applyNumberFormat="1" applyFont="1" applyFill="1" applyBorder="1" applyAlignment="1">
      <alignment horizontal="center" vertical="top"/>
    </xf>
    <xf numFmtId="166" fontId="15" fillId="12" borderId="39" xfId="0" applyNumberFormat="1" applyFont="1" applyFill="1" applyBorder="1" applyAlignment="1">
      <alignment horizontal="center" vertical="top"/>
    </xf>
    <xf numFmtId="49" fontId="36" fillId="12" borderId="61" xfId="0" applyNumberFormat="1" applyFont="1" applyFill="1" applyBorder="1" applyAlignment="1">
      <alignment horizontal="center" vertical="top"/>
    </xf>
    <xf numFmtId="166" fontId="15" fillId="12" borderId="44" xfId="0" applyNumberFormat="1" applyFont="1" applyFill="1" applyBorder="1" applyAlignment="1">
      <alignment horizontal="center" vertical="top"/>
    </xf>
    <xf numFmtId="3" fontId="15" fillId="12" borderId="0" xfId="0" applyNumberFormat="1" applyFont="1" applyFill="1" applyBorder="1" applyAlignment="1">
      <alignment horizontal="center" vertical="top"/>
    </xf>
    <xf numFmtId="3" fontId="3" fillId="12" borderId="11" xfId="0" applyNumberFormat="1" applyFont="1" applyFill="1" applyBorder="1" applyAlignment="1">
      <alignment horizontal="center" vertical="top"/>
    </xf>
    <xf numFmtId="3" fontId="3" fillId="12" borderId="0" xfId="0" applyNumberFormat="1" applyFont="1" applyFill="1" applyBorder="1" applyAlignment="1">
      <alignment horizontal="center" vertical="top"/>
    </xf>
    <xf numFmtId="166" fontId="15" fillId="12" borderId="77" xfId="0" applyNumberFormat="1" applyFont="1" applyFill="1" applyBorder="1" applyAlignment="1">
      <alignment horizontal="center" vertical="top"/>
    </xf>
    <xf numFmtId="166" fontId="3" fillId="12" borderId="54" xfId="0" applyNumberFormat="1" applyFont="1" applyFill="1" applyBorder="1" applyAlignment="1">
      <alignment horizontal="center" vertical="top"/>
    </xf>
    <xf numFmtId="3" fontId="3" fillId="12" borderId="77" xfId="0" applyNumberFormat="1" applyFont="1" applyFill="1" applyBorder="1" applyAlignment="1">
      <alignment horizontal="center" vertical="top"/>
    </xf>
    <xf numFmtId="166" fontId="4" fillId="12" borderId="20" xfId="0" applyNumberFormat="1" applyFont="1" applyFill="1" applyBorder="1" applyAlignment="1">
      <alignment horizontal="center" vertical="center" wrapText="1"/>
    </xf>
    <xf numFmtId="166" fontId="4" fillId="12" borderId="49" xfId="0" applyNumberFormat="1" applyFont="1" applyFill="1" applyBorder="1" applyAlignment="1">
      <alignment horizontal="center" vertical="top"/>
    </xf>
    <xf numFmtId="3" fontId="3" fillId="12" borderId="61" xfId="0" applyNumberFormat="1" applyFont="1" applyFill="1" applyBorder="1" applyAlignment="1">
      <alignment horizontal="center" vertical="top"/>
    </xf>
    <xf numFmtId="166" fontId="4" fillId="12" borderId="11" xfId="0" applyNumberFormat="1" applyFont="1" applyFill="1" applyBorder="1" applyAlignment="1">
      <alignment horizontal="center" vertical="center" wrapText="1"/>
    </xf>
    <xf numFmtId="166" fontId="3" fillId="12" borderId="11" xfId="0" applyNumberFormat="1" applyFont="1" applyFill="1" applyBorder="1" applyAlignment="1">
      <alignment horizontal="left" vertical="center" textRotation="90" wrapText="1"/>
    </xf>
    <xf numFmtId="166" fontId="20" fillId="12" borderId="19" xfId="0" applyNumberFormat="1" applyFont="1" applyFill="1" applyBorder="1" applyAlignment="1">
      <alignment horizontal="left" vertical="top" wrapText="1"/>
    </xf>
    <xf numFmtId="166" fontId="25" fillId="12" borderId="48" xfId="0" applyNumberFormat="1" applyFont="1" applyFill="1" applyBorder="1" applyAlignment="1">
      <alignment horizontal="left" vertical="top" wrapText="1"/>
    </xf>
    <xf numFmtId="3" fontId="15" fillId="12" borderId="11" xfId="0" applyNumberFormat="1" applyFont="1" applyFill="1" applyBorder="1" applyAlignment="1">
      <alignment horizontal="center" vertical="top" wrapText="1"/>
    </xf>
    <xf numFmtId="3" fontId="3" fillId="12" borderId="11" xfId="0" applyNumberFormat="1" applyFont="1" applyFill="1" applyBorder="1" applyAlignment="1">
      <alignment horizontal="center" vertical="top" wrapText="1"/>
    </xf>
    <xf numFmtId="3" fontId="3" fillId="12" borderId="0" xfId="0" applyNumberFormat="1" applyFont="1" applyFill="1" applyBorder="1" applyAlignment="1">
      <alignment horizontal="center" vertical="top" wrapText="1"/>
    </xf>
    <xf numFmtId="166" fontId="17" fillId="12" borderId="11" xfId="0" applyNumberFormat="1" applyFont="1" applyFill="1" applyBorder="1" applyAlignment="1">
      <alignment horizontal="center" vertical="center" wrapText="1"/>
    </xf>
    <xf numFmtId="166" fontId="3" fillId="12" borderId="23" xfId="0" applyNumberFormat="1" applyFont="1" applyFill="1" applyBorder="1" applyAlignment="1">
      <alignment horizontal="center" wrapText="1"/>
    </xf>
    <xf numFmtId="166" fontId="3" fillId="12" borderId="77" xfId="0" applyNumberFormat="1" applyFont="1" applyFill="1" applyBorder="1" applyAlignment="1">
      <alignment horizontal="center"/>
    </xf>
    <xf numFmtId="166" fontId="3" fillId="12" borderId="28" xfId="0" applyNumberFormat="1" applyFont="1" applyFill="1" applyBorder="1" applyAlignment="1">
      <alignment horizontal="center"/>
    </xf>
    <xf numFmtId="0" fontId="0" fillId="12" borderId="11" xfId="0" applyFill="1" applyBorder="1" applyAlignment="1">
      <alignment horizontal="left" vertical="top" wrapText="1"/>
    </xf>
    <xf numFmtId="3" fontId="3" fillId="12" borderId="21" xfId="0" applyNumberFormat="1" applyFont="1" applyFill="1" applyBorder="1" applyAlignment="1">
      <alignment horizontal="center" vertical="top"/>
    </xf>
    <xf numFmtId="3" fontId="3" fillId="12" borderId="18" xfId="0" applyNumberFormat="1" applyFont="1" applyFill="1" applyBorder="1" applyAlignment="1">
      <alignment horizontal="center" vertical="top"/>
    </xf>
    <xf numFmtId="0" fontId="0" fillId="12" borderId="7" xfId="0" applyFill="1" applyBorder="1" applyAlignment="1">
      <alignment horizontal="left" vertical="top" wrapText="1"/>
    </xf>
    <xf numFmtId="166" fontId="3" fillId="12" borderId="86" xfId="0" applyNumberFormat="1" applyFont="1" applyFill="1" applyBorder="1" applyAlignment="1">
      <alignment horizontal="left" vertical="top" wrapText="1"/>
    </xf>
    <xf numFmtId="3" fontId="3" fillId="12" borderId="88" xfId="0" applyNumberFormat="1" applyFont="1" applyFill="1" applyBorder="1" applyAlignment="1">
      <alignment horizontal="center" vertical="top"/>
    </xf>
    <xf numFmtId="0" fontId="3" fillId="12" borderId="29" xfId="0" applyFont="1" applyFill="1" applyBorder="1" applyAlignment="1">
      <alignment horizontal="left" vertical="top" wrapText="1"/>
    </xf>
    <xf numFmtId="3" fontId="3" fillId="12" borderId="27" xfId="0" applyNumberFormat="1" applyFont="1" applyFill="1" applyBorder="1" applyAlignment="1">
      <alignment horizontal="center" vertical="top"/>
    </xf>
    <xf numFmtId="3" fontId="3" fillId="12" borderId="39" xfId="0" applyNumberFormat="1" applyFont="1" applyFill="1" applyBorder="1" applyAlignment="1">
      <alignment horizontal="center" vertical="top"/>
    </xf>
    <xf numFmtId="3" fontId="3" fillId="12" borderId="44" xfId="0" applyNumberFormat="1" applyFont="1" applyFill="1" applyBorder="1" applyAlignment="1">
      <alignment horizontal="center" vertical="top"/>
    </xf>
    <xf numFmtId="3" fontId="3" fillId="12" borderId="54" xfId="0" applyNumberFormat="1" applyFont="1" applyFill="1" applyBorder="1" applyAlignment="1">
      <alignment horizontal="center" vertical="top"/>
    </xf>
    <xf numFmtId="166" fontId="20" fillId="12" borderId="29" xfId="0" applyNumberFormat="1" applyFont="1" applyFill="1" applyBorder="1" applyAlignment="1">
      <alignment horizontal="left" vertical="top" wrapText="1"/>
    </xf>
    <xf numFmtId="166" fontId="25" fillId="12" borderId="37" xfId="0" applyNumberFormat="1" applyFont="1" applyFill="1" applyBorder="1" applyAlignment="1">
      <alignment horizontal="left" vertical="top" wrapText="1"/>
    </xf>
    <xf numFmtId="3" fontId="3" fillId="12" borderId="44" xfId="0" applyNumberFormat="1" applyFont="1" applyFill="1" applyBorder="1" applyAlignment="1">
      <alignment horizontal="center" vertical="top" wrapText="1"/>
    </xf>
    <xf numFmtId="166" fontId="4" fillId="12" borderId="18" xfId="0" applyNumberFormat="1" applyFont="1" applyFill="1" applyBorder="1" applyAlignment="1">
      <alignment horizontal="center" vertical="top"/>
    </xf>
    <xf numFmtId="166" fontId="15" fillId="12" borderId="34" xfId="0" applyNumberFormat="1" applyFont="1" applyFill="1" applyBorder="1" applyAlignment="1">
      <alignment horizontal="center" vertical="top"/>
    </xf>
    <xf numFmtId="3" fontId="36" fillId="12" borderId="20" xfId="0" applyNumberFormat="1" applyFont="1" applyFill="1" applyBorder="1" applyAlignment="1">
      <alignment horizontal="center" vertical="top" wrapText="1"/>
    </xf>
    <xf numFmtId="166" fontId="17" fillId="12" borderId="28" xfId="0" applyNumberFormat="1" applyFont="1" applyFill="1" applyBorder="1" applyAlignment="1">
      <alignment horizontal="center" vertical="center" wrapText="1"/>
    </xf>
    <xf numFmtId="166" fontId="3" fillId="12" borderId="23" xfId="0" applyNumberFormat="1" applyFont="1" applyFill="1" applyBorder="1" applyAlignment="1">
      <alignment horizontal="center" vertical="top" wrapText="1"/>
    </xf>
    <xf numFmtId="166" fontId="3" fillId="12" borderId="77" xfId="0" applyNumberFormat="1" applyFont="1" applyFill="1" applyBorder="1" applyAlignment="1">
      <alignment horizontal="center" vertical="top" wrapText="1"/>
    </xf>
    <xf numFmtId="166" fontId="3" fillId="12" borderId="28" xfId="0" applyNumberFormat="1" applyFont="1" applyFill="1" applyBorder="1" applyAlignment="1">
      <alignment horizontal="center" vertical="top" wrapText="1"/>
    </xf>
    <xf numFmtId="166" fontId="33" fillId="12" borderId="20" xfId="0" applyNumberFormat="1" applyFont="1" applyFill="1" applyBorder="1" applyAlignment="1">
      <alignment horizontal="center" vertical="center" wrapText="1"/>
    </xf>
    <xf numFmtId="166" fontId="15" fillId="12" borderId="6" xfId="0" applyNumberFormat="1" applyFont="1" applyFill="1" applyBorder="1" applyAlignment="1">
      <alignment horizontal="center" vertical="top"/>
    </xf>
    <xf numFmtId="166" fontId="15" fillId="12" borderId="46" xfId="0" applyNumberFormat="1" applyFont="1" applyFill="1" applyBorder="1" applyAlignment="1">
      <alignment vertical="top" wrapText="1"/>
    </xf>
    <xf numFmtId="3" fontId="15" fillId="12" borderId="20" xfId="0" applyNumberFormat="1" applyFont="1" applyFill="1" applyBorder="1" applyAlignment="1">
      <alignment horizontal="center" vertical="top" wrapText="1"/>
    </xf>
    <xf numFmtId="166" fontId="38" fillId="12" borderId="28" xfId="0" applyNumberFormat="1" applyFont="1" applyFill="1" applyBorder="1" applyAlignment="1">
      <alignment horizontal="center" vertical="center" wrapText="1"/>
    </xf>
    <xf numFmtId="0" fontId="15" fillId="12" borderId="48" xfId="0" applyFont="1" applyFill="1" applyBorder="1" applyAlignment="1">
      <alignment horizontal="left" vertical="top" wrapText="1"/>
    </xf>
    <xf numFmtId="166" fontId="3" fillId="12" borderId="37" xfId="0" applyNumberFormat="1" applyFont="1" applyFill="1" applyBorder="1" applyAlignment="1">
      <alignment horizontal="left" vertical="top" wrapText="1"/>
    </xf>
    <xf numFmtId="3" fontId="3" fillId="12" borderId="20" xfId="0" applyNumberFormat="1" applyFont="1" applyFill="1" applyBorder="1" applyAlignment="1">
      <alignment horizontal="center" vertical="top" wrapText="1"/>
    </xf>
    <xf numFmtId="3" fontId="3" fillId="12" borderId="39" xfId="0" applyNumberFormat="1" applyFont="1" applyFill="1" applyBorder="1" applyAlignment="1">
      <alignment horizontal="center" vertical="top" wrapText="1"/>
    </xf>
    <xf numFmtId="166" fontId="3" fillId="12" borderId="7" xfId="0" applyNumberFormat="1" applyFont="1" applyFill="1" applyBorder="1" applyAlignment="1">
      <alignment horizontal="left" vertical="top" wrapText="1"/>
    </xf>
    <xf numFmtId="166" fontId="3" fillId="12" borderId="37" xfId="0" applyNumberFormat="1" applyFont="1" applyFill="1" applyBorder="1" applyAlignment="1">
      <alignment vertical="top" wrapText="1"/>
    </xf>
    <xf numFmtId="0" fontId="3" fillId="12" borderId="7" xfId="0" applyFont="1" applyFill="1" applyBorder="1" applyAlignment="1">
      <alignment horizontal="lef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11" xfId="0" applyNumberFormat="1" applyFont="1" applyFill="1" applyBorder="1" applyAlignment="1">
      <alignment vertical="top" wrapText="1"/>
    </xf>
    <xf numFmtId="0" fontId="9" fillId="7" borderId="11" xfId="0" applyFont="1" applyFill="1" applyBorder="1" applyAlignment="1">
      <alignment vertical="top" wrapText="1"/>
    </xf>
    <xf numFmtId="49" fontId="3" fillId="7" borderId="108" xfId="0" applyNumberFormat="1" applyFont="1" applyFill="1" applyBorder="1" applyAlignment="1">
      <alignment vertical="top" wrapText="1"/>
    </xf>
    <xf numFmtId="0" fontId="0" fillId="0" borderId="28" xfId="0" applyBorder="1" applyAlignment="1">
      <alignment vertical="top" wrapText="1"/>
    </xf>
    <xf numFmtId="166" fontId="3" fillId="7" borderId="107" xfId="0" applyNumberFormat="1" applyFont="1" applyFill="1" applyBorder="1" applyAlignment="1">
      <alignment horizontal="left" vertical="top" wrapText="1"/>
    </xf>
    <xf numFmtId="0" fontId="9" fillId="0" borderId="29" xfId="0" applyFont="1" applyBorder="1" applyAlignment="1">
      <alignment vertical="top" wrapText="1"/>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4" fillId="2" borderId="76" xfId="0" applyNumberFormat="1" applyFont="1" applyFill="1" applyBorder="1" applyAlignment="1">
      <alignment horizontal="left" vertical="top"/>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3" fillId="7" borderId="11" xfId="0" applyNumberFormat="1" applyFont="1" applyFill="1" applyBorder="1" applyAlignment="1">
      <alignment horizontal="center" vertical="center" textRotation="90"/>
    </xf>
    <xf numFmtId="166" fontId="3" fillId="7" borderId="28" xfId="0" applyNumberFormat="1" applyFont="1" applyFill="1" applyBorder="1" applyAlignment="1">
      <alignment horizontal="center" vertical="center" textRotation="90"/>
    </xf>
    <xf numFmtId="166" fontId="3" fillId="7" borderId="20" xfId="0" applyNumberFormat="1" applyFont="1" applyFill="1" applyBorder="1" applyAlignment="1">
      <alignment horizontal="center" vertical="center" textRotation="90"/>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166" fontId="4" fillId="0" borderId="35" xfId="0" applyNumberFormat="1" applyFont="1" applyBorder="1" applyAlignment="1">
      <alignment horizontal="center" vertical="top"/>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7" borderId="48" xfId="0" applyNumberFormat="1" applyFont="1" applyFill="1" applyBorder="1" applyAlignment="1">
      <alignment vertical="top" wrapText="1"/>
    </xf>
    <xf numFmtId="0" fontId="0" fillId="7" borderId="53" xfId="0" applyFill="1" applyBorder="1" applyAlignment="1">
      <alignment vertical="top" wrapText="1"/>
    </xf>
    <xf numFmtId="166" fontId="4" fillId="2" borderId="3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166" fontId="3" fillId="7" borderId="25"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0" fontId="0" fillId="0" borderId="30" xfId="0" applyFont="1" applyBorder="1" applyAlignment="1">
      <alignment vertical="top"/>
    </xf>
    <xf numFmtId="166" fontId="3" fillId="0" borderId="11" xfId="0" applyNumberFormat="1" applyFont="1" applyFill="1" applyBorder="1" applyAlignment="1">
      <alignment horizontal="center" vertical="center" wrapText="1"/>
    </xf>
    <xf numFmtId="166" fontId="3" fillId="0" borderId="30" xfId="0" applyNumberFormat="1" applyFont="1" applyFill="1" applyBorder="1" applyAlignment="1">
      <alignment horizontal="center" vertical="center"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1" fontId="3" fillId="0" borderId="11" xfId="0" applyNumberFormat="1" applyFont="1" applyFill="1" applyBorder="1" applyAlignment="1">
      <alignment horizontal="center" vertical="top"/>
    </xf>
    <xf numFmtId="0" fontId="0" fillId="0" borderId="28" xfId="0" applyBorder="1" applyAlignment="1">
      <alignment vertical="top"/>
    </xf>
    <xf numFmtId="166" fontId="3" fillId="7" borderId="37" xfId="0" applyNumberFormat="1" applyFont="1" applyFill="1" applyBorder="1" applyAlignment="1">
      <alignment horizontal="left" vertical="top" wrapText="1"/>
    </xf>
    <xf numFmtId="0" fontId="0" fillId="0" borderId="81" xfId="0" applyBorder="1" applyAlignment="1">
      <alignment vertical="top" wrapText="1"/>
    </xf>
    <xf numFmtId="1" fontId="3" fillId="7" borderId="11" xfId="0" applyNumberFormat="1" applyFont="1" applyFill="1" applyBorder="1" applyAlignment="1">
      <alignment horizontal="center" vertical="top"/>
    </xf>
    <xf numFmtId="166" fontId="25" fillId="7" borderId="37" xfId="0" applyNumberFormat="1" applyFont="1" applyFill="1" applyBorder="1" applyAlignment="1">
      <alignment horizontal="left" vertical="top" wrapText="1"/>
    </xf>
    <xf numFmtId="0" fontId="0" fillId="0" borderId="7" xfId="0" applyBorder="1" applyAlignment="1">
      <alignment horizontal="left" vertical="top" wrapText="1"/>
    </xf>
    <xf numFmtId="0" fontId="8" fillId="7" borderId="20" xfId="0" applyFont="1" applyFill="1" applyBorder="1" applyAlignment="1">
      <alignment vertical="top" wrapText="1"/>
    </xf>
    <xf numFmtId="0" fontId="0" fillId="0" borderId="11" xfId="0" applyBorder="1" applyAlignment="1">
      <alignment vertical="top" wrapText="1"/>
    </xf>
    <xf numFmtId="0" fontId="5" fillId="0" borderId="20" xfId="0" applyFont="1" applyFill="1" applyBorder="1" applyAlignment="1">
      <alignment horizontal="center" vertical="center" textRotation="90" wrapText="1"/>
    </xf>
    <xf numFmtId="0" fontId="0" fillId="0" borderId="11" xfId="0" applyBorder="1" applyAlignment="1">
      <alignment horizontal="center" vertical="center" textRotation="90" wrapText="1"/>
    </xf>
    <xf numFmtId="0" fontId="0" fillId="0" borderId="28" xfId="0" applyBorder="1" applyAlignment="1">
      <alignment horizontal="center" vertical="center" textRotation="90" wrapText="1"/>
    </xf>
    <xf numFmtId="166" fontId="8" fillId="3" borderId="25" xfId="0" applyNumberFormat="1" applyFont="1" applyFill="1" applyBorder="1" applyAlignment="1">
      <alignment horizontal="left" vertical="top" wrapText="1"/>
    </xf>
    <xf numFmtId="0" fontId="0" fillId="0" borderId="11" xfId="0" applyBorder="1" applyAlignment="1">
      <alignment horizontal="left" vertical="top" wrapText="1"/>
    </xf>
    <xf numFmtId="166" fontId="5" fillId="0" borderId="25" xfId="0" applyNumberFormat="1" applyFont="1" applyFill="1" applyBorder="1" applyAlignment="1">
      <alignment horizontal="center" vertical="center" textRotation="90"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8" borderId="69" xfId="0" applyNumberFormat="1" applyFont="1" applyFill="1" applyBorder="1" applyAlignment="1">
      <alignment vertical="top" wrapText="1"/>
    </xf>
    <xf numFmtId="166" fontId="9" fillId="8" borderId="64" xfId="0" applyNumberFormat="1" applyFont="1" applyFill="1" applyBorder="1" applyAlignment="1">
      <alignment vertical="top" wrapText="1"/>
    </xf>
    <xf numFmtId="166" fontId="9" fillId="8" borderId="43" xfId="0" applyNumberFormat="1" applyFont="1" applyFill="1" applyBorder="1" applyAlignment="1">
      <alignment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3" fillId="7" borderId="47" xfId="0" applyNumberFormat="1" applyFont="1" applyFill="1" applyBorder="1" applyAlignment="1">
      <alignment horizontal="left" vertical="top"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166" fontId="4" fillId="2" borderId="72" xfId="0" applyNumberFormat="1" applyFont="1" applyFill="1" applyBorder="1" applyAlignment="1">
      <alignment horizontal="right" vertical="top"/>
    </xf>
    <xf numFmtId="166" fontId="7" fillId="7" borderId="20" xfId="0" applyNumberFormat="1" applyFont="1" applyFill="1" applyBorder="1" applyAlignment="1">
      <alignment horizontal="center" vertical="center" textRotation="90" wrapText="1"/>
    </xf>
    <xf numFmtId="0" fontId="9" fillId="0" borderId="11" xfId="0" applyFont="1" applyBorder="1" applyAlignment="1">
      <alignment vertical="center" textRotation="90" wrapText="1"/>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0" borderId="7" xfId="0" applyNumberFormat="1" applyFont="1" applyFill="1" applyBorder="1" applyAlignment="1">
      <alignment horizontal="left" vertical="top" wrapText="1"/>
    </xf>
    <xf numFmtId="0" fontId="0" fillId="0" borderId="29" xfId="0" applyBorder="1" applyAlignment="1">
      <alignment vertical="top"/>
    </xf>
    <xf numFmtId="166" fontId="4" fillId="9" borderId="7"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3" fillId="3" borderId="20" xfId="0" applyNumberFormat="1" applyFont="1" applyFill="1" applyBorder="1" applyAlignment="1">
      <alignment vertical="top" wrapText="1"/>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166" fontId="4" fillId="0" borderId="32"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xf>
    <xf numFmtId="0" fontId="0" fillId="0" borderId="11" xfId="0" applyBorder="1" applyAlignment="1">
      <alignment horizontal="center" wrapText="1"/>
    </xf>
    <xf numFmtId="166" fontId="4" fillId="7" borderId="25" xfId="0" applyNumberFormat="1" applyFont="1" applyFill="1" applyBorder="1" applyAlignment="1">
      <alignment vertical="top" wrapText="1"/>
    </xf>
    <xf numFmtId="166" fontId="4" fillId="7" borderId="11" xfId="0" applyNumberFormat="1" applyFont="1" applyFill="1" applyBorder="1" applyAlignment="1">
      <alignment vertical="top" wrapText="1"/>
    </xf>
    <xf numFmtId="0" fontId="0" fillId="7" borderId="28" xfId="0" applyFill="1" applyBorder="1" applyAlignment="1">
      <alignment vertical="top" wrapText="1"/>
    </xf>
    <xf numFmtId="166" fontId="3" fillId="7" borderId="47" xfId="0" applyNumberFormat="1" applyFont="1" applyFill="1" applyBorder="1" applyAlignment="1">
      <alignment vertical="top" wrapText="1"/>
    </xf>
    <xf numFmtId="0" fontId="9" fillId="7" borderId="49" xfId="0" applyFont="1" applyFill="1" applyBorder="1" applyAlignment="1">
      <alignment vertical="top" wrapText="1"/>
    </xf>
    <xf numFmtId="0" fontId="9" fillId="7" borderId="35" xfId="0"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0" fontId="0" fillId="0" borderId="11" xfId="0" applyBorder="1" applyAlignment="1">
      <alignment horizontal="center" vertical="center" wrapText="1"/>
    </xf>
    <xf numFmtId="0" fontId="0" fillId="0" borderId="28" xfId="0" applyBorder="1" applyAlignment="1">
      <alignment horizontal="center" vertical="center" wrapText="1"/>
    </xf>
    <xf numFmtId="166" fontId="3" fillId="7" borderId="20" xfId="0" applyNumberFormat="1" applyFont="1" applyFill="1" applyBorder="1" applyAlignment="1">
      <alignment vertical="top" wrapText="1"/>
    </xf>
    <xf numFmtId="0" fontId="9" fillId="7" borderId="28" xfId="0" applyFont="1" applyFill="1" applyBorder="1" applyAlignment="1">
      <alignment vertical="top" wrapText="1"/>
    </xf>
    <xf numFmtId="1" fontId="3" fillId="7" borderId="18" xfId="0" applyNumberFormat="1" applyFont="1" applyFill="1" applyBorder="1" applyAlignment="1">
      <alignment horizontal="center" vertical="top"/>
    </xf>
    <xf numFmtId="0" fontId="0" fillId="0" borderId="27" xfId="0" applyBorder="1" applyAlignment="1">
      <alignment vertical="top"/>
    </xf>
    <xf numFmtId="166" fontId="3" fillId="7" borderId="49" xfId="0" applyNumberFormat="1" applyFont="1" applyFill="1" applyBorder="1" applyAlignment="1">
      <alignment vertical="top" wrapText="1"/>
    </xf>
    <xf numFmtId="166" fontId="9" fillId="7" borderId="35" xfId="0" applyNumberFormat="1" applyFont="1" applyFill="1" applyBorder="1" applyAlignment="1">
      <alignment vertical="top" wrapText="1"/>
    </xf>
    <xf numFmtId="166" fontId="3" fillId="7" borderId="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3" fontId="3" fillId="0" borderId="20" xfId="0" applyNumberFormat="1" applyFont="1" applyFill="1" applyBorder="1" applyAlignment="1">
      <alignment horizontal="center" vertical="top"/>
    </xf>
    <xf numFmtId="3" fontId="3" fillId="0" borderId="28"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7" borderId="7" xfId="0" applyNumberFormat="1" applyFont="1" applyFill="1" applyBorder="1" applyAlignment="1">
      <alignment vertical="top" wrapText="1"/>
    </xf>
    <xf numFmtId="166" fontId="9" fillId="7" borderId="29" xfId="0" applyNumberFormat="1" applyFont="1" applyFill="1" applyBorder="1" applyAlignment="1">
      <alignment vertical="top" wrapText="1"/>
    </xf>
    <xf numFmtId="166" fontId="9" fillId="7" borderId="28" xfId="0" applyNumberFormat="1" applyFont="1" applyFill="1" applyBorder="1" applyAlignment="1">
      <alignment vertical="top" wrapText="1"/>
    </xf>
    <xf numFmtId="166" fontId="9" fillId="7" borderId="11" xfId="0" applyNumberFormat="1" applyFont="1" applyFill="1" applyBorder="1" applyAlignment="1">
      <alignment horizontal="center" vertical="center" textRotation="90" wrapText="1"/>
    </xf>
    <xf numFmtId="166" fontId="4" fillId="2" borderId="76" xfId="0" applyNumberFormat="1" applyFont="1" applyFill="1" applyBorder="1" applyAlignment="1">
      <alignment horizontal="right" vertical="top"/>
    </xf>
    <xf numFmtId="3" fontId="3" fillId="0" borderId="21"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0" fontId="3" fillId="7" borderId="108"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3" fillId="7" borderId="7" xfId="0" applyFont="1" applyFill="1" applyBorder="1" applyAlignment="1">
      <alignment horizontal="left" vertical="top" wrapText="1"/>
    </xf>
    <xf numFmtId="0" fontId="0" fillId="0" borderId="29" xfId="0" applyBorder="1" applyAlignment="1">
      <alignment horizontal="left" vertical="top" wrapText="1"/>
    </xf>
    <xf numFmtId="166" fontId="3" fillId="7" borderId="28" xfId="0" applyNumberFormat="1" applyFont="1" applyFill="1" applyBorder="1" applyAlignment="1">
      <alignment vertical="top" wrapText="1"/>
    </xf>
    <xf numFmtId="166" fontId="4" fillId="0" borderId="11" xfId="0" applyNumberFormat="1" applyFont="1" applyFill="1" applyBorder="1" applyAlignment="1">
      <alignment horizontal="center" vertical="top" wrapText="1"/>
    </xf>
    <xf numFmtId="166" fontId="4" fillId="0" borderId="49"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49" fontId="4" fillId="9" borderId="5"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42" xfId="0" applyNumberFormat="1" applyFont="1" applyFill="1" applyBorder="1" applyAlignment="1">
      <alignment horizontal="center" vertical="top"/>
    </xf>
    <xf numFmtId="49" fontId="4" fillId="2" borderId="49"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3" fillId="7" borderId="30" xfId="0" applyNumberFormat="1" applyFont="1" applyFill="1" applyBorder="1" applyAlignment="1">
      <alignment horizontal="left" vertical="top" wrapText="1"/>
    </xf>
    <xf numFmtId="166" fontId="25" fillId="7" borderId="7" xfId="0" applyNumberFormat="1" applyFont="1" applyFill="1" applyBorder="1" applyAlignment="1">
      <alignment horizontal="left" vertical="top" wrapText="1"/>
    </xf>
    <xf numFmtId="166" fontId="30" fillId="7" borderId="7" xfId="0" applyNumberFormat="1" applyFont="1" applyFill="1" applyBorder="1" applyAlignment="1">
      <alignment horizontal="left" vertical="top" wrapText="1"/>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3" fillId="7" borderId="96" xfId="0" applyNumberFormat="1" applyFont="1" applyFill="1" applyBorder="1" applyAlignment="1">
      <alignment horizontal="left" vertical="top" wrapText="1"/>
    </xf>
    <xf numFmtId="166" fontId="7" fillId="7" borderId="25" xfId="0" applyNumberFormat="1" applyFont="1" applyFill="1" applyBorder="1" applyAlignment="1">
      <alignment horizontal="center" vertical="center" textRotation="90" wrapText="1"/>
    </xf>
    <xf numFmtId="166" fontId="9" fillId="0" borderId="49" xfId="0" applyNumberFormat="1" applyFont="1" applyBorder="1" applyAlignment="1">
      <alignment horizontal="left" vertical="top" wrapText="1"/>
    </xf>
    <xf numFmtId="166" fontId="3" fillId="12" borderId="47" xfId="0" applyNumberFormat="1" applyFont="1" applyFill="1" applyBorder="1" applyAlignment="1">
      <alignment horizontal="left" vertical="top" wrapText="1"/>
    </xf>
    <xf numFmtId="166" fontId="3" fillId="12" borderId="49" xfId="0" applyNumberFormat="1" applyFont="1" applyFill="1" applyBorder="1" applyAlignment="1">
      <alignment horizontal="left" vertical="top" wrapText="1"/>
    </xf>
    <xf numFmtId="166" fontId="9" fillId="12" borderId="102" xfId="0" applyNumberFormat="1" applyFont="1" applyFill="1" applyBorder="1" applyAlignment="1">
      <alignment horizontal="left" vertical="top" wrapText="1"/>
    </xf>
    <xf numFmtId="166" fontId="25" fillId="12" borderId="37" xfId="0" applyNumberFormat="1" applyFont="1" applyFill="1" applyBorder="1" applyAlignment="1">
      <alignment horizontal="left" vertical="top" wrapText="1"/>
    </xf>
    <xf numFmtId="0" fontId="0" fillId="12" borderId="7" xfId="0" applyFill="1" applyBorder="1" applyAlignment="1">
      <alignment horizontal="left" vertical="top" wrapText="1"/>
    </xf>
    <xf numFmtId="166" fontId="9" fillId="12" borderId="49" xfId="0" applyNumberFormat="1" applyFont="1" applyFill="1" applyBorder="1" applyAlignment="1">
      <alignment horizontal="left" vertical="top" wrapText="1"/>
    </xf>
    <xf numFmtId="166" fontId="4" fillId="3" borderId="25" xfId="0" applyNumberFormat="1" applyFont="1" applyFill="1" applyBorder="1" applyAlignment="1">
      <alignment vertical="top" wrapText="1"/>
    </xf>
    <xf numFmtId="166" fontId="9" fillId="7" borderId="35" xfId="0" applyNumberFormat="1" applyFont="1" applyFill="1" applyBorder="1" applyAlignment="1">
      <alignment horizontal="left" vertical="top" wrapText="1"/>
    </xf>
    <xf numFmtId="49" fontId="3" fillId="7" borderId="7" xfId="0" applyNumberFormat="1" applyFont="1" applyFill="1" applyBorder="1" applyAlignment="1">
      <alignment horizontal="left" vertical="top" wrapText="1"/>
    </xf>
    <xf numFmtId="0" fontId="9" fillId="7" borderId="7" xfId="0"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166" fontId="4" fillId="0" borderId="20" xfId="0" applyNumberFormat="1" applyFont="1" applyFill="1" applyBorder="1" applyAlignment="1">
      <alignment horizontal="center" vertical="top" wrapText="1"/>
    </xf>
    <xf numFmtId="49" fontId="4" fillId="0" borderId="18" xfId="0" applyNumberFormat="1" applyFont="1" applyBorder="1" applyAlignment="1">
      <alignment horizontal="center" vertical="top"/>
    </xf>
    <xf numFmtId="166" fontId="5" fillId="3" borderId="25" xfId="0" applyNumberFormat="1" applyFont="1" applyFill="1" applyBorder="1" applyAlignment="1">
      <alignment horizontal="center" vertical="center" textRotation="90" wrapText="1"/>
    </xf>
    <xf numFmtId="166" fontId="5" fillId="3" borderId="11" xfId="0" applyNumberFormat="1" applyFont="1" applyFill="1" applyBorder="1" applyAlignment="1">
      <alignment horizontal="center" vertical="center" textRotation="90" wrapText="1"/>
    </xf>
    <xf numFmtId="0" fontId="25" fillId="12" borderId="37" xfId="0" applyFont="1" applyFill="1" applyBorder="1" applyAlignment="1">
      <alignment vertical="top" wrapText="1"/>
    </xf>
    <xf numFmtId="0" fontId="30" fillId="12" borderId="7" xfId="0" applyFont="1" applyFill="1" applyBorder="1" applyAlignment="1">
      <alignment vertical="top" wrapText="1"/>
    </xf>
    <xf numFmtId="0" fontId="28" fillId="12" borderId="7" xfId="0" applyFont="1" applyFill="1" applyBorder="1" applyAlignment="1">
      <alignment vertical="top" wrapText="1"/>
    </xf>
    <xf numFmtId="0" fontId="28" fillId="12" borderId="29" xfId="0" applyFont="1" applyFill="1" applyBorder="1" applyAlignment="1">
      <alignment vertical="top" wrapText="1"/>
    </xf>
    <xf numFmtId="166" fontId="4" fillId="7" borderId="27" xfId="0" applyNumberFormat="1" applyFont="1" applyFill="1" applyBorder="1" applyAlignment="1">
      <alignment horizontal="center" vertical="top"/>
    </xf>
    <xf numFmtId="166" fontId="4" fillId="3" borderId="11"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wrapText="1"/>
    </xf>
    <xf numFmtId="0" fontId="0" fillId="7" borderId="11" xfId="0" applyFill="1" applyBorder="1" applyAlignment="1">
      <alignment horizontal="left" vertical="top" wrapText="1"/>
    </xf>
    <xf numFmtId="166" fontId="4" fillId="3" borderId="18"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3" fillId="12" borderId="37" xfId="0" applyNumberFormat="1" applyFont="1" applyFill="1" applyBorder="1" applyAlignment="1">
      <alignment horizontal="left" vertical="top" wrapText="1"/>
    </xf>
    <xf numFmtId="166" fontId="4" fillId="3" borderId="28" xfId="0" applyNumberFormat="1" applyFont="1" applyFill="1" applyBorder="1" applyAlignment="1">
      <alignment horizontal="center" vertical="top" wrapText="1"/>
    </xf>
    <xf numFmtId="166" fontId="4" fillId="3" borderId="20"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3" fillId="12" borderId="20" xfId="0" applyNumberFormat="1" applyFont="1" applyFill="1" applyBorder="1" applyAlignment="1">
      <alignment horizontal="left" vertical="top" wrapText="1"/>
    </xf>
    <xf numFmtId="0" fontId="0" fillId="12" borderId="11" xfId="0" applyFill="1" applyBorder="1" applyAlignment="1">
      <alignment horizontal="left" vertical="top" wrapText="1"/>
    </xf>
    <xf numFmtId="166" fontId="4" fillId="7" borderId="20"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0" fontId="0" fillId="0" borderId="28" xfId="0" applyBorder="1" applyAlignment="1">
      <alignment horizontal="left" vertical="top" wrapText="1"/>
    </xf>
    <xf numFmtId="166" fontId="8" fillId="7" borderId="25" xfId="0" applyNumberFormat="1" applyFont="1" applyFill="1" applyBorder="1" applyAlignment="1">
      <alignment horizontal="left" vertical="top" wrapText="1"/>
    </xf>
    <xf numFmtId="166" fontId="8" fillId="7" borderId="11" xfId="0" applyNumberFormat="1" applyFont="1" applyFill="1" applyBorder="1" applyAlignment="1">
      <alignment horizontal="left" vertical="top" wrapText="1"/>
    </xf>
    <xf numFmtId="166" fontId="5" fillId="7" borderId="25" xfId="0" applyNumberFormat="1" applyFont="1" applyFill="1" applyBorder="1" applyAlignment="1">
      <alignment horizontal="center" vertical="center" textRotation="90" wrapText="1"/>
    </xf>
    <xf numFmtId="166" fontId="5" fillId="7" borderId="11" xfId="0" applyNumberFormat="1" applyFont="1" applyFill="1" applyBorder="1" applyAlignment="1">
      <alignment horizontal="center" vertical="center" textRotation="90" wrapText="1"/>
    </xf>
    <xf numFmtId="0" fontId="25" fillId="7" borderId="7" xfId="0" applyFont="1" applyFill="1" applyBorder="1" applyAlignment="1">
      <alignment horizontal="left" vertical="top" wrapText="1"/>
    </xf>
    <xf numFmtId="0" fontId="30" fillId="7" borderId="7" xfId="0" applyFont="1" applyFill="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7" borderId="11" xfId="0" applyFont="1" applyFill="1" applyBorder="1" applyAlignment="1">
      <alignment horizontal="center" vertical="top" textRotation="90" wrapText="1"/>
    </xf>
    <xf numFmtId="0" fontId="0" fillId="7" borderId="28" xfId="0" applyFont="1" applyFill="1" applyBorder="1" applyAlignment="1">
      <alignment horizontal="center" vertical="top" textRotation="90" wrapText="1"/>
    </xf>
    <xf numFmtId="166" fontId="4" fillId="7" borderId="20" xfId="0" applyNumberFormat="1" applyFont="1" applyFill="1" applyBorder="1" applyAlignment="1">
      <alignment horizontal="center" vertical="center" textRotation="90" wrapText="1"/>
    </xf>
    <xf numFmtId="0" fontId="0" fillId="7" borderId="28" xfId="0" applyFill="1" applyBorder="1" applyAlignment="1">
      <alignment horizontal="center" vertical="center" textRotation="90" wrapText="1"/>
    </xf>
    <xf numFmtId="0" fontId="3" fillId="7" borderId="107" xfId="0" applyFont="1" applyFill="1" applyBorder="1" applyAlignment="1">
      <alignment horizontal="left" vertical="top" wrapText="1"/>
    </xf>
    <xf numFmtId="0" fontId="0" fillId="7" borderId="29" xfId="0" applyFill="1" applyBorder="1" applyAlignment="1">
      <alignment horizontal="left" vertical="top" wrapText="1"/>
    </xf>
    <xf numFmtId="0" fontId="3" fillId="0" borderId="40"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0" fontId="3" fillId="7" borderId="11" xfId="0" applyFont="1" applyFill="1" applyBorder="1" applyAlignment="1">
      <alignment horizontal="left" vertical="top" wrapText="1"/>
    </xf>
    <xf numFmtId="166" fontId="3" fillId="7" borderId="37" xfId="0" applyNumberFormat="1" applyFont="1" applyFill="1" applyBorder="1" applyAlignment="1">
      <alignment vertical="top" wrapText="1"/>
    </xf>
    <xf numFmtId="166" fontId="9" fillId="7" borderId="29"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7" borderId="35" xfId="0" applyNumberFormat="1" applyFont="1" applyFill="1" applyBorder="1" applyAlignment="1">
      <alignment vertical="top"/>
    </xf>
    <xf numFmtId="3" fontId="3" fillId="7" borderId="20" xfId="0" applyNumberFormat="1" applyFont="1" applyFill="1" applyBorder="1" applyAlignment="1">
      <alignment horizontal="center" vertical="top"/>
    </xf>
    <xf numFmtId="3" fontId="9" fillId="0" borderId="28"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54" xfId="0" applyNumberFormat="1" applyFont="1" applyBorder="1" applyAlignment="1">
      <alignment vertical="top"/>
    </xf>
    <xf numFmtId="3" fontId="3" fillId="0" borderId="0" xfId="0" applyNumberFormat="1" applyFont="1" applyAlignment="1">
      <alignment horizontal="left" vertical="top" wrapText="1"/>
    </xf>
    <xf numFmtId="3" fontId="21" fillId="0" borderId="0" xfId="0" applyNumberFormat="1" applyFont="1" applyAlignment="1">
      <alignment horizontal="center" vertical="top" wrapText="1"/>
    </xf>
    <xf numFmtId="0" fontId="22" fillId="0" borderId="0" xfId="0" applyFont="1" applyBorder="1" applyAlignment="1">
      <alignment horizontal="center" vertical="top" wrapText="1"/>
    </xf>
    <xf numFmtId="0" fontId="21"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Font="1"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25" xfId="0" applyNumberFormat="1" applyFont="1" applyFill="1" applyBorder="1" applyAlignment="1">
      <alignment horizontal="center" vertical="center" textRotation="90" shrinkToFit="1"/>
    </xf>
    <xf numFmtId="3" fontId="3" fillId="0" borderId="11" xfId="0" applyNumberFormat="1" applyFont="1" applyFill="1" applyBorder="1" applyAlignment="1">
      <alignment horizontal="center" vertical="center" textRotation="90" shrinkToFit="1"/>
    </xf>
    <xf numFmtId="3" fontId="3" fillId="0" borderId="30" xfId="0" applyNumberFormat="1" applyFont="1" applyFill="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0" fontId="3" fillId="7" borderId="20" xfId="0" applyFont="1" applyFill="1" applyBorder="1" applyAlignment="1">
      <alignment horizontal="left" vertical="top" wrapText="1"/>
    </xf>
    <xf numFmtId="3" fontId="3" fillId="12" borderId="21" xfId="0" applyNumberFormat="1" applyFont="1" applyFill="1" applyBorder="1" applyAlignment="1">
      <alignment horizontal="left" vertical="top" wrapText="1"/>
    </xf>
    <xf numFmtId="3" fontId="3" fillId="12" borderId="27" xfId="0" applyNumberFormat="1" applyFont="1" applyFill="1" applyBorder="1" applyAlignment="1">
      <alignment horizontal="left" vertical="top" wrapText="1"/>
    </xf>
    <xf numFmtId="3" fontId="3" fillId="7" borderId="21" xfId="0" applyNumberFormat="1" applyFont="1" applyFill="1" applyBorder="1" applyAlignment="1">
      <alignment horizontal="left" vertical="top" wrapText="1"/>
    </xf>
    <xf numFmtId="0" fontId="0" fillId="0" borderId="27" xfId="0" applyBorder="1" applyAlignment="1">
      <alignment horizontal="left" vertical="top" wrapText="1"/>
    </xf>
    <xf numFmtId="3" fontId="15" fillId="7" borderId="11" xfId="0" applyNumberFormat="1" applyFont="1" applyFill="1" applyBorder="1" applyAlignment="1">
      <alignment horizontal="center" vertical="top" wrapText="1"/>
    </xf>
    <xf numFmtId="0" fontId="37" fillId="0" borderId="28" xfId="0" applyFont="1" applyBorder="1" applyAlignment="1">
      <alignment horizontal="center" vertical="top"/>
    </xf>
    <xf numFmtId="0" fontId="0" fillId="0" borderId="18" xfId="0" applyBorder="1" applyAlignment="1">
      <alignment horizontal="left" vertical="top" wrapText="1"/>
    </xf>
    <xf numFmtId="0" fontId="8" fillId="7" borderId="11" xfId="0" applyFont="1" applyFill="1" applyBorder="1" applyAlignment="1">
      <alignment vertical="top" wrapText="1"/>
    </xf>
    <xf numFmtId="0" fontId="5" fillId="0" borderId="11" xfId="0" applyFont="1" applyFill="1" applyBorder="1" applyAlignment="1">
      <alignment horizontal="center" vertical="center" textRotation="90" wrapText="1"/>
    </xf>
    <xf numFmtId="0" fontId="3" fillId="0" borderId="51"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3" fillId="0" borderId="33" xfId="0" applyNumberFormat="1" applyFont="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166" fontId="3" fillId="0" borderId="45" xfId="0" applyNumberFormat="1" applyFont="1" applyBorder="1" applyAlignment="1">
      <alignment horizontal="center" vertical="center" textRotation="90" wrapText="1"/>
    </xf>
    <xf numFmtId="0" fontId="9" fillId="0" borderId="34" xfId="0" applyFont="1" applyBorder="1" applyAlignment="1">
      <alignment horizontal="center" vertical="center" textRotation="90" wrapText="1"/>
    </xf>
    <xf numFmtId="0" fontId="9" fillId="0" borderId="74" xfId="0" applyFont="1" applyBorder="1" applyAlignment="1">
      <alignment horizontal="center" vertical="center" textRotation="90" wrapText="1"/>
    </xf>
    <xf numFmtId="0" fontId="3" fillId="7" borderId="25" xfId="0" applyFont="1" applyFill="1" applyBorder="1" applyAlignment="1">
      <alignment horizontal="center" vertical="center" textRotation="90" wrapText="1" shrinkToFit="1"/>
    </xf>
    <xf numFmtId="0" fontId="3" fillId="7" borderId="11" xfId="0" applyFont="1" applyFill="1" applyBorder="1" applyAlignment="1">
      <alignment horizontal="center" vertical="center" textRotation="90" wrapText="1" shrinkToFit="1"/>
    </xf>
    <xf numFmtId="0" fontId="3" fillId="7" borderId="30" xfId="0" applyFont="1" applyFill="1" applyBorder="1" applyAlignment="1">
      <alignment horizontal="center" vertical="center" textRotation="90" wrapText="1" shrinkToFit="1"/>
    </xf>
    <xf numFmtId="0" fontId="3" fillId="7" borderId="113" xfId="0" applyFont="1" applyFill="1" applyBorder="1" applyAlignment="1">
      <alignment horizontal="left" vertical="top" wrapText="1"/>
    </xf>
    <xf numFmtId="0" fontId="0" fillId="7" borderId="19" xfId="0" applyFill="1" applyBorder="1" applyAlignment="1">
      <alignment horizontal="left" vertical="top" wrapText="1"/>
    </xf>
    <xf numFmtId="0" fontId="3" fillId="0" borderId="5"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25" xfId="0" applyFont="1" applyBorder="1" applyAlignment="1">
      <alignment horizontal="center" vertical="center" textRotation="90" shrinkToFit="1"/>
    </xf>
    <xf numFmtId="0" fontId="3" fillId="0" borderId="11" xfId="0" applyFont="1" applyBorder="1" applyAlignment="1">
      <alignment horizontal="center" vertical="center" textRotation="90" shrinkToFit="1"/>
    </xf>
    <xf numFmtId="0" fontId="3" fillId="0" borderId="30" xfId="0" applyFont="1" applyBorder="1" applyAlignment="1">
      <alignment horizontal="center" vertical="center" textRotation="90" shrinkToFit="1"/>
    </xf>
    <xf numFmtId="0" fontId="3" fillId="0" borderId="42" xfId="0" applyFont="1" applyBorder="1" applyAlignment="1">
      <alignment horizontal="center" vertical="center" shrinkToFit="1"/>
    </xf>
    <xf numFmtId="0" fontId="3" fillId="0" borderId="49" xfId="0" applyFont="1" applyBorder="1" applyAlignment="1">
      <alignment horizontal="center" vertical="center" shrinkToFit="1"/>
    </xf>
    <xf numFmtId="0" fontId="3" fillId="0" borderId="57" xfId="0" applyFont="1" applyBorder="1" applyAlignment="1">
      <alignment horizontal="center" vertical="center" shrinkToFit="1"/>
    </xf>
    <xf numFmtId="0" fontId="3" fillId="0" borderId="51" xfId="0" applyFont="1" applyBorder="1" applyAlignment="1">
      <alignment horizontal="center" vertical="center" textRotation="90" shrinkToFit="1"/>
    </xf>
    <xf numFmtId="0" fontId="3" fillId="0" borderId="44"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0" fontId="25" fillId="7" borderId="48" xfId="0" applyFont="1" applyFill="1" applyBorder="1" applyAlignment="1">
      <alignment horizontal="left" vertical="top" wrapText="1"/>
    </xf>
    <xf numFmtId="0" fontId="30" fillId="7" borderId="48" xfId="0" applyFont="1" applyFill="1" applyBorder="1" applyAlignment="1">
      <alignment horizontal="left" vertical="top" wrapText="1"/>
    </xf>
    <xf numFmtId="166" fontId="25" fillId="7" borderId="46" xfId="0" applyNumberFormat="1" applyFont="1" applyFill="1" applyBorder="1" applyAlignment="1">
      <alignment horizontal="left" vertical="top" wrapText="1"/>
    </xf>
    <xf numFmtId="0" fontId="0" fillId="0" borderId="48" xfId="0" applyBorder="1" applyAlignment="1">
      <alignment horizontal="left" vertical="top" wrapText="1"/>
    </xf>
    <xf numFmtId="166" fontId="4" fillId="12" borderId="20" xfId="0" applyNumberFormat="1" applyFont="1" applyFill="1" applyBorder="1" applyAlignment="1">
      <alignment horizontal="center" vertical="top" wrapText="1"/>
    </xf>
    <xf numFmtId="166" fontId="4" fillId="12" borderId="11" xfId="0" applyNumberFormat="1" applyFont="1" applyFill="1" applyBorder="1" applyAlignment="1">
      <alignment horizontal="center" vertical="top" wrapText="1"/>
    </xf>
    <xf numFmtId="166" fontId="4" fillId="12" borderId="28" xfId="0" applyNumberFormat="1" applyFont="1" applyFill="1" applyBorder="1" applyAlignment="1">
      <alignment horizontal="center" vertical="top" wrapText="1"/>
    </xf>
    <xf numFmtId="166" fontId="4" fillId="12" borderId="18" xfId="0" applyNumberFormat="1" applyFont="1" applyFill="1" applyBorder="1" applyAlignment="1">
      <alignment horizontal="center" vertical="top"/>
    </xf>
    <xf numFmtId="49" fontId="3" fillId="7" borderId="48" xfId="0" applyNumberFormat="1" applyFont="1" applyFill="1" applyBorder="1" applyAlignment="1">
      <alignment horizontal="left" vertical="top" wrapText="1"/>
    </xf>
    <xf numFmtId="0" fontId="9" fillId="7" borderId="48" xfId="0" applyFont="1" applyFill="1" applyBorder="1" applyAlignment="1">
      <alignment horizontal="left" vertical="top" wrapText="1"/>
    </xf>
    <xf numFmtId="166" fontId="3" fillId="7" borderId="46" xfId="0" applyNumberFormat="1" applyFont="1" applyFill="1" applyBorder="1" applyAlignment="1">
      <alignment vertical="top" wrapText="1"/>
    </xf>
    <xf numFmtId="166" fontId="9" fillId="7" borderId="19" xfId="0" applyNumberFormat="1" applyFont="1" applyFill="1" applyBorder="1" applyAlignment="1">
      <alignment vertical="top"/>
    </xf>
    <xf numFmtId="166" fontId="3" fillId="7" borderId="26" xfId="0" applyNumberFormat="1" applyFont="1" applyFill="1" applyBorder="1" applyAlignment="1">
      <alignment horizontal="left" vertical="top" wrapText="1"/>
    </xf>
    <xf numFmtId="0" fontId="9" fillId="7" borderId="18" xfId="0" applyFont="1" applyFill="1" applyBorder="1" applyAlignment="1">
      <alignment horizontal="left" vertical="top" wrapText="1"/>
    </xf>
    <xf numFmtId="3" fontId="3" fillId="7" borderId="18" xfId="0" applyNumberFormat="1" applyFont="1" applyFill="1" applyBorder="1" applyAlignment="1">
      <alignment horizontal="center" vertical="top"/>
    </xf>
    <xf numFmtId="3" fontId="9" fillId="7" borderId="18" xfId="0" applyNumberFormat="1" applyFont="1" applyFill="1" applyBorder="1" applyAlignment="1">
      <alignment vertical="top"/>
    </xf>
    <xf numFmtId="166" fontId="9" fillId="7" borderId="19" xfId="0" applyNumberFormat="1" applyFont="1" applyFill="1" applyBorder="1" applyAlignment="1">
      <alignment vertical="top" wrapText="1"/>
    </xf>
    <xf numFmtId="0" fontId="9" fillId="7" borderId="27" xfId="0"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0" fontId="0" fillId="0" borderId="19" xfId="0" applyBorder="1" applyAlignment="1">
      <alignment vertical="top"/>
    </xf>
    <xf numFmtId="166" fontId="3" fillId="0" borderId="46" xfId="0" applyNumberFormat="1" applyFont="1" applyFill="1" applyBorder="1" applyAlignment="1">
      <alignment horizontal="left" vertical="top" wrapText="1"/>
    </xf>
    <xf numFmtId="166" fontId="3" fillId="0" borderId="19" xfId="0" applyNumberFormat="1" applyFont="1" applyFill="1" applyBorder="1" applyAlignment="1">
      <alignment horizontal="left" vertical="top" wrapText="1"/>
    </xf>
    <xf numFmtId="166" fontId="3" fillId="7" borderId="46" xfId="0" applyNumberFormat="1" applyFont="1" applyFill="1" applyBorder="1" applyAlignment="1">
      <alignment horizontal="left" vertical="top" wrapText="1"/>
    </xf>
    <xf numFmtId="0" fontId="0" fillId="0" borderId="99" xfId="0" applyBorder="1" applyAlignment="1">
      <alignment vertical="top" wrapText="1"/>
    </xf>
    <xf numFmtId="0" fontId="0" fillId="0" borderId="18" xfId="0" applyBorder="1" applyAlignment="1">
      <alignment vertical="top"/>
    </xf>
    <xf numFmtId="166" fontId="3" fillId="7" borderId="48" xfId="0" applyNumberFormat="1" applyFont="1" applyFill="1" applyBorder="1" applyAlignment="1">
      <alignment horizontal="left" vertical="top" wrapText="1"/>
    </xf>
    <xf numFmtId="166" fontId="9" fillId="7" borderId="19" xfId="0" applyNumberFormat="1" applyFont="1" applyFill="1" applyBorder="1" applyAlignment="1">
      <alignment horizontal="left" vertical="top" wrapText="1"/>
    </xf>
    <xf numFmtId="0" fontId="0" fillId="7" borderId="9" xfId="0" applyFill="1" applyBorder="1" applyAlignment="1">
      <alignment vertical="top" wrapText="1"/>
    </xf>
    <xf numFmtId="166" fontId="3" fillId="2" borderId="56" xfId="0" applyNumberFormat="1" applyFont="1" applyFill="1" applyBorder="1" applyAlignment="1">
      <alignment horizontal="center" vertical="top" wrapText="1"/>
    </xf>
    <xf numFmtId="166" fontId="3" fillId="9" borderId="56" xfId="0" applyNumberFormat="1" applyFont="1" applyFill="1" applyBorder="1" applyAlignment="1">
      <alignment horizontal="center" vertical="top"/>
    </xf>
    <xf numFmtId="166" fontId="3" fillId="5" borderId="56" xfId="0" applyNumberFormat="1" applyFont="1" applyFill="1" applyBorder="1" applyAlignment="1">
      <alignment horizontal="center" vertical="top"/>
    </xf>
    <xf numFmtId="0" fontId="4" fillId="0" borderId="0" xfId="0" applyNumberFormat="1" applyFont="1" applyFill="1" applyAlignment="1">
      <alignment horizontal="center" vertical="top"/>
    </xf>
    <xf numFmtId="0" fontId="3" fillId="0" borderId="45"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3" fontId="3" fillId="0" borderId="4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7" borderId="61" xfId="0" applyNumberFormat="1" applyFont="1" applyFill="1" applyBorder="1" applyAlignment="1">
      <alignment horizontal="center" vertical="top"/>
    </xf>
    <xf numFmtId="3" fontId="9" fillId="0" borderId="77" xfId="0" applyNumberFormat="1" applyFont="1" applyBorder="1" applyAlignment="1">
      <alignment vertical="top"/>
    </xf>
    <xf numFmtId="1" fontId="3" fillId="7" borderId="49" xfId="0" applyNumberFormat="1" applyFont="1" applyFill="1" applyBorder="1" applyAlignment="1">
      <alignment horizontal="center" vertical="top"/>
    </xf>
    <xf numFmtId="0" fontId="0" fillId="0" borderId="35" xfId="0" applyBorder="1" applyAlignment="1">
      <alignment vertical="top"/>
    </xf>
    <xf numFmtId="3" fontId="4" fillId="7" borderId="56" xfId="0" applyNumberFormat="1" applyFont="1" applyFill="1" applyBorder="1" applyAlignment="1">
      <alignment horizontal="center" vertical="center" wrapText="1"/>
    </xf>
    <xf numFmtId="3" fontId="4" fillId="7" borderId="72" xfId="0" applyNumberFormat="1" applyFont="1" applyFill="1" applyBorder="1" applyAlignment="1">
      <alignment horizontal="center" vertical="center" wrapText="1"/>
    </xf>
    <xf numFmtId="3" fontId="4" fillId="7" borderId="73" xfId="0" applyNumberFormat="1" applyFont="1" applyFill="1" applyBorder="1" applyAlignment="1">
      <alignment horizontal="center" vertical="center" wrapText="1"/>
    </xf>
    <xf numFmtId="0" fontId="0" fillId="0" borderId="29" xfId="0" applyBorder="1" applyAlignment="1">
      <alignment vertical="top" wrapText="1"/>
    </xf>
    <xf numFmtId="0" fontId="3" fillId="7" borderId="37" xfId="0" applyFont="1" applyFill="1" applyBorder="1" applyAlignment="1">
      <alignment vertical="top" wrapText="1"/>
    </xf>
    <xf numFmtId="0" fontId="0" fillId="12" borderId="18" xfId="0" applyFill="1" applyBorder="1" applyAlignment="1">
      <alignment horizontal="left" vertical="top" wrapText="1"/>
    </xf>
    <xf numFmtId="0" fontId="0" fillId="12" borderId="27" xfId="0" applyFill="1" applyBorder="1" applyAlignment="1">
      <alignment horizontal="left" vertical="top"/>
    </xf>
    <xf numFmtId="166" fontId="3" fillId="12" borderId="46" xfId="0" applyNumberFormat="1" applyFont="1" applyFill="1" applyBorder="1" applyAlignment="1">
      <alignment horizontal="left" vertical="top" wrapText="1"/>
    </xf>
    <xf numFmtId="0" fontId="0" fillId="12" borderId="48" xfId="0" applyFill="1" applyBorder="1" applyAlignment="1">
      <alignment horizontal="left" vertical="top" wrapText="1"/>
    </xf>
    <xf numFmtId="166" fontId="25" fillId="12" borderId="46" xfId="0" applyNumberFormat="1" applyFont="1" applyFill="1" applyBorder="1" applyAlignment="1">
      <alignment horizontal="left" vertical="top" wrapText="1"/>
    </xf>
    <xf numFmtId="0" fontId="0" fillId="0" borderId="19" xfId="0" applyBorder="1" applyAlignment="1">
      <alignment horizontal="left" vertical="top" wrapText="1"/>
    </xf>
    <xf numFmtId="0" fontId="25" fillId="12" borderId="46" xfId="0" applyFont="1" applyFill="1" applyBorder="1" applyAlignment="1">
      <alignment vertical="top" wrapText="1"/>
    </xf>
    <xf numFmtId="0" fontId="30" fillId="12" borderId="48" xfId="0" applyFont="1" applyFill="1" applyBorder="1" applyAlignment="1">
      <alignment vertical="top" wrapText="1"/>
    </xf>
    <xf numFmtId="0" fontId="28" fillId="12" borderId="48" xfId="0" applyFont="1" applyFill="1" applyBorder="1" applyAlignment="1">
      <alignment vertical="top" wrapText="1"/>
    </xf>
    <xf numFmtId="0" fontId="28" fillId="12" borderId="19" xfId="0" applyFont="1" applyFill="1" applyBorder="1" applyAlignment="1">
      <alignment vertical="top" wrapText="1"/>
    </xf>
    <xf numFmtId="166" fontId="25" fillId="7" borderId="48" xfId="0" applyNumberFormat="1" applyFont="1" applyFill="1" applyBorder="1" applyAlignment="1">
      <alignment horizontal="left" vertical="top" wrapText="1"/>
    </xf>
    <xf numFmtId="166" fontId="30" fillId="7" borderId="48"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wrapText="1"/>
    </xf>
    <xf numFmtId="0" fontId="0" fillId="12" borderId="82" xfId="0" applyFill="1" applyBorder="1" applyAlignment="1">
      <alignment horizontal="left" vertical="top" wrapText="1"/>
    </xf>
    <xf numFmtId="3" fontId="3" fillId="0" borderId="18" xfId="0" applyNumberFormat="1" applyFont="1" applyFill="1" applyBorder="1" applyAlignment="1">
      <alignment horizontal="center" vertical="top"/>
    </xf>
    <xf numFmtId="3" fontId="15" fillId="12" borderId="20" xfId="0" applyNumberFormat="1" applyFont="1" applyFill="1" applyBorder="1" applyAlignment="1">
      <alignment horizontal="center" vertical="top" wrapText="1"/>
    </xf>
    <xf numFmtId="3" fontId="15" fillId="12" borderId="28" xfId="0" applyNumberFormat="1" applyFont="1" applyFill="1" applyBorder="1" applyAlignment="1">
      <alignment horizontal="center" vertical="top" wrapText="1"/>
    </xf>
    <xf numFmtId="166" fontId="15" fillId="12" borderId="47" xfId="0" applyNumberFormat="1" applyFont="1" applyFill="1" applyBorder="1" applyAlignment="1">
      <alignment horizontal="left" vertical="top" wrapText="1"/>
    </xf>
    <xf numFmtId="166" fontId="37" fillId="12" borderId="49" xfId="0" applyNumberFormat="1" applyFont="1" applyFill="1" applyBorder="1" applyAlignment="1">
      <alignment horizontal="left" vertical="top" wrapText="1"/>
    </xf>
    <xf numFmtId="166" fontId="15" fillId="7" borderId="47" xfId="0" applyNumberFormat="1" applyFont="1" applyFill="1" applyBorder="1" applyAlignment="1">
      <alignment horizontal="left" vertical="top" wrapText="1"/>
    </xf>
    <xf numFmtId="166" fontId="37" fillId="7" borderId="49" xfId="0" applyNumberFormat="1" applyFont="1" applyFill="1" applyBorder="1" applyAlignment="1">
      <alignment horizontal="left" vertical="top" wrapText="1"/>
    </xf>
    <xf numFmtId="3" fontId="3" fillId="3" borderId="18" xfId="0" applyNumberFormat="1" applyFont="1" applyFill="1" applyBorder="1" applyAlignment="1">
      <alignment horizontal="left" vertical="top" wrapText="1"/>
    </xf>
    <xf numFmtId="0" fontId="3" fillId="0" borderId="27" xfId="0" applyFont="1" applyBorder="1" applyAlignment="1">
      <alignment vertical="top" wrapText="1"/>
    </xf>
    <xf numFmtId="0" fontId="0" fillId="12" borderId="27" xfId="0" applyFill="1" applyBorder="1" applyAlignment="1">
      <alignment vertical="top" wrapText="1"/>
    </xf>
    <xf numFmtId="0" fontId="0" fillId="12" borderId="27" xfId="0" applyFill="1" applyBorder="1" applyAlignment="1">
      <alignment horizontal="left" vertical="top" wrapText="1"/>
    </xf>
    <xf numFmtId="0" fontId="9" fillId="12" borderId="18" xfId="0" applyFont="1" applyFill="1" applyBorder="1" applyAlignment="1">
      <alignment vertical="top"/>
    </xf>
    <xf numFmtId="0" fontId="9" fillId="12" borderId="27" xfId="0" applyFont="1" applyFill="1" applyBorder="1" applyAlignment="1">
      <alignment vertical="top"/>
    </xf>
    <xf numFmtId="0" fontId="37" fillId="12" borderId="11" xfId="0" applyFont="1" applyFill="1" applyBorder="1" applyAlignment="1">
      <alignment horizontal="center" vertical="top"/>
    </xf>
    <xf numFmtId="3" fontId="25" fillId="7" borderId="18" xfId="0" applyNumberFormat="1" applyFont="1" applyFill="1" applyBorder="1" applyAlignment="1">
      <alignment horizontal="center" vertical="top" wrapText="1"/>
    </xf>
    <xf numFmtId="0" fontId="0" fillId="0" borderId="18" xfId="0" applyBorder="1" applyAlignment="1">
      <alignment horizontal="center" vertical="top" wrapText="1"/>
    </xf>
    <xf numFmtId="49" fontId="4" fillId="12" borderId="49" xfId="0" applyNumberFormat="1" applyFont="1" applyFill="1" applyBorder="1" applyAlignment="1">
      <alignment horizontal="center" vertical="top" wrapText="1"/>
    </xf>
    <xf numFmtId="0" fontId="3" fillId="7" borderId="41" xfId="0" applyFont="1" applyFill="1" applyBorder="1" applyAlignment="1">
      <alignment vertical="top" wrapText="1"/>
    </xf>
    <xf numFmtId="0" fontId="0" fillId="0" borderId="48" xfId="0" applyBorder="1" applyAlignment="1">
      <alignment vertical="top"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15" fillId="7" borderId="25" xfId="0" applyNumberFormat="1" applyFont="1" applyFill="1" applyBorder="1" applyAlignment="1">
      <alignment vertical="top" wrapText="1"/>
    </xf>
    <xf numFmtId="166" fontId="15" fillId="7" borderId="11" xfId="0" applyNumberFormat="1" applyFont="1" applyFill="1" applyBorder="1" applyAlignment="1">
      <alignment vertical="top" wrapText="1"/>
    </xf>
    <xf numFmtId="166" fontId="41" fillId="0" borderId="25" xfId="0" applyNumberFormat="1" applyFont="1" applyFill="1" applyBorder="1" applyAlignment="1">
      <alignment horizontal="center" vertical="top" wrapText="1"/>
    </xf>
    <xf numFmtId="166" fontId="41" fillId="0" borderId="11" xfId="0" applyNumberFormat="1" applyFont="1" applyFill="1" applyBorder="1" applyAlignment="1">
      <alignment horizontal="center" vertical="top" wrapText="1"/>
    </xf>
    <xf numFmtId="166" fontId="41" fillId="0" borderId="30" xfId="0" applyNumberFormat="1" applyFont="1" applyFill="1" applyBorder="1" applyAlignment="1">
      <alignment horizontal="center" vertical="top" wrapText="1"/>
    </xf>
    <xf numFmtId="49" fontId="42" fillId="0" borderId="25" xfId="0" applyNumberFormat="1" applyFont="1" applyBorder="1" applyAlignment="1">
      <alignment horizontal="center" vertical="center" textRotation="90" wrapText="1"/>
    </xf>
    <xf numFmtId="49" fontId="42" fillId="0" borderId="11" xfId="0" applyNumberFormat="1" applyFont="1" applyBorder="1" applyAlignment="1">
      <alignment horizontal="center" vertical="center" textRotation="90" wrapText="1"/>
    </xf>
    <xf numFmtId="49" fontId="42" fillId="0" borderId="30" xfId="0" applyNumberFormat="1" applyFont="1" applyBorder="1" applyAlignment="1">
      <alignment horizontal="center" vertical="center" textRotation="90" wrapText="1"/>
    </xf>
    <xf numFmtId="49" fontId="33" fillId="7" borderId="25" xfId="0" applyNumberFormat="1" applyFont="1" applyFill="1" applyBorder="1" applyAlignment="1">
      <alignment horizontal="center" vertical="top"/>
    </xf>
    <xf numFmtId="49" fontId="33" fillId="7" borderId="11" xfId="0" applyNumberFormat="1" applyFont="1" applyFill="1" applyBorder="1" applyAlignment="1">
      <alignment horizontal="center" vertical="top"/>
    </xf>
    <xf numFmtId="49" fontId="33" fillId="7" borderId="30" xfId="0" applyNumberFormat="1" applyFont="1" applyFill="1" applyBorder="1" applyAlignment="1">
      <alignment horizontal="center" vertical="top"/>
    </xf>
    <xf numFmtId="166" fontId="15" fillId="7" borderId="26" xfId="0" applyNumberFormat="1" applyFont="1" applyFill="1" applyBorder="1" applyAlignment="1">
      <alignment horizontal="center" vertical="top" wrapText="1"/>
    </xf>
    <xf numFmtId="166" fontId="15" fillId="7" borderId="18" xfId="0" applyNumberFormat="1" applyFont="1" applyFill="1" applyBorder="1" applyAlignment="1">
      <alignment horizontal="center" vertical="top" wrapText="1"/>
    </xf>
    <xf numFmtId="166" fontId="15" fillId="7" borderId="31" xfId="0" applyNumberFormat="1" applyFont="1" applyFill="1" applyBorder="1" applyAlignment="1">
      <alignment horizontal="center" vertical="top" wrapText="1"/>
    </xf>
    <xf numFmtId="49" fontId="4" fillId="8" borderId="11" xfId="0" applyNumberFormat="1" applyFont="1" applyFill="1" applyBorder="1" applyAlignment="1">
      <alignment horizontal="center" vertical="top"/>
    </xf>
    <xf numFmtId="49" fontId="4" fillId="0" borderId="20" xfId="0" applyNumberFormat="1" applyFont="1" applyBorder="1" applyAlignment="1">
      <alignment horizontal="center" vertical="top"/>
    </xf>
    <xf numFmtId="49" fontId="4" fillId="0" borderId="11" xfId="0" applyNumberFormat="1" applyFont="1" applyBorder="1" applyAlignment="1">
      <alignment horizontal="center" vertical="top"/>
    </xf>
    <xf numFmtId="49" fontId="4" fillId="0" borderId="28" xfId="0" applyNumberFormat="1" applyFont="1" applyBorder="1" applyAlignment="1">
      <alignment horizontal="center" vertical="top"/>
    </xf>
    <xf numFmtId="49" fontId="7" fillId="0" borderId="20" xfId="0" applyNumberFormat="1" applyFont="1" applyBorder="1" applyAlignment="1">
      <alignment horizontal="center" vertical="center" textRotation="90" wrapText="1"/>
    </xf>
    <xf numFmtId="49" fontId="7" fillId="0" borderId="11" xfId="0" applyNumberFormat="1" applyFont="1" applyBorder="1" applyAlignment="1">
      <alignment horizontal="center" vertical="center" textRotation="90" wrapText="1"/>
    </xf>
    <xf numFmtId="49" fontId="7" fillId="0" borderId="28" xfId="0" applyNumberFormat="1" applyFont="1" applyBorder="1" applyAlignment="1">
      <alignment horizontal="center" vertical="center" textRotation="90" wrapText="1"/>
    </xf>
    <xf numFmtId="49" fontId="4" fillId="7" borderId="47" xfId="0" applyNumberFormat="1" applyFont="1" applyFill="1" applyBorder="1" applyAlignment="1">
      <alignment horizontal="center" vertical="top"/>
    </xf>
    <xf numFmtId="49" fontId="4" fillId="7" borderId="35"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xf>
    <xf numFmtId="3" fontId="3" fillId="7" borderId="47" xfId="0" applyNumberFormat="1" applyFont="1" applyFill="1" applyBorder="1" applyAlignment="1">
      <alignment horizontal="center" vertical="top" wrapText="1"/>
    </xf>
    <xf numFmtId="3" fontId="9" fillId="7" borderId="102" xfId="0" applyNumberFormat="1" applyFont="1" applyFill="1" applyBorder="1" applyAlignment="1">
      <alignment horizontal="center" vertical="top" wrapText="1"/>
    </xf>
    <xf numFmtId="49" fontId="2" fillId="3" borderId="20" xfId="0" applyNumberFormat="1" applyFont="1" applyFill="1" applyBorder="1" applyAlignment="1">
      <alignment horizontal="center" vertical="center" textRotation="90" wrapText="1"/>
    </xf>
    <xf numFmtId="49" fontId="2" fillId="3" borderId="11" xfId="0" applyNumberFormat="1" applyFont="1" applyFill="1" applyBorder="1" applyAlignment="1">
      <alignment horizontal="center" vertical="center" textRotation="90" wrapText="1"/>
    </xf>
    <xf numFmtId="49" fontId="7" fillId="0" borderId="20" xfId="0" applyNumberFormat="1" applyFont="1" applyBorder="1" applyAlignment="1">
      <alignment horizontal="center" vertical="top" textRotation="90"/>
    </xf>
    <xf numFmtId="0" fontId="14" fillId="0" borderId="28" xfId="0" applyFont="1" applyBorder="1" applyAlignment="1">
      <alignment horizontal="center" vertical="top" textRotation="90"/>
    </xf>
    <xf numFmtId="166" fontId="9" fillId="7" borderId="18" xfId="0" applyNumberFormat="1" applyFont="1" applyFill="1" applyBorder="1" applyAlignment="1">
      <alignment horizontal="center" vertical="top" wrapText="1"/>
    </xf>
    <xf numFmtId="3" fontId="15" fillId="7" borderId="20" xfId="0" applyNumberFormat="1" applyFont="1" applyFill="1" applyBorder="1" applyAlignment="1">
      <alignment horizontal="center" vertical="top" wrapText="1"/>
    </xf>
    <xf numFmtId="3" fontId="15" fillId="7" borderId="28" xfId="0" applyNumberFormat="1" applyFont="1" applyFill="1" applyBorder="1" applyAlignment="1">
      <alignment horizontal="center" vertical="top" wrapText="1"/>
    </xf>
    <xf numFmtId="0" fontId="0" fillId="0" borderId="28" xfId="0" applyBorder="1" applyAlignment="1">
      <alignment textRotation="90" wrapText="1"/>
    </xf>
    <xf numFmtId="0" fontId="0" fillId="0" borderId="7" xfId="0" applyBorder="1" applyAlignment="1">
      <alignment vertical="top" wrapText="1"/>
    </xf>
    <xf numFmtId="49" fontId="26" fillId="0" borderId="20" xfId="0" applyNumberFormat="1" applyFont="1" applyBorder="1" applyAlignment="1">
      <alignment horizontal="center" vertical="center" textRotation="90"/>
    </xf>
    <xf numFmtId="49" fontId="26" fillId="0" borderId="11" xfId="0" applyNumberFormat="1" applyFont="1" applyBorder="1" applyAlignment="1">
      <alignment horizontal="center" vertical="center" textRotation="90"/>
    </xf>
    <xf numFmtId="166" fontId="20" fillId="7" borderId="18" xfId="0" applyNumberFormat="1" applyFont="1" applyFill="1" applyBorder="1" applyAlignment="1">
      <alignment horizontal="center" vertical="center" wrapText="1"/>
    </xf>
    <xf numFmtId="3" fontId="3" fillId="7" borderId="11"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166" fontId="9" fillId="7" borderId="83"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0" fontId="0" fillId="0" borderId="31" xfId="0" applyFont="1" applyBorder="1" applyAlignment="1">
      <alignment horizontal="center" vertical="top"/>
    </xf>
    <xf numFmtId="166" fontId="3" fillId="7" borderId="81" xfId="0" applyNumberFormat="1" applyFont="1" applyFill="1" applyBorder="1" applyAlignment="1">
      <alignment horizontal="left" vertical="top" wrapText="1"/>
    </xf>
    <xf numFmtId="3" fontId="3" fillId="7" borderId="21" xfId="0" applyNumberFormat="1" applyFont="1" applyFill="1" applyBorder="1" applyAlignment="1">
      <alignment horizontal="center" vertical="top" wrapText="1"/>
    </xf>
    <xf numFmtId="3" fontId="9" fillId="7" borderId="83" xfId="0" applyNumberFormat="1" applyFont="1" applyFill="1" applyBorder="1" applyAlignment="1">
      <alignment horizontal="center" vertical="top" wrapText="1"/>
    </xf>
    <xf numFmtId="166" fontId="4" fillId="8" borderId="11" xfId="0" applyNumberFormat="1" applyFont="1" applyFill="1" applyBorder="1" applyAlignment="1">
      <alignment horizontal="center" vertical="top"/>
    </xf>
    <xf numFmtId="0" fontId="3" fillId="7" borderId="11" xfId="0" applyFont="1" applyFill="1" applyBorder="1" applyAlignment="1">
      <alignment vertical="top" wrapText="1"/>
    </xf>
    <xf numFmtId="49" fontId="2" fillId="0" borderId="11" xfId="0" applyNumberFormat="1" applyFont="1" applyBorder="1" applyAlignment="1">
      <alignment horizontal="center" vertical="center" textRotation="90" wrapText="1"/>
    </xf>
    <xf numFmtId="0" fontId="0" fillId="0" borderId="11" xfId="0" applyFont="1" applyBorder="1" applyAlignment="1">
      <alignment horizontal="center" vertical="center" textRotation="90" wrapText="1"/>
    </xf>
    <xf numFmtId="166" fontId="9" fillId="7" borderId="27" xfId="0" applyNumberFormat="1" applyFont="1" applyFill="1" applyBorder="1" applyAlignment="1">
      <alignment vertical="top" wrapText="1"/>
    </xf>
    <xf numFmtId="49" fontId="7" fillId="0" borderId="25"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49" fontId="4" fillId="7" borderId="20" xfId="0" applyNumberFormat="1" applyFont="1" applyFill="1" applyBorder="1" applyAlignment="1">
      <alignment horizontal="center" vertical="top"/>
    </xf>
    <xf numFmtId="166" fontId="3" fillId="7" borderId="111" xfId="0" applyNumberFormat="1" applyFont="1" applyFill="1" applyBorder="1" applyAlignment="1">
      <alignment horizontal="center" vertical="top" wrapText="1"/>
    </xf>
    <xf numFmtId="0" fontId="14" fillId="0" borderId="30" xfId="0" applyFont="1" applyBorder="1" applyAlignment="1">
      <alignment horizontal="center" vertical="center" wrapText="1"/>
    </xf>
    <xf numFmtId="49" fontId="7" fillId="7" borderId="11" xfId="0" applyNumberFormat="1" applyFont="1" applyFill="1" applyBorder="1" applyAlignment="1">
      <alignment horizontal="center" vertical="top" textRotation="90" wrapText="1"/>
    </xf>
    <xf numFmtId="0" fontId="14" fillId="0" borderId="28" xfId="0" applyFont="1" applyBorder="1" applyAlignment="1">
      <alignment horizontal="center" vertical="center" textRotation="90"/>
    </xf>
    <xf numFmtId="0" fontId="0" fillId="0" borderId="28" xfId="0" applyFont="1" applyBorder="1" applyAlignment="1">
      <alignment horizontal="center" vertical="center" wrapText="1"/>
    </xf>
    <xf numFmtId="166" fontId="9" fillId="7" borderId="102" xfId="0" applyNumberFormat="1" applyFont="1" applyFill="1" applyBorder="1" applyAlignment="1">
      <alignment horizontal="left" vertical="top" wrapText="1"/>
    </xf>
    <xf numFmtId="49" fontId="7" fillId="0" borderId="20" xfId="0" applyNumberFormat="1" applyFont="1" applyBorder="1" applyAlignment="1">
      <alignment vertical="center" textRotation="90" wrapText="1"/>
    </xf>
    <xf numFmtId="0" fontId="7" fillId="0" borderId="11" xfId="0" applyFont="1" applyBorder="1" applyAlignment="1">
      <alignment vertical="center" textRotation="90" wrapText="1"/>
    </xf>
    <xf numFmtId="49" fontId="7" fillId="7" borderId="11" xfId="0" applyNumberFormat="1" applyFont="1" applyFill="1" applyBorder="1" applyAlignment="1">
      <alignment horizontal="center" vertical="center" textRotation="90" wrapText="1"/>
    </xf>
    <xf numFmtId="0" fontId="14" fillId="7" borderId="11" xfId="0" applyFont="1" applyFill="1" applyBorder="1" applyAlignment="1">
      <alignment horizontal="center" vertical="center" textRotation="90" wrapText="1"/>
    </xf>
    <xf numFmtId="49" fontId="2" fillId="0" borderId="20" xfId="0" applyNumberFormat="1" applyFont="1" applyBorder="1" applyAlignment="1">
      <alignment horizontal="center" vertical="center" textRotation="90" wrapText="1"/>
    </xf>
    <xf numFmtId="0" fontId="1" fillId="0" borderId="11" xfId="0" applyFont="1" applyBorder="1" applyAlignment="1">
      <alignment horizontal="center" vertical="center" textRotation="90" wrapText="1"/>
    </xf>
    <xf numFmtId="166" fontId="3" fillId="0" borderId="21"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166" fontId="3" fillId="7" borderId="107" xfId="0" applyNumberFormat="1" applyFont="1" applyFill="1" applyBorder="1" applyAlignment="1">
      <alignment vertical="top" wrapText="1"/>
    </xf>
    <xf numFmtId="3" fontId="3" fillId="7" borderId="21" xfId="0" applyNumberFormat="1" applyFont="1" applyFill="1" applyBorder="1" applyAlignment="1">
      <alignment horizontal="center" vertical="top"/>
    </xf>
    <xf numFmtId="3" fontId="3" fillId="7" borderId="102"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0" fontId="3" fillId="7" borderId="28" xfId="0" applyFont="1" applyFill="1" applyBorder="1" applyAlignment="1">
      <alignment horizontal="left"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0" fontId="0" fillId="7" borderId="11" xfId="0" applyFill="1" applyBorder="1" applyAlignment="1">
      <alignment vertical="top" wrapText="1"/>
    </xf>
    <xf numFmtId="166" fontId="3" fillId="7" borderId="21" xfId="0" applyNumberFormat="1" applyFont="1" applyFill="1" applyBorder="1" applyAlignment="1">
      <alignment horizontal="center" vertical="top" wrapText="1"/>
    </xf>
    <xf numFmtId="0" fontId="9" fillId="7" borderId="29" xfId="0" applyFont="1" applyFill="1" applyBorder="1" applyAlignment="1">
      <alignment horizontal="left" vertical="top" wrapText="1"/>
    </xf>
    <xf numFmtId="0" fontId="0" fillId="7" borderId="7" xfId="0" applyFill="1" applyBorder="1" applyAlignment="1">
      <alignment horizontal="left" vertical="top" wrapText="1"/>
    </xf>
    <xf numFmtId="0" fontId="14" fillId="0" borderId="11" xfId="0" applyFont="1" applyBorder="1" applyAlignment="1">
      <alignment horizontal="center" vertical="center" textRotation="90"/>
    </xf>
    <xf numFmtId="3" fontId="3" fillId="3" borderId="52" xfId="0" applyNumberFormat="1" applyFont="1" applyFill="1" applyBorder="1" applyAlignment="1">
      <alignment horizontal="left" vertical="top" wrapText="1"/>
    </xf>
    <xf numFmtId="0" fontId="0" fillId="0" borderId="52" xfId="0" applyBorder="1" applyAlignment="1">
      <alignment horizontal="left" vertical="top" wrapText="1"/>
    </xf>
    <xf numFmtId="166" fontId="3" fillId="2" borderId="32"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49" fontId="2" fillId="7" borderId="25" xfId="0" applyNumberFormat="1" applyFont="1" applyFill="1" applyBorder="1" applyAlignment="1">
      <alignment horizontal="center" vertical="center" textRotation="90" wrapText="1"/>
    </xf>
    <xf numFmtId="49" fontId="2" fillId="7" borderId="11"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49" fontId="2" fillId="0" borderId="28" xfId="0" applyNumberFormat="1" applyFont="1" applyBorder="1" applyAlignment="1">
      <alignment horizontal="center" vertical="center" textRotation="90" wrapText="1"/>
    </xf>
    <xf numFmtId="0" fontId="14" fillId="0" borderId="11" xfId="0" applyFont="1" applyBorder="1" applyAlignment="1">
      <alignment horizontal="center" vertical="top" textRotation="90"/>
    </xf>
    <xf numFmtId="166" fontId="16" fillId="7" borderId="11" xfId="0" applyNumberFormat="1" applyFont="1" applyFill="1" applyBorder="1" applyAlignment="1">
      <alignment horizontal="center" vertical="center" textRotation="90" wrapText="1"/>
    </xf>
    <xf numFmtId="3" fontId="2" fillId="0" borderId="11" xfId="0" applyNumberFormat="1" applyFont="1" applyBorder="1" applyAlignment="1">
      <alignment vertical="top" textRotation="90" wrapText="1"/>
    </xf>
    <xf numFmtId="0" fontId="2" fillId="0" borderId="28" xfId="0" applyFont="1" applyBorder="1" applyAlignment="1">
      <alignment vertical="top" textRotation="90" wrapText="1"/>
    </xf>
    <xf numFmtId="166" fontId="9" fillId="0" borderId="35" xfId="0" applyNumberFormat="1" applyFont="1" applyBorder="1" applyAlignment="1">
      <alignment horizontal="left" vertical="top" wrapText="1"/>
    </xf>
    <xf numFmtId="0" fontId="3" fillId="0" borderId="0" xfId="0" applyFont="1" applyAlignment="1">
      <alignment horizontal="right" wrapText="1"/>
    </xf>
    <xf numFmtId="0" fontId="9" fillId="0" borderId="0" xfId="0" applyFont="1" applyAlignment="1">
      <alignment horizontal="right"/>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49" fontId="7" fillId="7" borderId="11" xfId="0" applyNumberFormat="1" applyFont="1" applyFill="1" applyBorder="1" applyAlignment="1">
      <alignment horizontal="center" vertical="center" textRotation="90"/>
    </xf>
    <xf numFmtId="0" fontId="14" fillId="7" borderId="28" xfId="0" applyFont="1" applyFill="1" applyBorder="1" applyAlignment="1">
      <alignment horizontal="center" vertical="center" textRotation="90"/>
    </xf>
    <xf numFmtId="49" fontId="7" fillId="7" borderId="20" xfId="0" applyNumberFormat="1" applyFont="1" applyFill="1" applyBorder="1" applyAlignment="1">
      <alignment horizontal="center" vertical="center" textRotation="90"/>
    </xf>
    <xf numFmtId="0" fontId="14" fillId="7" borderId="28" xfId="0" applyFont="1" applyFill="1" applyBorder="1" applyAlignment="1">
      <alignment horizontal="center" vertical="top" textRotation="90" wrapText="1"/>
    </xf>
    <xf numFmtId="49" fontId="7" fillId="7" borderId="20" xfId="0" applyNumberFormat="1" applyFont="1" applyFill="1" applyBorder="1" applyAlignment="1">
      <alignment horizontal="center" vertical="top" textRotation="90" wrapText="1"/>
    </xf>
    <xf numFmtId="0" fontId="0" fillId="7" borderId="18" xfId="0" applyFont="1" applyFill="1" applyBorder="1" applyAlignment="1">
      <alignment horizontal="center" vertical="top" wrapText="1"/>
    </xf>
    <xf numFmtId="49" fontId="4" fillId="7" borderId="28" xfId="0" applyNumberFormat="1" applyFont="1" applyFill="1" applyBorder="1" applyAlignment="1">
      <alignment horizontal="center" vertical="top"/>
    </xf>
    <xf numFmtId="166" fontId="4" fillId="7" borderId="11"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center" wrapText="1"/>
    </xf>
    <xf numFmtId="49" fontId="7" fillId="7" borderId="47" xfId="0" applyNumberFormat="1" applyFont="1" applyFill="1" applyBorder="1" applyAlignment="1">
      <alignment horizontal="center" vertical="center" textRotation="90"/>
    </xf>
    <xf numFmtId="49" fontId="7" fillId="7" borderId="49" xfId="0" applyNumberFormat="1" applyFont="1" applyFill="1" applyBorder="1" applyAlignment="1">
      <alignment horizontal="center" vertical="center" textRotation="90"/>
    </xf>
    <xf numFmtId="49" fontId="14" fillId="7" borderId="28" xfId="0" applyNumberFormat="1" applyFont="1" applyFill="1" applyBorder="1" applyAlignment="1">
      <alignment horizontal="center" vertical="top" textRotation="90" wrapText="1"/>
    </xf>
    <xf numFmtId="49" fontId="7" fillId="0" borderId="11" xfId="0" applyNumberFormat="1" applyFont="1" applyBorder="1" applyAlignment="1">
      <alignment horizontal="center" vertical="top" textRotation="90"/>
    </xf>
    <xf numFmtId="49" fontId="7" fillId="0" borderId="28" xfId="0" applyNumberFormat="1" applyFont="1" applyBorder="1" applyAlignment="1">
      <alignment horizontal="center" vertical="top" textRotation="90"/>
    </xf>
    <xf numFmtId="49" fontId="14" fillId="7" borderId="11" xfId="0" applyNumberFormat="1" applyFont="1" applyFill="1" applyBorder="1" applyAlignment="1">
      <alignment horizontal="center" vertical="top" textRotation="90"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4" fillId="7" borderId="2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49" fontId="2" fillId="3" borderId="28" xfId="0" applyNumberFormat="1" applyFont="1" applyFill="1" applyBorder="1" applyAlignment="1">
      <alignment horizontal="center" vertical="center" textRotation="90" wrapText="1"/>
    </xf>
    <xf numFmtId="49" fontId="4" fillId="0" borderId="49" xfId="0" applyNumberFormat="1" applyFont="1" applyBorder="1" applyAlignment="1">
      <alignment horizontal="center" vertical="top"/>
    </xf>
    <xf numFmtId="49" fontId="4" fillId="0" borderId="35" xfId="0" applyNumberFormat="1" applyFont="1" applyBorder="1" applyAlignment="1">
      <alignment horizontal="center" vertical="top"/>
    </xf>
    <xf numFmtId="166" fontId="3" fillId="7" borderId="21" xfId="0" applyNumberFormat="1" applyFont="1" applyFill="1" applyBorder="1" applyAlignment="1">
      <alignment horizontal="center" vertical="center" wrapText="1"/>
    </xf>
    <xf numFmtId="166" fontId="4" fillId="0" borderId="28" xfId="0" applyNumberFormat="1" applyFont="1" applyFill="1" applyBorder="1" applyAlignment="1">
      <alignment horizontal="center" vertical="top" wrapText="1"/>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49" fontId="2" fillId="3" borderId="49" xfId="0" applyNumberFormat="1" applyFont="1" applyFill="1" applyBorder="1" applyAlignment="1">
      <alignment horizontal="center" vertical="top" textRotation="90" wrapText="1"/>
    </xf>
    <xf numFmtId="49" fontId="7" fillId="7" borderId="28" xfId="0" applyNumberFormat="1" applyFont="1" applyFill="1" applyBorder="1" applyAlignment="1">
      <alignment horizontal="center" vertical="center" textRotation="90"/>
    </xf>
    <xf numFmtId="0" fontId="0" fillId="7" borderId="18" xfId="0" applyFill="1" applyBorder="1" applyAlignment="1">
      <alignment horizontal="center" vertical="center" wrapText="1"/>
    </xf>
    <xf numFmtId="0" fontId="25" fillId="7" borderId="37" xfId="0" applyFont="1" applyFill="1" applyBorder="1" applyAlignment="1">
      <alignment vertical="top" wrapText="1"/>
    </xf>
    <xf numFmtId="0" fontId="25" fillId="7" borderId="7" xfId="0" applyFont="1" applyFill="1" applyBorder="1" applyAlignment="1">
      <alignment vertical="top" wrapText="1"/>
    </xf>
    <xf numFmtId="0" fontId="28" fillId="7" borderId="7" xfId="0" applyFont="1" applyFill="1" applyBorder="1" applyAlignment="1">
      <alignment vertical="top" wrapText="1"/>
    </xf>
    <xf numFmtId="0" fontId="28" fillId="7" borderId="29" xfId="0" applyFont="1" applyFill="1" applyBorder="1" applyAlignment="1">
      <alignment vertical="top" wrapText="1"/>
    </xf>
    <xf numFmtId="0" fontId="1" fillId="0" borderId="28" xfId="0" applyFont="1" applyBorder="1" applyAlignment="1">
      <alignment horizontal="center" vertical="center" textRotation="90" wrapText="1"/>
    </xf>
    <xf numFmtId="49" fontId="2" fillId="0" borderId="20"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49" fontId="2" fillId="0" borderId="11" xfId="0" applyNumberFormat="1" applyFont="1" applyBorder="1" applyAlignment="1">
      <alignment horizontal="center" vertical="top" textRotation="90" wrapText="1"/>
    </xf>
    <xf numFmtId="0" fontId="9" fillId="0" borderId="28" xfId="0" applyFont="1" applyBorder="1" applyAlignment="1">
      <alignment horizontal="center" textRotation="90" wrapText="1"/>
    </xf>
    <xf numFmtId="166" fontId="3" fillId="7" borderId="28" xfId="0" applyNumberFormat="1" applyFont="1" applyFill="1" applyBorder="1" applyAlignment="1">
      <alignment horizontal="center" vertical="center" textRotation="90" wrapText="1"/>
    </xf>
    <xf numFmtId="166" fontId="4" fillId="7" borderId="11" xfId="0" applyNumberFormat="1" applyFont="1" applyFill="1" applyBorder="1" applyAlignment="1">
      <alignment horizontal="center" vertical="center" textRotation="90"/>
    </xf>
    <xf numFmtId="166" fontId="4" fillId="7" borderId="28" xfId="0" applyNumberFormat="1" applyFont="1" applyFill="1" applyBorder="1" applyAlignment="1">
      <alignment horizontal="center" vertical="center" textRotation="90"/>
    </xf>
    <xf numFmtId="166" fontId="4" fillId="7" borderId="20" xfId="0" applyNumberFormat="1" applyFont="1" applyFill="1" applyBorder="1" applyAlignment="1">
      <alignment horizontal="center" vertical="center" textRotation="90"/>
    </xf>
    <xf numFmtId="166" fontId="4" fillId="2" borderId="33" xfId="0" applyNumberFormat="1" applyFont="1" applyFill="1" applyBorder="1" applyAlignment="1">
      <alignment horizontal="right" vertical="top"/>
    </xf>
    <xf numFmtId="3" fontId="3" fillId="0" borderId="0" xfId="0" applyNumberFormat="1" applyFont="1" applyFill="1" applyBorder="1" applyAlignment="1">
      <alignment horizontal="left" vertical="top" wrapText="1"/>
    </xf>
    <xf numFmtId="0" fontId="0" fillId="0" borderId="0" xfId="0" applyAlignment="1">
      <alignment horizontal="left" vertical="top" wrapText="1"/>
    </xf>
    <xf numFmtId="166" fontId="3" fillId="0" borderId="26" xfId="0" applyNumberFormat="1" applyFont="1" applyBorder="1" applyAlignment="1">
      <alignment horizontal="center" vertical="top" wrapText="1"/>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166" fontId="9" fillId="7" borderId="49" xfId="0" applyNumberFormat="1" applyFont="1" applyFill="1" applyBorder="1" applyAlignment="1">
      <alignment vertical="top" wrapText="1"/>
    </xf>
    <xf numFmtId="0" fontId="0" fillId="0" borderId="28" xfId="0" applyBorder="1" applyAlignment="1">
      <alignment horizontal="center"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CCFFCC"/>
      <color rgb="FFE9C9C7"/>
      <color rgb="FFFFCCFF"/>
      <color rgb="FF99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259"/>
  <sheetViews>
    <sheetView tabSelected="1" zoomScaleNormal="100" zoomScaleSheetLayoutView="100" workbookViewId="0">
      <selection activeCell="T16" sqref="T16"/>
    </sheetView>
  </sheetViews>
  <sheetFormatPr defaultRowHeight="12.75" x14ac:dyDescent="0.2"/>
  <cols>
    <col min="1" max="2" width="2.7109375" style="2" customWidth="1"/>
    <col min="3" max="3" width="2.7109375" style="781" customWidth="1"/>
    <col min="4" max="4" width="36.28515625" style="2" customWidth="1"/>
    <col min="5" max="5" width="2.85546875" style="8" customWidth="1"/>
    <col min="6" max="6" width="5.140625" style="11" customWidth="1"/>
    <col min="7" max="7" width="7.85546875" style="3" customWidth="1"/>
    <col min="8" max="8" width="9.5703125" style="2" customWidth="1"/>
    <col min="9" max="9" width="8.28515625" style="2" customWidth="1"/>
    <col min="10" max="10" width="9.42578125" style="2" customWidth="1"/>
    <col min="11" max="11" width="38.7109375" style="2" customWidth="1"/>
    <col min="12" max="12" width="4" style="2" customWidth="1"/>
    <col min="13" max="14" width="3.85546875" style="2" customWidth="1"/>
    <col min="15" max="15" width="9.140625" style="1"/>
    <col min="16" max="16" width="6.7109375" style="1301" customWidth="1"/>
    <col min="17" max="53" width="9.140625" style="1301"/>
    <col min="54" max="16384" width="9.140625" style="1"/>
  </cols>
  <sheetData>
    <row r="1" spans="1:53" s="173" customFormat="1" ht="38.25" customHeight="1" x14ac:dyDescent="0.25">
      <c r="B1" s="783"/>
      <c r="C1" s="783"/>
      <c r="D1" s="783"/>
      <c r="E1" s="783"/>
      <c r="K1" s="1891" t="s">
        <v>362</v>
      </c>
      <c r="L1" s="1891"/>
      <c r="M1" s="1891"/>
      <c r="N1" s="1891"/>
      <c r="P1" s="783"/>
      <c r="Q1" s="783"/>
      <c r="R1" s="783"/>
      <c r="S1" s="783"/>
      <c r="T1" s="783"/>
      <c r="U1" s="783"/>
      <c r="V1" s="783"/>
      <c r="W1" s="783"/>
      <c r="X1" s="783"/>
      <c r="Y1" s="783"/>
      <c r="Z1" s="783"/>
      <c r="AA1" s="783"/>
      <c r="AB1" s="783"/>
      <c r="AC1" s="783"/>
      <c r="AD1" s="783"/>
      <c r="AE1" s="783"/>
      <c r="AF1" s="783"/>
      <c r="AG1" s="783"/>
      <c r="AH1" s="783"/>
      <c r="AI1" s="783"/>
      <c r="AJ1" s="783"/>
      <c r="AK1" s="783"/>
      <c r="AL1" s="783"/>
      <c r="AM1" s="783"/>
      <c r="AN1" s="783"/>
      <c r="AO1" s="783"/>
      <c r="AP1" s="783"/>
      <c r="AQ1" s="783"/>
      <c r="AR1" s="783"/>
      <c r="AS1" s="783"/>
      <c r="AT1" s="783"/>
      <c r="AU1" s="783"/>
      <c r="AV1" s="783"/>
      <c r="AW1" s="783"/>
      <c r="AX1" s="783"/>
      <c r="AY1" s="783"/>
      <c r="AZ1" s="783"/>
      <c r="BA1" s="783"/>
    </row>
    <row r="2" spans="1:53" s="173" customFormat="1" ht="12.75" customHeight="1" x14ac:dyDescent="0.25">
      <c r="B2" s="783"/>
      <c r="C2" s="783"/>
      <c r="D2" s="783"/>
      <c r="E2" s="783"/>
      <c r="K2" s="779"/>
      <c r="L2" s="779"/>
      <c r="M2" s="779"/>
      <c r="N2" s="779"/>
      <c r="P2" s="783"/>
      <c r="Q2" s="783"/>
      <c r="R2" s="783"/>
      <c r="S2" s="783"/>
      <c r="T2" s="783"/>
      <c r="U2" s="783"/>
      <c r="V2" s="783"/>
      <c r="W2" s="783"/>
      <c r="X2" s="783"/>
      <c r="Y2" s="783"/>
      <c r="Z2" s="783"/>
      <c r="AA2" s="783"/>
      <c r="AB2" s="783"/>
      <c r="AC2" s="783"/>
      <c r="AD2" s="783"/>
      <c r="AE2" s="783"/>
      <c r="AF2" s="783"/>
      <c r="AG2" s="783"/>
      <c r="AH2" s="783"/>
      <c r="AI2" s="783"/>
      <c r="AJ2" s="783"/>
      <c r="AK2" s="783"/>
      <c r="AL2" s="783"/>
      <c r="AM2" s="783"/>
      <c r="AN2" s="783"/>
      <c r="AO2" s="783"/>
      <c r="AP2" s="783"/>
      <c r="AQ2" s="783"/>
      <c r="AR2" s="783"/>
      <c r="AS2" s="783"/>
      <c r="AT2" s="783"/>
      <c r="AU2" s="783"/>
      <c r="AV2" s="783"/>
      <c r="AW2" s="783"/>
      <c r="AX2" s="783"/>
      <c r="AY2" s="783"/>
      <c r="AZ2" s="783"/>
      <c r="BA2" s="783"/>
    </row>
    <row r="3" spans="1:53" s="173" customFormat="1" ht="13.5" customHeight="1" x14ac:dyDescent="0.25">
      <c r="B3" s="783"/>
      <c r="C3" s="783"/>
      <c r="D3" s="783"/>
      <c r="E3" s="783"/>
      <c r="K3" s="779"/>
      <c r="L3" s="779"/>
      <c r="M3" s="779"/>
      <c r="N3" s="779"/>
      <c r="P3" s="783"/>
      <c r="Q3" s="783"/>
      <c r="R3" s="783"/>
      <c r="S3" s="783"/>
      <c r="T3" s="783"/>
      <c r="U3" s="783"/>
      <c r="V3" s="783"/>
      <c r="W3" s="783"/>
      <c r="X3" s="783"/>
      <c r="Y3" s="783"/>
      <c r="Z3" s="783"/>
      <c r="AA3" s="783"/>
      <c r="AB3" s="783"/>
      <c r="AC3" s="783"/>
      <c r="AD3" s="783"/>
      <c r="AE3" s="783"/>
      <c r="AF3" s="783"/>
      <c r="AG3" s="783"/>
      <c r="AH3" s="783"/>
      <c r="AI3" s="783"/>
      <c r="AJ3" s="783"/>
      <c r="AK3" s="783"/>
      <c r="AL3" s="783"/>
      <c r="AM3" s="783"/>
      <c r="AN3" s="783"/>
      <c r="AO3" s="783"/>
      <c r="AP3" s="783"/>
      <c r="AQ3" s="783"/>
      <c r="AR3" s="783"/>
      <c r="AS3" s="783"/>
      <c r="AT3" s="783"/>
      <c r="AU3" s="783"/>
      <c r="AV3" s="783"/>
      <c r="AW3" s="783"/>
      <c r="AX3" s="783"/>
      <c r="AY3" s="783"/>
      <c r="AZ3" s="783"/>
      <c r="BA3" s="783"/>
    </row>
    <row r="4" spans="1:53" s="41" customFormat="1" ht="15" x14ac:dyDescent="0.2">
      <c r="A4" s="1892" t="s">
        <v>337</v>
      </c>
      <c r="B4" s="1892"/>
      <c r="C4" s="1892"/>
      <c r="D4" s="1892"/>
      <c r="E4" s="1892"/>
      <c r="F4" s="1892"/>
      <c r="G4" s="1892"/>
      <c r="H4" s="1892"/>
      <c r="I4" s="1892"/>
      <c r="J4" s="1892"/>
      <c r="K4" s="1892"/>
      <c r="L4" s="1892"/>
      <c r="M4" s="1892"/>
      <c r="N4" s="1892"/>
      <c r="P4" s="1404"/>
      <c r="Q4" s="1404"/>
      <c r="R4" s="1404"/>
      <c r="S4" s="1404"/>
      <c r="T4" s="1404"/>
      <c r="U4" s="1404"/>
      <c r="V4" s="1404"/>
      <c r="W4" s="1404"/>
      <c r="X4" s="1404"/>
      <c r="Y4" s="1404"/>
      <c r="Z4" s="1404"/>
      <c r="AA4" s="1404"/>
      <c r="AB4" s="1404"/>
      <c r="AC4" s="1404"/>
      <c r="AD4" s="1404"/>
      <c r="AE4" s="1404"/>
      <c r="AF4" s="1404"/>
      <c r="AG4" s="1404"/>
      <c r="AH4" s="1404"/>
      <c r="AI4" s="1404"/>
      <c r="AJ4" s="1404"/>
      <c r="AK4" s="1404"/>
      <c r="AL4" s="1404"/>
      <c r="AM4" s="1404"/>
      <c r="AN4" s="1404"/>
      <c r="AO4" s="1404"/>
      <c r="AP4" s="1404"/>
      <c r="AQ4" s="1404"/>
      <c r="AR4" s="1404"/>
      <c r="AS4" s="1404"/>
      <c r="AT4" s="1404"/>
      <c r="AU4" s="1404"/>
      <c r="AV4" s="1404"/>
      <c r="AW4" s="1404"/>
      <c r="AX4" s="1404"/>
      <c r="AY4" s="1404"/>
      <c r="AZ4" s="1404"/>
      <c r="BA4" s="1404"/>
    </row>
    <row r="5" spans="1:53" ht="15.75" customHeight="1" x14ac:dyDescent="0.2">
      <c r="A5" s="1893" t="s">
        <v>29</v>
      </c>
      <c r="B5" s="1893"/>
      <c r="C5" s="1893"/>
      <c r="D5" s="1893"/>
      <c r="E5" s="1893"/>
      <c r="F5" s="1893"/>
      <c r="G5" s="1893"/>
      <c r="H5" s="1893"/>
      <c r="I5" s="1893"/>
      <c r="J5" s="1893"/>
      <c r="K5" s="1893"/>
      <c r="L5" s="1893"/>
      <c r="M5" s="1893"/>
      <c r="N5" s="1893"/>
    </row>
    <row r="6" spans="1:53" ht="15" customHeight="1" x14ac:dyDescent="0.2">
      <c r="A6" s="1894" t="s">
        <v>17</v>
      </c>
      <c r="B6" s="1894"/>
      <c r="C6" s="1894"/>
      <c r="D6" s="1894"/>
      <c r="E6" s="1894"/>
      <c r="F6" s="1894"/>
      <c r="G6" s="1894"/>
      <c r="H6" s="1894"/>
      <c r="I6" s="1894"/>
      <c r="J6" s="1894"/>
      <c r="K6" s="1894"/>
      <c r="L6" s="1894"/>
      <c r="M6" s="1894"/>
      <c r="N6" s="1894"/>
    </row>
    <row r="7" spans="1:53" ht="15" customHeight="1" thickBot="1" x14ac:dyDescent="0.25">
      <c r="A7" s="16"/>
      <c r="B7" s="16"/>
      <c r="C7" s="780"/>
      <c r="D7" s="16"/>
      <c r="E7" s="17"/>
      <c r="F7" s="18"/>
      <c r="G7" s="290"/>
      <c r="H7" s="16"/>
      <c r="I7" s="16"/>
      <c r="J7" s="16"/>
      <c r="K7" s="1895" t="s">
        <v>119</v>
      </c>
      <c r="L7" s="1895"/>
      <c r="M7" s="1895"/>
      <c r="N7" s="1896"/>
    </row>
    <row r="8" spans="1:53" s="41" customFormat="1" ht="46.5" customHeight="1" x14ac:dyDescent="0.2">
      <c r="A8" s="1897" t="s">
        <v>18</v>
      </c>
      <c r="B8" s="1900" t="s">
        <v>0</v>
      </c>
      <c r="C8" s="1903" t="s">
        <v>1</v>
      </c>
      <c r="D8" s="1906" t="s">
        <v>12</v>
      </c>
      <c r="E8" s="1871" t="s">
        <v>2</v>
      </c>
      <c r="F8" s="1874" t="s">
        <v>3</v>
      </c>
      <c r="G8" s="1877" t="s">
        <v>4</v>
      </c>
      <c r="H8" s="1861" t="s">
        <v>310</v>
      </c>
      <c r="I8" s="1861" t="s">
        <v>156</v>
      </c>
      <c r="J8" s="1861" t="s">
        <v>217</v>
      </c>
      <c r="K8" s="1864" t="s">
        <v>11</v>
      </c>
      <c r="L8" s="1865"/>
      <c r="M8" s="1865"/>
      <c r="N8" s="1866"/>
      <c r="P8" s="1404"/>
      <c r="Q8" s="1404"/>
      <c r="R8" s="1404"/>
      <c r="S8" s="1404"/>
      <c r="T8" s="1404"/>
      <c r="U8" s="1404"/>
      <c r="V8" s="1404"/>
      <c r="W8" s="1404"/>
      <c r="X8" s="1404"/>
      <c r="Y8" s="1404"/>
      <c r="Z8" s="1404"/>
      <c r="AA8" s="1404"/>
      <c r="AB8" s="1404"/>
      <c r="AC8" s="1404"/>
      <c r="AD8" s="1404"/>
      <c r="AE8" s="1404"/>
      <c r="AF8" s="1404"/>
      <c r="AG8" s="1404"/>
      <c r="AH8" s="1404"/>
      <c r="AI8" s="1404"/>
      <c r="AJ8" s="1404"/>
      <c r="AK8" s="1404"/>
      <c r="AL8" s="1404"/>
      <c r="AM8" s="1404"/>
      <c r="AN8" s="1404"/>
      <c r="AO8" s="1404"/>
      <c r="AP8" s="1404"/>
      <c r="AQ8" s="1404"/>
      <c r="AR8" s="1404"/>
      <c r="AS8" s="1404"/>
      <c r="AT8" s="1404"/>
      <c r="AU8" s="1404"/>
      <c r="AV8" s="1404"/>
      <c r="AW8" s="1404"/>
      <c r="AX8" s="1404"/>
      <c r="AY8" s="1404"/>
      <c r="AZ8" s="1404"/>
      <c r="BA8" s="1404"/>
    </row>
    <row r="9" spans="1:53" s="41" customFormat="1" ht="18.75" customHeight="1" x14ac:dyDescent="0.2">
      <c r="A9" s="1898"/>
      <c r="B9" s="1901"/>
      <c r="C9" s="1904"/>
      <c r="D9" s="1907"/>
      <c r="E9" s="1872"/>
      <c r="F9" s="1875"/>
      <c r="G9" s="1878"/>
      <c r="H9" s="1880"/>
      <c r="I9" s="1862"/>
      <c r="J9" s="1862"/>
      <c r="K9" s="1867" t="s">
        <v>12</v>
      </c>
      <c r="L9" s="1869" t="s">
        <v>100</v>
      </c>
      <c r="M9" s="1869"/>
      <c r="N9" s="1870"/>
      <c r="P9" s="1404"/>
      <c r="Q9" s="1404"/>
      <c r="R9" s="1404"/>
      <c r="S9" s="1404"/>
      <c r="T9" s="1404"/>
      <c r="U9" s="1404"/>
      <c r="V9" s="1404"/>
      <c r="W9" s="1404"/>
      <c r="X9" s="1404"/>
      <c r="Y9" s="1404"/>
      <c r="Z9" s="1404"/>
      <c r="AA9" s="1404"/>
      <c r="AB9" s="1404"/>
      <c r="AC9" s="1404"/>
      <c r="AD9" s="1404"/>
      <c r="AE9" s="1404"/>
      <c r="AF9" s="1404"/>
      <c r="AG9" s="1404"/>
      <c r="AH9" s="1404"/>
      <c r="AI9" s="1404"/>
      <c r="AJ9" s="1404"/>
      <c r="AK9" s="1404"/>
      <c r="AL9" s="1404"/>
      <c r="AM9" s="1404"/>
      <c r="AN9" s="1404"/>
      <c r="AO9" s="1404"/>
      <c r="AP9" s="1404"/>
      <c r="AQ9" s="1404"/>
      <c r="AR9" s="1404"/>
      <c r="AS9" s="1404"/>
      <c r="AT9" s="1404"/>
      <c r="AU9" s="1404"/>
      <c r="AV9" s="1404"/>
      <c r="AW9" s="1404"/>
      <c r="AX9" s="1404"/>
      <c r="AY9" s="1404"/>
      <c r="AZ9" s="1404"/>
      <c r="BA9" s="1404"/>
    </row>
    <row r="10" spans="1:53" s="41" customFormat="1" ht="57.75" customHeight="1" thickBot="1" x14ac:dyDescent="0.25">
      <c r="A10" s="1899"/>
      <c r="B10" s="1902"/>
      <c r="C10" s="1905"/>
      <c r="D10" s="1908"/>
      <c r="E10" s="1873"/>
      <c r="F10" s="1876"/>
      <c r="G10" s="1879"/>
      <c r="H10" s="1881"/>
      <c r="I10" s="1863"/>
      <c r="J10" s="1863"/>
      <c r="K10" s="1868"/>
      <c r="L10" s="175" t="s">
        <v>108</v>
      </c>
      <c r="M10" s="176" t="s">
        <v>157</v>
      </c>
      <c r="N10" s="177" t="s">
        <v>218</v>
      </c>
      <c r="P10" s="1404"/>
      <c r="Q10" s="1404"/>
      <c r="R10" s="1404"/>
      <c r="S10" s="1404"/>
      <c r="T10" s="1404"/>
      <c r="U10" s="1404"/>
      <c r="V10" s="1404"/>
      <c r="W10" s="1404"/>
      <c r="X10" s="1404"/>
      <c r="Y10" s="1404"/>
      <c r="Z10" s="1404"/>
      <c r="AA10" s="1404"/>
      <c r="AB10" s="1404"/>
      <c r="AC10" s="1404"/>
      <c r="AD10" s="1404"/>
      <c r="AE10" s="1404"/>
      <c r="AF10" s="1404"/>
      <c r="AG10" s="1404"/>
      <c r="AH10" s="1404"/>
      <c r="AI10" s="1404"/>
      <c r="AJ10" s="1404"/>
      <c r="AK10" s="1404"/>
      <c r="AL10" s="1404"/>
      <c r="AM10" s="1404"/>
      <c r="AN10" s="1404"/>
      <c r="AO10" s="1404"/>
      <c r="AP10" s="1404"/>
      <c r="AQ10" s="1404"/>
      <c r="AR10" s="1404"/>
      <c r="AS10" s="1404"/>
      <c r="AT10" s="1404"/>
      <c r="AU10" s="1404"/>
      <c r="AV10" s="1404"/>
      <c r="AW10" s="1404"/>
      <c r="AX10" s="1404"/>
      <c r="AY10" s="1404"/>
      <c r="AZ10" s="1404"/>
      <c r="BA10" s="1404"/>
    </row>
    <row r="11" spans="1:53" s="10" customFormat="1" ht="14.25" customHeight="1" x14ac:dyDescent="0.2">
      <c r="A11" s="1909" t="s">
        <v>63</v>
      </c>
      <c r="B11" s="1910"/>
      <c r="C11" s="1910"/>
      <c r="D11" s="1910"/>
      <c r="E11" s="1910"/>
      <c r="F11" s="1910"/>
      <c r="G11" s="1910"/>
      <c r="H11" s="1910"/>
      <c r="I11" s="1910"/>
      <c r="J11" s="1910"/>
      <c r="K11" s="1910"/>
      <c r="L11" s="1910"/>
      <c r="M11" s="1910"/>
      <c r="N11" s="1911"/>
      <c r="P11" s="1405"/>
      <c r="Q11" s="1405"/>
      <c r="R11" s="1405"/>
      <c r="S11" s="1405"/>
      <c r="T11" s="1405"/>
      <c r="U11" s="1405"/>
      <c r="V11" s="1405"/>
      <c r="W11" s="1405"/>
      <c r="X11" s="1405"/>
      <c r="Y11" s="1405"/>
      <c r="Z11" s="1405"/>
      <c r="AA11" s="1405"/>
      <c r="AB11" s="1405"/>
      <c r="AC11" s="1405"/>
      <c r="AD11" s="1405"/>
      <c r="AE11" s="1405"/>
      <c r="AF11" s="1405"/>
      <c r="AG11" s="1405"/>
      <c r="AH11" s="1405"/>
      <c r="AI11" s="1405"/>
      <c r="AJ11" s="1405"/>
      <c r="AK11" s="1405"/>
      <c r="AL11" s="1405"/>
      <c r="AM11" s="1405"/>
      <c r="AN11" s="1405"/>
      <c r="AO11" s="1405"/>
      <c r="AP11" s="1405"/>
      <c r="AQ11" s="1405"/>
      <c r="AR11" s="1405"/>
      <c r="AS11" s="1405"/>
      <c r="AT11" s="1405"/>
      <c r="AU11" s="1405"/>
      <c r="AV11" s="1405"/>
      <c r="AW11" s="1405"/>
      <c r="AX11" s="1405"/>
      <c r="AY11" s="1405"/>
      <c r="AZ11" s="1405"/>
      <c r="BA11" s="1405"/>
    </row>
    <row r="12" spans="1:53" s="10" customFormat="1" ht="14.25" customHeight="1" x14ac:dyDescent="0.2">
      <c r="A12" s="1912" t="s">
        <v>26</v>
      </c>
      <c r="B12" s="1913"/>
      <c r="C12" s="1913"/>
      <c r="D12" s="1913"/>
      <c r="E12" s="1913"/>
      <c r="F12" s="1913"/>
      <c r="G12" s="1913"/>
      <c r="H12" s="1913"/>
      <c r="I12" s="1913"/>
      <c r="J12" s="1913"/>
      <c r="K12" s="1913"/>
      <c r="L12" s="1913"/>
      <c r="M12" s="1913"/>
      <c r="N12" s="1914"/>
      <c r="P12" s="1405"/>
      <c r="Q12" s="1405"/>
      <c r="R12" s="1405"/>
      <c r="S12" s="1405"/>
      <c r="T12" s="1405"/>
      <c r="U12" s="1405"/>
      <c r="V12" s="1405"/>
      <c r="W12" s="1405"/>
      <c r="X12" s="1405"/>
      <c r="Y12" s="1405"/>
      <c r="Z12" s="1405"/>
      <c r="AA12" s="1405"/>
      <c r="AB12" s="1405"/>
      <c r="AC12" s="1405"/>
      <c r="AD12" s="1405"/>
      <c r="AE12" s="1405"/>
      <c r="AF12" s="1405"/>
      <c r="AG12" s="1405"/>
      <c r="AH12" s="1405"/>
      <c r="AI12" s="1405"/>
      <c r="AJ12" s="1405"/>
      <c r="AK12" s="1405"/>
      <c r="AL12" s="1405"/>
      <c r="AM12" s="1405"/>
      <c r="AN12" s="1405"/>
      <c r="AO12" s="1405"/>
      <c r="AP12" s="1405"/>
      <c r="AQ12" s="1405"/>
      <c r="AR12" s="1405"/>
      <c r="AS12" s="1405"/>
      <c r="AT12" s="1405"/>
      <c r="AU12" s="1405"/>
      <c r="AV12" s="1405"/>
      <c r="AW12" s="1405"/>
      <c r="AX12" s="1405"/>
      <c r="AY12" s="1405"/>
      <c r="AZ12" s="1405"/>
      <c r="BA12" s="1405"/>
    </row>
    <row r="13" spans="1:53" ht="16.5" customHeight="1" x14ac:dyDescent="0.2">
      <c r="A13" s="20" t="s">
        <v>5</v>
      </c>
      <c r="B13" s="1915" t="s">
        <v>30</v>
      </c>
      <c r="C13" s="1916"/>
      <c r="D13" s="1916"/>
      <c r="E13" s="1916"/>
      <c r="F13" s="1916"/>
      <c r="G13" s="1916"/>
      <c r="H13" s="1916"/>
      <c r="I13" s="1916"/>
      <c r="J13" s="1916"/>
      <c r="K13" s="1916"/>
      <c r="L13" s="1916"/>
      <c r="M13" s="1916"/>
      <c r="N13" s="1917"/>
    </row>
    <row r="14" spans="1:53" ht="15" customHeight="1" x14ac:dyDescent="0.2">
      <c r="A14" s="289" t="s">
        <v>5</v>
      </c>
      <c r="B14" s="13" t="s">
        <v>5</v>
      </c>
      <c r="C14" s="1918" t="s">
        <v>31</v>
      </c>
      <c r="D14" s="1919"/>
      <c r="E14" s="1919"/>
      <c r="F14" s="1919"/>
      <c r="G14" s="1919"/>
      <c r="H14" s="1919"/>
      <c r="I14" s="1919"/>
      <c r="J14" s="1919"/>
      <c r="K14" s="1919"/>
      <c r="L14" s="1919"/>
      <c r="M14" s="1919"/>
      <c r="N14" s="1920"/>
    </row>
    <row r="15" spans="1:53" ht="16.5" customHeight="1" x14ac:dyDescent="0.2">
      <c r="A15" s="762" t="s">
        <v>5</v>
      </c>
      <c r="B15" s="763" t="s">
        <v>5</v>
      </c>
      <c r="C15" s="728" t="s">
        <v>5</v>
      </c>
      <c r="D15" s="1683" t="s">
        <v>49</v>
      </c>
      <c r="E15" s="1685" t="s">
        <v>91</v>
      </c>
      <c r="F15" s="772" t="s">
        <v>43</v>
      </c>
      <c r="G15" s="39" t="s">
        <v>25</v>
      </c>
      <c r="H15" s="784">
        <v>426</v>
      </c>
      <c r="I15" s="789">
        <f>2131.6+25</f>
        <v>2156.6</v>
      </c>
      <c r="J15" s="784">
        <f>634.9-25+350+1</f>
        <v>960.9</v>
      </c>
      <c r="K15" s="414"/>
      <c r="L15" s="415"/>
      <c r="M15" s="416"/>
      <c r="N15" s="417"/>
    </row>
    <row r="16" spans="1:53" ht="14.25" customHeight="1" x14ac:dyDescent="0.2">
      <c r="A16" s="762"/>
      <c r="B16" s="763"/>
      <c r="C16" s="728"/>
      <c r="D16" s="1684"/>
      <c r="E16" s="1686"/>
      <c r="F16" s="772"/>
      <c r="G16" s="39" t="s">
        <v>106</v>
      </c>
      <c r="H16" s="784">
        <v>557.70000000000005</v>
      </c>
      <c r="I16" s="785"/>
      <c r="J16" s="784"/>
      <c r="K16" s="414"/>
      <c r="L16" s="415"/>
      <c r="M16" s="416"/>
      <c r="N16" s="418"/>
    </row>
    <row r="17" spans="1:18" ht="13.5" customHeight="1" x14ac:dyDescent="0.2">
      <c r="A17" s="762"/>
      <c r="B17" s="763"/>
      <c r="C17" s="728"/>
      <c r="D17" s="59"/>
      <c r="E17" s="1687"/>
      <c r="F17" s="975"/>
      <c r="G17" s="782" t="s">
        <v>62</v>
      </c>
      <c r="H17" s="786">
        <v>1.5</v>
      </c>
      <c r="I17" s="787"/>
      <c r="J17" s="786"/>
      <c r="K17" s="419"/>
      <c r="L17" s="420"/>
      <c r="M17" s="421"/>
      <c r="N17" s="422"/>
    </row>
    <row r="18" spans="1:18" ht="27" customHeight="1" x14ac:dyDescent="0.2">
      <c r="A18" s="1736"/>
      <c r="B18" s="1731"/>
      <c r="C18" s="1732"/>
      <c r="D18" s="1921" t="s">
        <v>173</v>
      </c>
      <c r="E18" s="832" t="s">
        <v>47</v>
      </c>
      <c r="F18" s="1732"/>
      <c r="G18" s="39"/>
      <c r="H18" s="429"/>
      <c r="I18" s="70"/>
      <c r="J18" s="66"/>
      <c r="K18" s="837" t="s">
        <v>189</v>
      </c>
      <c r="L18" s="40" t="s">
        <v>271</v>
      </c>
      <c r="M18" s="182"/>
      <c r="N18" s="788"/>
    </row>
    <row r="19" spans="1:18" ht="17.25" customHeight="1" x14ac:dyDescent="0.2">
      <c r="A19" s="1736"/>
      <c r="B19" s="1731"/>
      <c r="C19" s="1732"/>
      <c r="D19" s="1882"/>
      <c r="E19" s="1857" t="s">
        <v>118</v>
      </c>
      <c r="F19" s="1732"/>
      <c r="G19" s="39"/>
      <c r="H19" s="429"/>
      <c r="I19" s="70"/>
      <c r="J19" s="66"/>
      <c r="K19" s="1859" t="s">
        <v>420</v>
      </c>
      <c r="L19" s="481" t="s">
        <v>56</v>
      </c>
      <c r="M19" s="714"/>
      <c r="N19" s="593"/>
    </row>
    <row r="20" spans="1:18" ht="16.5" customHeight="1" x14ac:dyDescent="0.2">
      <c r="A20" s="1736"/>
      <c r="B20" s="1731"/>
      <c r="C20" s="1732"/>
      <c r="D20" s="1834"/>
      <c r="E20" s="1858"/>
      <c r="F20" s="1732"/>
      <c r="G20" s="39"/>
      <c r="H20" s="429"/>
      <c r="I20" s="70"/>
      <c r="J20" s="66"/>
      <c r="K20" s="1860"/>
      <c r="L20" s="391"/>
      <c r="M20" s="51"/>
      <c r="N20" s="594"/>
    </row>
    <row r="21" spans="1:18" ht="14.25" customHeight="1" x14ac:dyDescent="0.2">
      <c r="A21" s="1736"/>
      <c r="B21" s="1731"/>
      <c r="C21" s="1732"/>
      <c r="D21" s="1725" t="s">
        <v>201</v>
      </c>
      <c r="E21" s="373" t="s">
        <v>47</v>
      </c>
      <c r="F21" s="1778"/>
      <c r="G21" s="68"/>
      <c r="H21" s="108"/>
      <c r="I21" s="68"/>
      <c r="J21" s="138"/>
      <c r="K21" s="836" t="s">
        <v>46</v>
      </c>
      <c r="L21" s="715"/>
      <c r="M21" s="716">
        <v>1</v>
      </c>
      <c r="N21" s="717"/>
    </row>
    <row r="22" spans="1:18" ht="24.75" customHeight="1" x14ac:dyDescent="0.2">
      <c r="A22" s="1736"/>
      <c r="B22" s="1731"/>
      <c r="C22" s="1732"/>
      <c r="D22" s="1727"/>
      <c r="E22" s="835"/>
      <c r="F22" s="1778"/>
      <c r="G22" s="68"/>
      <c r="H22" s="108"/>
      <c r="I22" s="615"/>
      <c r="J22" s="924"/>
      <c r="K22" s="840"/>
      <c r="L22" s="22"/>
      <c r="M22" s="51"/>
      <c r="N22" s="33"/>
    </row>
    <row r="23" spans="1:18" ht="18.75" customHeight="1" x14ac:dyDescent="0.2">
      <c r="A23" s="726"/>
      <c r="B23" s="747"/>
      <c r="C23" s="265"/>
      <c r="D23" s="1726" t="s">
        <v>298</v>
      </c>
      <c r="E23" s="373" t="s">
        <v>47</v>
      </c>
      <c r="F23" s="97"/>
      <c r="G23" s="68"/>
      <c r="H23" s="108"/>
      <c r="I23" s="68"/>
      <c r="J23" s="66"/>
      <c r="K23" s="1852" t="s">
        <v>193</v>
      </c>
      <c r="L23" s="598">
        <v>1</v>
      </c>
      <c r="M23" s="182"/>
      <c r="N23" s="413"/>
    </row>
    <row r="24" spans="1:18" ht="24" customHeight="1" x14ac:dyDescent="0.2">
      <c r="A24" s="726"/>
      <c r="B24" s="747"/>
      <c r="C24" s="265"/>
      <c r="D24" s="1726"/>
      <c r="E24" s="1854" t="s">
        <v>118</v>
      </c>
      <c r="F24" s="97"/>
      <c r="G24" s="68"/>
      <c r="H24" s="108"/>
      <c r="I24" s="68"/>
      <c r="J24" s="66"/>
      <c r="K24" s="1853"/>
      <c r="L24" s="598"/>
      <c r="M24" s="182"/>
      <c r="N24" s="413"/>
    </row>
    <row r="25" spans="1:18" ht="27.75" customHeight="1" x14ac:dyDescent="0.2">
      <c r="A25" s="726"/>
      <c r="B25" s="747"/>
      <c r="C25" s="265"/>
      <c r="D25" s="1726"/>
      <c r="E25" s="1855"/>
      <c r="F25" s="97"/>
      <c r="G25" s="68"/>
      <c r="H25" s="108"/>
      <c r="I25" s="68"/>
      <c r="J25" s="66"/>
      <c r="K25" s="596" t="s">
        <v>194</v>
      </c>
      <c r="L25" s="597"/>
      <c r="M25" s="223">
        <v>1</v>
      </c>
      <c r="N25" s="118"/>
      <c r="Q25" s="1406"/>
    </row>
    <row r="26" spans="1:18" ht="21" customHeight="1" x14ac:dyDescent="0.2">
      <c r="A26" s="726"/>
      <c r="B26" s="747"/>
      <c r="C26" s="265"/>
      <c r="D26" s="1727"/>
      <c r="E26" s="1856"/>
      <c r="F26" s="97"/>
      <c r="G26" s="70"/>
      <c r="H26" s="108"/>
      <c r="I26" s="68"/>
      <c r="J26" s="66"/>
      <c r="K26" s="690" t="s">
        <v>195</v>
      </c>
      <c r="L26" s="22"/>
      <c r="M26" s="51">
        <v>20</v>
      </c>
      <c r="N26" s="381">
        <v>100</v>
      </c>
    </row>
    <row r="27" spans="1:18" ht="23.25" customHeight="1" x14ac:dyDescent="0.2">
      <c r="A27" s="1736"/>
      <c r="B27" s="1731"/>
      <c r="C27" s="1732"/>
      <c r="D27" s="1737" t="s">
        <v>299</v>
      </c>
      <c r="E27" s="831" t="s">
        <v>47</v>
      </c>
      <c r="F27" s="1778"/>
      <c r="G27" s="68"/>
      <c r="H27" s="108"/>
      <c r="I27" s="68"/>
      <c r="J27" s="66"/>
      <c r="K27" s="838" t="s">
        <v>219</v>
      </c>
      <c r="L27" s="631">
        <v>20</v>
      </c>
      <c r="M27" s="665">
        <v>100</v>
      </c>
      <c r="N27" s="666"/>
    </row>
    <row r="28" spans="1:18" ht="12.75" customHeight="1" x14ac:dyDescent="0.2">
      <c r="A28" s="1736"/>
      <c r="B28" s="1731"/>
      <c r="C28" s="1732"/>
      <c r="D28" s="1738"/>
      <c r="E28" s="691"/>
      <c r="F28" s="1778"/>
      <c r="G28" s="70"/>
      <c r="H28" s="108"/>
      <c r="I28" s="68"/>
      <c r="J28" s="66"/>
      <c r="K28" s="606"/>
      <c r="L28" s="193"/>
      <c r="M28" s="380"/>
      <c r="N28" s="382"/>
    </row>
    <row r="29" spans="1:18" ht="18" customHeight="1" x14ac:dyDescent="0.2">
      <c r="A29" s="726"/>
      <c r="B29" s="747"/>
      <c r="C29" s="265"/>
      <c r="D29" s="1636" t="s">
        <v>309</v>
      </c>
      <c r="E29" s="1797" t="s">
        <v>47</v>
      </c>
      <c r="F29" s="833"/>
      <c r="G29" s="68" t="s">
        <v>45</v>
      </c>
      <c r="H29" s="108">
        <v>31.2</v>
      </c>
      <c r="I29" s="199"/>
      <c r="J29" s="255"/>
      <c r="K29" s="1266" t="s">
        <v>46</v>
      </c>
      <c r="L29" s="576"/>
      <c r="M29" s="384">
        <v>1</v>
      </c>
      <c r="N29" s="308"/>
      <c r="R29" s="1406"/>
    </row>
    <row r="30" spans="1:18" ht="15" customHeight="1" x14ac:dyDescent="0.2">
      <c r="A30" s="726"/>
      <c r="B30" s="747"/>
      <c r="C30" s="102"/>
      <c r="D30" s="1794"/>
      <c r="E30" s="1846"/>
      <c r="F30" s="833"/>
      <c r="G30" s="68"/>
      <c r="H30" s="617"/>
      <c r="I30" s="199"/>
      <c r="J30" s="255"/>
      <c r="K30" s="1266"/>
      <c r="L30" s="22"/>
      <c r="M30" s="387"/>
      <c r="N30" s="23"/>
    </row>
    <row r="31" spans="1:18" ht="13.5" customHeight="1" x14ac:dyDescent="0.2">
      <c r="A31" s="726"/>
      <c r="B31" s="747"/>
      <c r="C31" s="265"/>
      <c r="D31" s="1726" t="s">
        <v>209</v>
      </c>
      <c r="E31" s="834" t="s">
        <v>47</v>
      </c>
      <c r="F31" s="97"/>
      <c r="G31" s="68"/>
      <c r="H31" s="617"/>
      <c r="I31" s="615"/>
      <c r="J31" s="924"/>
      <c r="K31" s="836" t="s">
        <v>196</v>
      </c>
      <c r="L31" s="601"/>
      <c r="M31" s="601"/>
      <c r="N31" s="602">
        <v>1</v>
      </c>
    </row>
    <row r="32" spans="1:18" ht="12" customHeight="1" x14ac:dyDescent="0.2">
      <c r="A32" s="726"/>
      <c r="B32" s="747"/>
      <c r="C32" s="102"/>
      <c r="D32" s="1727"/>
      <c r="E32" s="832"/>
      <c r="F32" s="97"/>
      <c r="G32" s="70"/>
      <c r="H32" s="617"/>
      <c r="I32" s="615"/>
      <c r="J32" s="924"/>
      <c r="K32" s="839"/>
      <c r="L32" s="605"/>
      <c r="M32" s="605"/>
      <c r="N32" s="723"/>
    </row>
    <row r="33" spans="1:14" ht="13.5" customHeight="1" x14ac:dyDescent="0.2">
      <c r="A33" s="726"/>
      <c r="B33" s="747"/>
      <c r="C33" s="731"/>
      <c r="D33" s="1754" t="s">
        <v>300</v>
      </c>
      <c r="E33" s="831" t="s">
        <v>47</v>
      </c>
      <c r="F33" s="1778"/>
      <c r="G33" s="68"/>
      <c r="H33" s="617"/>
      <c r="I33" s="68"/>
      <c r="J33" s="66"/>
      <c r="K33" s="1263" t="s">
        <v>196</v>
      </c>
      <c r="L33" s="330"/>
      <c r="M33" s="330">
        <v>1</v>
      </c>
      <c r="N33" s="186"/>
    </row>
    <row r="34" spans="1:14" ht="24.75" customHeight="1" x14ac:dyDescent="0.2">
      <c r="A34" s="726"/>
      <c r="B34" s="747"/>
      <c r="C34" s="731"/>
      <c r="D34" s="1794"/>
      <c r="E34" s="832"/>
      <c r="F34" s="1778"/>
      <c r="G34" s="68"/>
      <c r="H34" s="925"/>
      <c r="I34" s="68"/>
      <c r="J34" s="66"/>
      <c r="K34" s="1264" t="s">
        <v>376</v>
      </c>
      <c r="L34" s="330"/>
      <c r="M34" s="330"/>
      <c r="N34" s="186">
        <v>100</v>
      </c>
    </row>
    <row r="35" spans="1:14" ht="13.5" customHeight="1" x14ac:dyDescent="0.2">
      <c r="A35" s="726"/>
      <c r="B35" s="747"/>
      <c r="C35" s="265"/>
      <c r="D35" s="1726" t="s">
        <v>306</v>
      </c>
      <c r="E35" s="869" t="s">
        <v>47</v>
      </c>
      <c r="F35" s="425"/>
      <c r="G35" s="68"/>
      <c r="H35" s="108"/>
      <c r="I35" s="68"/>
      <c r="J35" s="617"/>
      <c r="K35" s="1681" t="s">
        <v>316</v>
      </c>
      <c r="L35" s="601"/>
      <c r="M35" s="601">
        <v>1</v>
      </c>
      <c r="N35" s="602"/>
    </row>
    <row r="36" spans="1:14" ht="13.5" customHeight="1" x14ac:dyDescent="0.2">
      <c r="A36" s="726"/>
      <c r="B36" s="747"/>
      <c r="C36" s="265"/>
      <c r="D36" s="1726"/>
      <c r="E36" s="869"/>
      <c r="F36" s="425"/>
      <c r="G36" s="67"/>
      <c r="H36" s="620"/>
      <c r="I36" s="618"/>
      <c r="J36" s="620"/>
      <c r="K36" s="1682"/>
      <c r="L36" s="603"/>
      <c r="M36" s="603"/>
      <c r="N36" s="604"/>
    </row>
    <row r="37" spans="1:14" ht="17.25" customHeight="1" thickBot="1" x14ac:dyDescent="0.25">
      <c r="A37" s="75"/>
      <c r="B37" s="771"/>
      <c r="C37" s="104"/>
      <c r="D37" s="914"/>
      <c r="E37" s="915"/>
      <c r="F37" s="916"/>
      <c r="G37" s="156" t="s">
        <v>6</v>
      </c>
      <c r="H37" s="446">
        <f>SUM(H15:H36)</f>
        <v>1016.4</v>
      </c>
      <c r="I37" s="156">
        <f>SUM(I15:I36)</f>
        <v>2156.6</v>
      </c>
      <c r="J37" s="156">
        <f>SUM(J15:J36)</f>
        <v>960.9</v>
      </c>
      <c r="K37" s="917"/>
      <c r="L37" s="918"/>
      <c r="M37" s="919"/>
      <c r="N37" s="920"/>
    </row>
    <row r="38" spans="1:14" ht="12.75" customHeight="1" x14ac:dyDescent="0.2">
      <c r="A38" s="768" t="s">
        <v>5</v>
      </c>
      <c r="B38" s="770" t="s">
        <v>5</v>
      </c>
      <c r="C38" s="743" t="s">
        <v>7</v>
      </c>
      <c r="D38" s="1688" t="s">
        <v>50</v>
      </c>
      <c r="E38" s="1690" t="s">
        <v>94</v>
      </c>
      <c r="F38" s="766" t="s">
        <v>43</v>
      </c>
      <c r="G38" s="426" t="s">
        <v>25</v>
      </c>
      <c r="H38" s="263">
        <v>744.6</v>
      </c>
      <c r="I38" s="217">
        <v>1130</v>
      </c>
      <c r="J38" s="263">
        <v>1442.6</v>
      </c>
      <c r="K38" s="791"/>
      <c r="L38" s="324"/>
      <c r="M38" s="324"/>
      <c r="N38" s="219"/>
    </row>
    <row r="39" spans="1:14" ht="16.5" customHeight="1" x14ac:dyDescent="0.2">
      <c r="A39" s="748"/>
      <c r="B39" s="747"/>
      <c r="C39" s="731"/>
      <c r="D39" s="1689"/>
      <c r="E39" s="1686"/>
      <c r="F39" s="740"/>
      <c r="G39" s="282" t="s">
        <v>107</v>
      </c>
      <c r="H39" s="108">
        <f>1500-1400</f>
        <v>100</v>
      </c>
      <c r="I39" s="68">
        <f>2500+650</f>
        <v>3150</v>
      </c>
      <c r="J39" s="108">
        <f>1700+750</f>
        <v>2450</v>
      </c>
      <c r="K39" s="738"/>
      <c r="L39" s="330"/>
      <c r="M39" s="330"/>
      <c r="N39" s="186"/>
    </row>
    <row r="40" spans="1:14" ht="16.5" customHeight="1" x14ac:dyDescent="0.2">
      <c r="A40" s="1339"/>
      <c r="B40" s="1335"/>
      <c r="C40" s="1336"/>
      <c r="D40" s="1361"/>
      <c r="E40" s="1686"/>
      <c r="F40" s="1338"/>
      <c r="G40" s="282" t="s">
        <v>62</v>
      </c>
      <c r="H40" s="108">
        <v>5.9</v>
      </c>
      <c r="I40" s="68"/>
      <c r="J40" s="108"/>
      <c r="K40" s="1337"/>
      <c r="L40" s="330"/>
      <c r="M40" s="330"/>
      <c r="N40" s="186"/>
    </row>
    <row r="41" spans="1:14" ht="14.25" customHeight="1" x14ac:dyDescent="0.2">
      <c r="A41" s="748"/>
      <c r="B41" s="747"/>
      <c r="C41" s="731"/>
      <c r="D41" s="1362"/>
      <c r="E41" s="1686"/>
      <c r="F41" s="740"/>
      <c r="G41" s="80" t="s">
        <v>106</v>
      </c>
      <c r="H41" s="170">
        <v>366.6</v>
      </c>
      <c r="I41" s="67"/>
      <c r="J41" s="170"/>
      <c r="K41" s="778"/>
      <c r="L41" s="22"/>
      <c r="M41" s="22"/>
      <c r="N41" s="185"/>
    </row>
    <row r="42" spans="1:14" ht="39.75" customHeight="1" x14ac:dyDescent="0.2">
      <c r="A42" s="1842"/>
      <c r="B42" s="1731"/>
      <c r="C42" s="1732"/>
      <c r="D42" s="1726" t="s">
        <v>296</v>
      </c>
      <c r="E42" s="741" t="s">
        <v>47</v>
      </c>
      <c r="F42" s="1732"/>
      <c r="G42" s="68"/>
      <c r="H42" s="108"/>
      <c r="I42" s="68"/>
      <c r="J42" s="108"/>
      <c r="K42" s="47" t="s">
        <v>204</v>
      </c>
      <c r="L42" s="745">
        <v>1</v>
      </c>
      <c r="M42" s="745"/>
      <c r="N42" s="428"/>
    </row>
    <row r="43" spans="1:14" ht="42" customHeight="1" x14ac:dyDescent="0.2">
      <c r="A43" s="1842"/>
      <c r="B43" s="1731"/>
      <c r="C43" s="1732"/>
      <c r="D43" s="1726"/>
      <c r="E43" s="741"/>
      <c r="F43" s="1732"/>
      <c r="G43" s="68"/>
      <c r="H43" s="108"/>
      <c r="I43" s="68"/>
      <c r="J43" s="108"/>
      <c r="K43" s="32" t="s">
        <v>273</v>
      </c>
      <c r="L43" s="52">
        <v>100</v>
      </c>
      <c r="M43" s="52"/>
      <c r="N43" s="196"/>
    </row>
    <row r="44" spans="1:14" ht="30" customHeight="1" x14ac:dyDescent="0.2">
      <c r="A44" s="1842"/>
      <c r="B44" s="1731"/>
      <c r="C44" s="1732"/>
      <c r="D44" s="1726"/>
      <c r="E44" s="741"/>
      <c r="F44" s="1732"/>
      <c r="G44" s="68"/>
      <c r="H44" s="108"/>
      <c r="I44" s="68"/>
      <c r="J44" s="108"/>
      <c r="K44" s="32" t="s">
        <v>274</v>
      </c>
      <c r="L44" s="52">
        <v>40</v>
      </c>
      <c r="M44" s="52">
        <v>100</v>
      </c>
      <c r="N44" s="196"/>
    </row>
    <row r="45" spans="1:14" ht="40.5" customHeight="1" x14ac:dyDescent="0.2">
      <c r="A45" s="1842"/>
      <c r="B45" s="1731"/>
      <c r="C45" s="1732"/>
      <c r="D45" s="1726"/>
      <c r="E45" s="741"/>
      <c r="F45" s="1732"/>
      <c r="G45" s="68"/>
      <c r="H45" s="108"/>
      <c r="I45" s="68"/>
      <c r="J45" s="108"/>
      <c r="K45" s="32" t="s">
        <v>365</v>
      </c>
      <c r="L45" s="52"/>
      <c r="M45" s="52">
        <v>30</v>
      </c>
      <c r="N45" s="196">
        <v>60</v>
      </c>
    </row>
    <row r="46" spans="1:14" ht="25.5" customHeight="1" x14ac:dyDescent="0.2">
      <c r="A46" s="1842"/>
      <c r="B46" s="1731"/>
      <c r="C46" s="1732"/>
      <c r="D46" s="1725" t="s">
        <v>59</v>
      </c>
      <c r="E46" s="120" t="s">
        <v>47</v>
      </c>
      <c r="F46" s="1778"/>
      <c r="G46" s="68"/>
      <c r="H46" s="108"/>
      <c r="I46" s="68"/>
      <c r="J46" s="66"/>
      <c r="K46" s="868" t="s">
        <v>198</v>
      </c>
      <c r="L46" s="744">
        <v>0</v>
      </c>
      <c r="M46" s="744">
        <v>70</v>
      </c>
      <c r="N46" s="137">
        <v>100</v>
      </c>
    </row>
    <row r="47" spans="1:14" ht="9.75" customHeight="1" x14ac:dyDescent="0.2">
      <c r="A47" s="1842"/>
      <c r="B47" s="1731"/>
      <c r="C47" s="1732"/>
      <c r="D47" s="1727"/>
      <c r="E47" s="121"/>
      <c r="F47" s="1778"/>
      <c r="G47" s="70"/>
      <c r="H47" s="108"/>
      <c r="I47" s="68"/>
      <c r="J47" s="66"/>
      <c r="K47" s="305"/>
      <c r="L47" s="48"/>
      <c r="M47" s="48"/>
      <c r="N47" s="189"/>
    </row>
    <row r="48" spans="1:14" ht="17.25" customHeight="1" x14ac:dyDescent="0.2">
      <c r="A48" s="726"/>
      <c r="B48" s="747"/>
      <c r="C48" s="97"/>
      <c r="D48" s="1725" t="s">
        <v>301</v>
      </c>
      <c r="E48" s="1841" t="s">
        <v>47</v>
      </c>
      <c r="F48" s="1838"/>
      <c r="G48" s="68"/>
      <c r="H48" s="429"/>
      <c r="I48" s="70"/>
      <c r="J48" s="424"/>
      <c r="K48" s="607" t="s">
        <v>99</v>
      </c>
      <c r="L48" s="608">
        <v>1</v>
      </c>
      <c r="M48" s="576"/>
      <c r="N48" s="742"/>
    </row>
    <row r="49" spans="1:14" ht="24" customHeight="1" x14ac:dyDescent="0.2">
      <c r="A49" s="726"/>
      <c r="B49" s="747"/>
      <c r="C49" s="97"/>
      <c r="D49" s="1726"/>
      <c r="E49" s="1832"/>
      <c r="F49" s="1838"/>
      <c r="G49" s="68"/>
      <c r="H49" s="692"/>
      <c r="I49" s="693"/>
      <c r="J49" s="927"/>
      <c r="K49" s="773"/>
      <c r="L49" s="595"/>
      <c r="M49" s="598"/>
      <c r="N49" s="186"/>
    </row>
    <row r="50" spans="1:14" ht="17.25" customHeight="1" x14ac:dyDescent="0.2">
      <c r="A50" s="726"/>
      <c r="B50" s="747"/>
      <c r="C50" s="97"/>
      <c r="D50" s="1737" t="s">
        <v>338</v>
      </c>
      <c r="E50" s="749"/>
      <c r="F50" s="752"/>
      <c r="G50" s="70"/>
      <c r="H50" s="108"/>
      <c r="I50" s="68"/>
      <c r="J50" s="108"/>
      <c r="K50" s="751" t="s">
        <v>317</v>
      </c>
      <c r="L50" s="662">
        <v>1</v>
      </c>
      <c r="M50" s="576"/>
      <c r="N50" s="742"/>
    </row>
    <row r="51" spans="1:14" ht="17.25" customHeight="1" x14ac:dyDescent="0.2">
      <c r="A51" s="726"/>
      <c r="B51" s="747"/>
      <c r="C51" s="97"/>
      <c r="D51" s="1847"/>
      <c r="E51" s="749"/>
      <c r="F51" s="752"/>
      <c r="G51" s="74"/>
      <c r="H51" s="170"/>
      <c r="I51" s="67"/>
      <c r="J51" s="170"/>
      <c r="K51" s="663" t="s">
        <v>46</v>
      </c>
      <c r="L51" s="664"/>
      <c r="M51" s="610"/>
      <c r="N51" s="185">
        <v>1</v>
      </c>
    </row>
    <row r="52" spans="1:14" ht="14.25" customHeight="1" x14ac:dyDescent="0.2">
      <c r="A52" s="726"/>
      <c r="B52" s="747"/>
      <c r="C52" s="97"/>
      <c r="D52" s="1725" t="s">
        <v>339</v>
      </c>
      <c r="E52" s="1841" t="s">
        <v>47</v>
      </c>
      <c r="F52" s="1835"/>
      <c r="G52" s="68" t="s">
        <v>45</v>
      </c>
      <c r="H52" s="429"/>
      <c r="I52" s="70"/>
      <c r="J52" s="429">
        <v>95</v>
      </c>
      <c r="K52" s="773" t="s">
        <v>99</v>
      </c>
      <c r="L52" s="595"/>
      <c r="M52" s="598"/>
      <c r="N52" s="186">
        <v>1</v>
      </c>
    </row>
    <row r="53" spans="1:14" ht="17.25" customHeight="1" x14ac:dyDescent="0.2">
      <c r="A53" s="726"/>
      <c r="B53" s="747"/>
      <c r="C53" s="97"/>
      <c r="D53" s="1726"/>
      <c r="E53" s="1832"/>
      <c r="F53" s="1835"/>
      <c r="G53" s="74"/>
      <c r="H53" s="170"/>
      <c r="I53" s="67"/>
      <c r="J53" s="170"/>
      <c r="K53" s="661"/>
      <c r="L53" s="595"/>
      <c r="M53" s="598"/>
      <c r="N53" s="186"/>
    </row>
    <row r="54" spans="1:14" ht="17.25" customHeight="1" thickBot="1" x14ac:dyDescent="0.25">
      <c r="A54" s="75"/>
      <c r="B54" s="873"/>
      <c r="C54" s="104"/>
      <c r="D54" s="914"/>
      <c r="E54" s="915"/>
      <c r="F54" s="916"/>
      <c r="G54" s="156" t="s">
        <v>6</v>
      </c>
      <c r="H54" s="446">
        <f>SUM(H38:H53)</f>
        <v>1217.0999999999999</v>
      </c>
      <c r="I54" s="446">
        <f>SUM(I38:I53)</f>
        <v>4280</v>
      </c>
      <c r="J54" s="446">
        <f>SUM(J38:J53)</f>
        <v>3987.6</v>
      </c>
      <c r="K54" s="917"/>
      <c r="L54" s="918"/>
      <c r="M54" s="919"/>
      <c r="N54" s="920"/>
    </row>
    <row r="55" spans="1:14" ht="15" customHeight="1" x14ac:dyDescent="0.2">
      <c r="A55" s="726" t="s">
        <v>5</v>
      </c>
      <c r="B55" s="727" t="s">
        <v>5</v>
      </c>
      <c r="C55" s="731" t="s">
        <v>28</v>
      </c>
      <c r="D55" s="1848" t="s">
        <v>102</v>
      </c>
      <c r="E55" s="1850" t="s">
        <v>96</v>
      </c>
      <c r="F55" s="766" t="s">
        <v>43</v>
      </c>
      <c r="G55" s="217" t="s">
        <v>25</v>
      </c>
      <c r="H55" s="263">
        <v>326</v>
      </c>
      <c r="I55" s="217">
        <f>633.9+875.5-263.4</f>
        <v>1246</v>
      </c>
      <c r="J55" s="214">
        <f>2792.4-328.6</f>
        <v>2463.8000000000002</v>
      </c>
      <c r="K55" s="427"/>
      <c r="L55" s="432"/>
      <c r="M55" s="792"/>
      <c r="N55" s="793"/>
    </row>
    <row r="56" spans="1:14" ht="16.5" customHeight="1" x14ac:dyDescent="0.2">
      <c r="A56" s="726"/>
      <c r="B56" s="727"/>
      <c r="C56" s="731"/>
      <c r="D56" s="1849"/>
      <c r="E56" s="1851"/>
      <c r="F56" s="740"/>
      <c r="G56" s="68" t="s">
        <v>107</v>
      </c>
      <c r="H56" s="108">
        <f>860-300</f>
        <v>560</v>
      </c>
      <c r="I56" s="68">
        <v>1000</v>
      </c>
      <c r="J56" s="108"/>
      <c r="K56" s="738"/>
      <c r="L56" s="496"/>
      <c r="M56" s="497"/>
      <c r="N56" s="413"/>
    </row>
    <row r="57" spans="1:14" ht="14.25" customHeight="1" x14ac:dyDescent="0.2">
      <c r="A57" s="726"/>
      <c r="B57" s="727"/>
      <c r="C57" s="731"/>
      <c r="D57" s="1849"/>
      <c r="E57" s="1851"/>
      <c r="F57" s="740"/>
      <c r="G57" s="68" t="s">
        <v>106</v>
      </c>
      <c r="H57" s="108">
        <v>198.4</v>
      </c>
      <c r="I57" s="68"/>
      <c r="J57" s="108"/>
      <c r="K57" s="738"/>
      <c r="L57" s="496"/>
      <c r="M57" s="497"/>
      <c r="N57" s="413"/>
    </row>
    <row r="58" spans="1:14" ht="15.75" customHeight="1" x14ac:dyDescent="0.2">
      <c r="A58" s="726"/>
      <c r="B58" s="727"/>
      <c r="C58" s="731"/>
      <c r="D58" s="1834"/>
      <c r="E58" s="1686"/>
      <c r="F58" s="740"/>
      <c r="G58" s="67" t="s">
        <v>62</v>
      </c>
      <c r="H58" s="170">
        <f>420-260+295</f>
        <v>455</v>
      </c>
      <c r="I58" s="67"/>
      <c r="J58" s="204"/>
      <c r="K58" s="738"/>
      <c r="L58" s="496"/>
      <c r="M58" s="497"/>
      <c r="N58" s="413"/>
    </row>
    <row r="59" spans="1:14" ht="14.1" customHeight="1" x14ac:dyDescent="0.2">
      <c r="A59" s="1736"/>
      <c r="B59" s="1788"/>
      <c r="C59" s="1732"/>
      <c r="D59" s="1843" t="s">
        <v>178</v>
      </c>
      <c r="E59" s="1845" t="s">
        <v>47</v>
      </c>
      <c r="F59" s="1789"/>
      <c r="G59" s="68" t="s">
        <v>44</v>
      </c>
      <c r="H59" s="429">
        <v>984.5</v>
      </c>
      <c r="I59" s="70">
        <v>846.2</v>
      </c>
      <c r="J59" s="66">
        <v>149.9</v>
      </c>
      <c r="K59" s="1839"/>
      <c r="L59" s="1542"/>
      <c r="M59" s="1543"/>
      <c r="N59" s="1601"/>
    </row>
    <row r="60" spans="1:14" ht="30.75" customHeight="1" x14ac:dyDescent="0.2">
      <c r="A60" s="1736"/>
      <c r="B60" s="1788"/>
      <c r="C60" s="1732"/>
      <c r="D60" s="1844"/>
      <c r="E60" s="1797"/>
      <c r="F60" s="1789"/>
      <c r="G60" s="68" t="s">
        <v>48</v>
      </c>
      <c r="H60" s="429">
        <v>300</v>
      </c>
      <c r="I60" s="70"/>
      <c r="J60" s="424"/>
      <c r="K60" s="1816"/>
      <c r="L60" s="1550"/>
      <c r="M60" s="1550"/>
      <c r="N60" s="1602"/>
    </row>
    <row r="61" spans="1:14" ht="14.1" customHeight="1" x14ac:dyDescent="0.2">
      <c r="A61" s="1736"/>
      <c r="B61" s="1788"/>
      <c r="C61" s="1732"/>
      <c r="D61" s="1600"/>
      <c r="E61" s="1797"/>
      <c r="F61" s="1789"/>
      <c r="G61" s="68" t="s">
        <v>45</v>
      </c>
      <c r="H61" s="108"/>
      <c r="I61" s="68">
        <v>150</v>
      </c>
      <c r="J61" s="66"/>
      <c r="K61" s="1603"/>
      <c r="L61" s="1550"/>
      <c r="M61" s="1550"/>
      <c r="N61" s="1602"/>
    </row>
    <row r="62" spans="1:14" ht="26.25" customHeight="1" x14ac:dyDescent="0.2">
      <c r="A62" s="1736"/>
      <c r="B62" s="1788"/>
      <c r="C62" s="1732"/>
      <c r="D62" s="1558" t="s">
        <v>202</v>
      </c>
      <c r="E62" s="1797"/>
      <c r="F62" s="1789"/>
      <c r="G62" s="68"/>
      <c r="H62" s="108"/>
      <c r="I62" s="68"/>
      <c r="J62" s="66"/>
      <c r="K62" s="1604" t="s">
        <v>276</v>
      </c>
      <c r="L62" s="1562">
        <v>80</v>
      </c>
      <c r="M62" s="1563">
        <v>100</v>
      </c>
      <c r="N62" s="1605"/>
    </row>
    <row r="63" spans="1:14" ht="37.5" customHeight="1" x14ac:dyDescent="0.2">
      <c r="A63" s="1736"/>
      <c r="B63" s="1788"/>
      <c r="C63" s="1732"/>
      <c r="D63" s="1564" t="s">
        <v>166</v>
      </c>
      <c r="E63" s="1846"/>
      <c r="F63" s="1789"/>
      <c r="G63" s="68"/>
      <c r="H63" s="108"/>
      <c r="I63" s="68"/>
      <c r="J63" s="66"/>
      <c r="K63" s="1606" t="s">
        <v>277</v>
      </c>
      <c r="L63" s="1572"/>
      <c r="M63" s="1573">
        <v>80</v>
      </c>
      <c r="N63" s="1607">
        <v>100</v>
      </c>
    </row>
    <row r="64" spans="1:14" ht="17.25" customHeight="1" x14ac:dyDescent="0.2">
      <c r="A64" s="726"/>
      <c r="B64" s="727"/>
      <c r="C64" s="740"/>
      <c r="D64" s="1725" t="s">
        <v>124</v>
      </c>
      <c r="E64" s="1832" t="s">
        <v>47</v>
      </c>
      <c r="F64" s="1838"/>
      <c r="G64" s="68"/>
      <c r="H64" s="108"/>
      <c r="I64" s="68"/>
      <c r="J64" s="66"/>
      <c r="K64" s="872" t="s">
        <v>46</v>
      </c>
      <c r="L64" s="330">
        <v>1</v>
      </c>
      <c r="M64" s="330"/>
      <c r="N64" s="186"/>
    </row>
    <row r="65" spans="1:14" ht="15.75" customHeight="1" x14ac:dyDescent="0.2">
      <c r="A65" s="726"/>
      <c r="B65" s="727"/>
      <c r="C65" s="740"/>
      <c r="D65" s="1726"/>
      <c r="E65" s="1832"/>
      <c r="F65" s="1838"/>
      <c r="G65" s="68"/>
      <c r="H65" s="108"/>
      <c r="I65" s="68"/>
      <c r="J65" s="66"/>
      <c r="K65" s="1804" t="s">
        <v>199</v>
      </c>
      <c r="L65" s="330">
        <v>50</v>
      </c>
      <c r="M65" s="330">
        <v>100</v>
      </c>
      <c r="N65" s="186"/>
    </row>
    <row r="66" spans="1:14" ht="13.5" customHeight="1" x14ac:dyDescent="0.2">
      <c r="A66" s="726"/>
      <c r="B66" s="727"/>
      <c r="C66" s="740"/>
      <c r="D66" s="1727"/>
      <c r="E66" s="1840"/>
      <c r="F66" s="1838"/>
      <c r="G66" s="70"/>
      <c r="H66" s="108"/>
      <c r="I66" s="68"/>
      <c r="J66" s="66"/>
      <c r="K66" s="1793"/>
      <c r="L66" s="22"/>
      <c r="M66" s="22"/>
      <c r="N66" s="185"/>
    </row>
    <row r="67" spans="1:14" ht="15" customHeight="1" x14ac:dyDescent="0.2">
      <c r="A67" s="726"/>
      <c r="B67" s="727"/>
      <c r="C67" s="740"/>
      <c r="D67" s="1725" t="s">
        <v>60</v>
      </c>
      <c r="E67" s="1836" t="s">
        <v>47</v>
      </c>
      <c r="F67" s="1838"/>
      <c r="G67" s="68"/>
      <c r="H67" s="108"/>
      <c r="I67" s="68"/>
      <c r="J67" s="66"/>
      <c r="K67" s="746" t="s">
        <v>46</v>
      </c>
      <c r="L67" s="732"/>
      <c r="M67" s="732"/>
      <c r="N67" s="742">
        <v>1</v>
      </c>
    </row>
    <row r="68" spans="1:14" ht="12.75" customHeight="1" x14ac:dyDescent="0.2">
      <c r="A68" s="726"/>
      <c r="B68" s="727"/>
      <c r="C68" s="740"/>
      <c r="D68" s="1727"/>
      <c r="E68" s="1837"/>
      <c r="F68" s="1838"/>
      <c r="G68" s="70"/>
      <c r="H68" s="108"/>
      <c r="I68" s="68"/>
      <c r="J68" s="66"/>
      <c r="K68" s="778"/>
      <c r="L68" s="19"/>
      <c r="M68" s="19"/>
      <c r="N68" s="190"/>
    </row>
    <row r="69" spans="1:14" ht="19.5" customHeight="1" x14ac:dyDescent="0.2">
      <c r="A69" s="726"/>
      <c r="B69" s="727"/>
      <c r="C69" s="740"/>
      <c r="D69" s="1737" t="s">
        <v>340</v>
      </c>
      <c r="E69" s="870" t="s">
        <v>47</v>
      </c>
      <c r="F69" s="1835"/>
      <c r="G69" s="68"/>
      <c r="H69" s="108"/>
      <c r="I69" s="68"/>
      <c r="J69" s="138"/>
      <c r="K69" s="750" t="s">
        <v>46</v>
      </c>
      <c r="L69" s="576">
        <v>1</v>
      </c>
      <c r="M69" s="576"/>
      <c r="N69" s="577"/>
    </row>
    <row r="70" spans="1:14" ht="27" customHeight="1" x14ac:dyDescent="0.2">
      <c r="A70" s="726"/>
      <c r="B70" s="727"/>
      <c r="C70" s="740"/>
      <c r="D70" s="1834"/>
      <c r="E70" s="777"/>
      <c r="F70" s="1835"/>
      <c r="G70" s="63" t="s">
        <v>45</v>
      </c>
      <c r="H70" s="170">
        <v>40</v>
      </c>
      <c r="I70" s="67"/>
      <c r="J70" s="139"/>
      <c r="K70" s="872" t="s">
        <v>341</v>
      </c>
      <c r="L70" s="598"/>
      <c r="M70" s="598"/>
      <c r="N70" s="609">
        <v>100</v>
      </c>
    </row>
    <row r="71" spans="1:14" ht="13.5" customHeight="1" thickBot="1" x14ac:dyDescent="0.25">
      <c r="A71" s="75"/>
      <c r="B71" s="873"/>
      <c r="C71" s="104"/>
      <c r="D71" s="914"/>
      <c r="E71" s="915"/>
      <c r="F71" s="916"/>
      <c r="G71" s="156" t="s">
        <v>6</v>
      </c>
      <c r="H71" s="446">
        <f>SUM(H55:H70)</f>
        <v>2863.9</v>
      </c>
      <c r="I71" s="446">
        <f>SUM(I55:I70)</f>
        <v>3242.2</v>
      </c>
      <c r="J71" s="446">
        <f>SUM(J55:J70)</f>
        <v>2613.6999999999998</v>
      </c>
      <c r="K71" s="917"/>
      <c r="L71" s="918"/>
      <c r="M71" s="919"/>
      <c r="N71" s="920"/>
    </row>
    <row r="72" spans="1:14" ht="33" customHeight="1" x14ac:dyDescent="0.2">
      <c r="A72" s="768" t="s">
        <v>5</v>
      </c>
      <c r="B72" s="328" t="s">
        <v>5</v>
      </c>
      <c r="C72" s="743" t="s">
        <v>33</v>
      </c>
      <c r="D72" s="119" t="s">
        <v>51</v>
      </c>
      <c r="E72" s="123" t="s">
        <v>93</v>
      </c>
      <c r="F72" s="794"/>
      <c r="G72" s="71"/>
      <c r="H72" s="436"/>
      <c r="I72" s="76"/>
      <c r="J72" s="1174"/>
      <c r="K72" s="79"/>
      <c r="L72" s="30"/>
      <c r="M72" s="30"/>
      <c r="N72" s="187"/>
    </row>
    <row r="73" spans="1:14" ht="15" customHeight="1" x14ac:dyDescent="0.2">
      <c r="A73" s="726"/>
      <c r="B73" s="727"/>
      <c r="C73" s="731"/>
      <c r="D73" s="1813" t="s">
        <v>61</v>
      </c>
      <c r="E73" s="1832" t="s">
        <v>47</v>
      </c>
      <c r="F73" s="1833">
        <v>5</v>
      </c>
      <c r="G73" s="60" t="s">
        <v>107</v>
      </c>
      <c r="H73" s="483">
        <f>500+617.1</f>
        <v>1117.0999999999999</v>
      </c>
      <c r="I73" s="60">
        <v>200</v>
      </c>
      <c r="J73" s="140">
        <v>0</v>
      </c>
      <c r="K73" s="1827" t="s">
        <v>342</v>
      </c>
      <c r="L73" s="1542">
        <v>60</v>
      </c>
      <c r="M73" s="1542">
        <v>100</v>
      </c>
      <c r="N73" s="1608"/>
    </row>
    <row r="74" spans="1:14" ht="14.25" customHeight="1" x14ac:dyDescent="0.2">
      <c r="A74" s="726"/>
      <c r="B74" s="727"/>
      <c r="C74" s="731"/>
      <c r="D74" s="1813"/>
      <c r="E74" s="1832"/>
      <c r="F74" s="1833"/>
      <c r="G74" s="68" t="s">
        <v>25</v>
      </c>
      <c r="H74" s="108">
        <v>400</v>
      </c>
      <c r="I74" s="68">
        <f>1500+635.7</f>
        <v>2135.6999999999998</v>
      </c>
      <c r="J74" s="138">
        <v>0</v>
      </c>
      <c r="K74" s="1828"/>
      <c r="L74" s="1581"/>
      <c r="M74" s="1581"/>
      <c r="N74" s="1609"/>
    </row>
    <row r="75" spans="1:14" ht="14.25" customHeight="1" x14ac:dyDescent="0.2">
      <c r="A75" s="726"/>
      <c r="B75" s="727"/>
      <c r="C75" s="731"/>
      <c r="D75" s="1813"/>
      <c r="E75" s="1832"/>
      <c r="F75" s="1833"/>
      <c r="G75" s="68" t="s">
        <v>48</v>
      </c>
      <c r="H75" s="108">
        <v>993.4</v>
      </c>
      <c r="I75" s="68">
        <v>1500</v>
      </c>
      <c r="J75" s="108"/>
      <c r="K75" s="1829"/>
      <c r="L75" s="1581"/>
      <c r="M75" s="1581"/>
      <c r="N75" s="1609"/>
    </row>
    <row r="76" spans="1:14" ht="15" customHeight="1" x14ac:dyDescent="0.2">
      <c r="A76" s="726"/>
      <c r="B76" s="727"/>
      <c r="C76" s="731"/>
      <c r="D76" s="1813"/>
      <c r="E76" s="1832"/>
      <c r="F76" s="1833"/>
      <c r="G76" s="67" t="s">
        <v>45</v>
      </c>
      <c r="H76" s="170">
        <v>3.2</v>
      </c>
      <c r="I76" s="67"/>
      <c r="J76" s="170"/>
      <c r="K76" s="1830"/>
      <c r="L76" s="1572"/>
      <c r="M76" s="1572"/>
      <c r="N76" s="1610"/>
    </row>
    <row r="77" spans="1:14" ht="18" customHeight="1" x14ac:dyDescent="0.2">
      <c r="A77" s="1736"/>
      <c r="B77" s="1788"/>
      <c r="C77" s="1732"/>
      <c r="D77" s="1725" t="s">
        <v>302</v>
      </c>
      <c r="E77" s="1823" t="s">
        <v>47</v>
      </c>
      <c r="F77" s="1789"/>
      <c r="G77" s="68" t="s">
        <v>107</v>
      </c>
      <c r="H77" s="108"/>
      <c r="I77" s="68"/>
      <c r="J77" s="66">
        <v>400</v>
      </c>
      <c r="K77" s="1681" t="s">
        <v>343</v>
      </c>
      <c r="L77" s="330"/>
      <c r="M77" s="330"/>
      <c r="N77" s="186">
        <v>35</v>
      </c>
    </row>
    <row r="78" spans="1:14" ht="13.5" customHeight="1" x14ac:dyDescent="0.2">
      <c r="A78" s="1736"/>
      <c r="B78" s="1788"/>
      <c r="C78" s="1732"/>
      <c r="D78" s="1726"/>
      <c r="E78" s="1795"/>
      <c r="F78" s="1831"/>
      <c r="G78" s="63"/>
      <c r="H78" s="170"/>
      <c r="I78" s="67"/>
      <c r="J78" s="204"/>
      <c r="K78" s="1793"/>
      <c r="L78" s="330"/>
      <c r="M78" s="330"/>
      <c r="N78" s="186"/>
    </row>
    <row r="79" spans="1:14" ht="14.25" customHeight="1" x14ac:dyDescent="0.2">
      <c r="A79" s="1736"/>
      <c r="B79" s="1788"/>
      <c r="C79" s="1732"/>
      <c r="D79" s="1725" t="s">
        <v>304</v>
      </c>
      <c r="E79" s="1823" t="s">
        <v>47</v>
      </c>
      <c r="F79" s="1824">
        <v>6</v>
      </c>
      <c r="G79" s="39" t="s">
        <v>25</v>
      </c>
      <c r="H79" s="108"/>
      <c r="I79" s="68">
        <v>10</v>
      </c>
      <c r="J79" s="108">
        <v>12</v>
      </c>
      <c r="K79" s="746" t="s">
        <v>46</v>
      </c>
      <c r="L79" s="732"/>
      <c r="M79" s="732">
        <v>1</v>
      </c>
      <c r="N79" s="742"/>
    </row>
    <row r="80" spans="1:14" ht="21" customHeight="1" x14ac:dyDescent="0.2">
      <c r="A80" s="1736"/>
      <c r="B80" s="1788"/>
      <c r="C80" s="1732"/>
      <c r="D80" s="1726"/>
      <c r="E80" s="1795"/>
      <c r="F80" s="1824"/>
      <c r="G80" s="68"/>
      <c r="H80" s="108"/>
      <c r="I80" s="68"/>
      <c r="J80" s="108"/>
      <c r="K80" s="1820" t="s">
        <v>188</v>
      </c>
      <c r="L80" s="330"/>
      <c r="M80" s="330">
        <v>50</v>
      </c>
      <c r="N80" s="186">
        <v>100</v>
      </c>
    </row>
    <row r="81" spans="1:14" ht="18.75" customHeight="1" x14ac:dyDescent="0.2">
      <c r="A81" s="1736"/>
      <c r="B81" s="1788"/>
      <c r="C81" s="1732"/>
      <c r="D81" s="1726"/>
      <c r="E81" s="1795"/>
      <c r="F81" s="1824"/>
      <c r="G81" s="63"/>
      <c r="H81" s="170"/>
      <c r="I81" s="67"/>
      <c r="J81" s="170"/>
      <c r="K81" s="1821"/>
      <c r="L81" s="330"/>
      <c r="M81" s="330"/>
      <c r="N81" s="186"/>
    </row>
    <row r="82" spans="1:14" ht="13.5" customHeight="1" thickBot="1" x14ac:dyDescent="0.25">
      <c r="A82" s="75"/>
      <c r="B82" s="873"/>
      <c r="C82" s="104"/>
      <c r="D82" s="914"/>
      <c r="E82" s="915"/>
      <c r="F82" s="916"/>
      <c r="G82" s="156" t="s">
        <v>6</v>
      </c>
      <c r="H82" s="216">
        <f>SUM(H73:H81)</f>
        <v>2513.6999999999998</v>
      </c>
      <c r="I82" s="156">
        <f t="shared" ref="I82:J82" si="0">SUM(I73:I81)</f>
        <v>3845.7</v>
      </c>
      <c r="J82" s="446">
        <f t="shared" si="0"/>
        <v>412</v>
      </c>
      <c r="K82" s="917"/>
      <c r="L82" s="918"/>
      <c r="M82" s="919"/>
      <c r="N82" s="920"/>
    </row>
    <row r="83" spans="1:14" ht="13.5" customHeight="1" x14ac:dyDescent="0.2">
      <c r="A83" s="768" t="s">
        <v>5</v>
      </c>
      <c r="B83" s="328" t="s">
        <v>5</v>
      </c>
      <c r="C83" s="743" t="s">
        <v>34</v>
      </c>
      <c r="D83" s="1688" t="s">
        <v>101</v>
      </c>
      <c r="E83" s="1825" t="s">
        <v>90</v>
      </c>
      <c r="F83" s="766" t="s">
        <v>43</v>
      </c>
      <c r="G83" s="217" t="s">
        <v>25</v>
      </c>
      <c r="H83" s="1222">
        <f>678.6+123.9</f>
        <v>802.5</v>
      </c>
      <c r="I83" s="217">
        <f>3201.4+916.8+50</f>
        <v>4168.2</v>
      </c>
      <c r="J83" s="217">
        <f>5442.8-798.1+65+380+82</f>
        <v>5171.7</v>
      </c>
      <c r="K83" s="283"/>
      <c r="L83" s="432"/>
      <c r="M83" s="432"/>
      <c r="N83" s="433"/>
    </row>
    <row r="84" spans="1:14" ht="13.5" customHeight="1" x14ac:dyDescent="0.2">
      <c r="A84" s="1041"/>
      <c r="B84" s="1044"/>
      <c r="C84" s="1042"/>
      <c r="D84" s="1822"/>
      <c r="E84" s="1826"/>
      <c r="F84" s="1043"/>
      <c r="G84" s="68" t="s">
        <v>62</v>
      </c>
      <c r="H84" s="1383">
        <v>1533.9</v>
      </c>
      <c r="I84" s="68"/>
      <c r="J84" s="108"/>
      <c r="K84" s="1350"/>
      <c r="L84" s="496"/>
      <c r="M84" s="496"/>
      <c r="N84" s="188"/>
    </row>
    <row r="85" spans="1:14" ht="15" customHeight="1" x14ac:dyDescent="0.2">
      <c r="A85" s="726"/>
      <c r="B85" s="727"/>
      <c r="C85" s="731"/>
      <c r="D85" s="1689"/>
      <c r="E85" s="1686"/>
      <c r="F85" s="740"/>
      <c r="G85" s="68" t="s">
        <v>107</v>
      </c>
      <c r="H85" s="138">
        <f>700-7.7</f>
        <v>692.3</v>
      </c>
      <c r="I85" s="68">
        <v>1900</v>
      </c>
      <c r="J85" s="108">
        <v>2000</v>
      </c>
      <c r="K85" s="1350"/>
      <c r="L85" s="496"/>
      <c r="M85" s="496"/>
      <c r="N85" s="188"/>
    </row>
    <row r="86" spans="1:14" ht="14.25" customHeight="1" x14ac:dyDescent="0.2">
      <c r="A86" s="726"/>
      <c r="B86" s="727"/>
      <c r="C86" s="731"/>
      <c r="D86" s="790"/>
      <c r="E86" s="1686"/>
      <c r="F86" s="740"/>
      <c r="G86" s="67" t="s">
        <v>106</v>
      </c>
      <c r="H86" s="139">
        <v>403.6</v>
      </c>
      <c r="I86" s="67"/>
      <c r="J86" s="204"/>
      <c r="K86" s="1350"/>
      <c r="L86" s="496"/>
      <c r="M86" s="496"/>
      <c r="N86" s="188"/>
    </row>
    <row r="87" spans="1:14" ht="18" customHeight="1" x14ac:dyDescent="0.2">
      <c r="A87" s="726"/>
      <c r="B87" s="727"/>
      <c r="C87" s="731"/>
      <c r="D87" s="1812" t="s">
        <v>177</v>
      </c>
      <c r="E87" s="124" t="s">
        <v>47</v>
      </c>
      <c r="F87" s="740"/>
      <c r="G87" s="68" t="s">
        <v>48</v>
      </c>
      <c r="H87" s="108">
        <v>300</v>
      </c>
      <c r="I87" s="68"/>
      <c r="J87" s="108">
        <v>1500</v>
      </c>
      <c r="K87" s="1815" t="s">
        <v>158</v>
      </c>
      <c r="L87" s="1542">
        <v>10</v>
      </c>
      <c r="M87" s="1542">
        <v>40</v>
      </c>
      <c r="N87" s="1608">
        <v>100</v>
      </c>
    </row>
    <row r="88" spans="1:14" ht="18.75" customHeight="1" x14ac:dyDescent="0.2">
      <c r="A88" s="726"/>
      <c r="B88" s="727"/>
      <c r="C88" s="740"/>
      <c r="D88" s="1813"/>
      <c r="E88" s="250"/>
      <c r="F88" s="740"/>
      <c r="G88" s="68"/>
      <c r="H88" s="108"/>
      <c r="I88" s="68"/>
      <c r="J88" s="108"/>
      <c r="K88" s="1816"/>
      <c r="L88" s="1581"/>
      <c r="M88" s="1581"/>
      <c r="N88" s="1609"/>
    </row>
    <row r="89" spans="1:14" ht="16.5" customHeight="1" x14ac:dyDescent="0.2">
      <c r="A89" s="726"/>
      <c r="B89" s="727"/>
      <c r="C89" s="740"/>
      <c r="D89" s="1814"/>
      <c r="E89" s="125"/>
      <c r="F89" s="740"/>
      <c r="G89" s="68"/>
      <c r="H89" s="108"/>
      <c r="I89" s="68"/>
      <c r="J89" s="108"/>
      <c r="K89" s="1611"/>
      <c r="L89" s="1572"/>
      <c r="M89" s="1572"/>
      <c r="N89" s="1610"/>
    </row>
    <row r="90" spans="1:14" ht="26.25" customHeight="1" x14ac:dyDescent="0.2">
      <c r="A90" s="726"/>
      <c r="B90" s="727"/>
      <c r="C90" s="731"/>
      <c r="D90" s="1812" t="s">
        <v>409</v>
      </c>
      <c r="E90" s="124" t="s">
        <v>47</v>
      </c>
      <c r="F90" s="867"/>
      <c r="G90" s="68"/>
      <c r="H90" s="138"/>
      <c r="I90" s="68"/>
      <c r="J90" s="66"/>
      <c r="K90" s="1612" t="s">
        <v>344</v>
      </c>
      <c r="L90" s="1594">
        <v>60</v>
      </c>
      <c r="M90" s="1594">
        <v>100</v>
      </c>
      <c r="N90" s="1613"/>
    </row>
    <row r="91" spans="1:14" ht="12" customHeight="1" x14ac:dyDescent="0.2">
      <c r="A91" s="726"/>
      <c r="B91" s="727"/>
      <c r="C91" s="731"/>
      <c r="D91" s="1817"/>
      <c r="E91" s="871"/>
      <c r="F91" s="867"/>
      <c r="G91" s="929"/>
      <c r="H91" s="617"/>
      <c r="I91" s="68"/>
      <c r="J91" s="66"/>
      <c r="K91" s="1611"/>
      <c r="L91" s="1572"/>
      <c r="M91" s="1572"/>
      <c r="N91" s="1607"/>
    </row>
    <row r="92" spans="1:14" ht="29.25" customHeight="1" x14ac:dyDescent="0.2">
      <c r="A92" s="850"/>
      <c r="B92" s="852"/>
      <c r="C92" s="851"/>
      <c r="D92" s="1812" t="s">
        <v>305</v>
      </c>
      <c r="E92" s="1351" t="s">
        <v>47</v>
      </c>
      <c r="F92" s="1349"/>
      <c r="G92" s="68"/>
      <c r="H92" s="429"/>
      <c r="I92" s="68"/>
      <c r="J92" s="108"/>
      <c r="K92" s="1627" t="s">
        <v>272</v>
      </c>
      <c r="L92" s="1628"/>
      <c r="M92" s="1628"/>
      <c r="N92" s="1629">
        <v>30</v>
      </c>
    </row>
    <row r="93" spans="1:14" ht="14.25" customHeight="1" x14ac:dyDescent="0.2">
      <c r="A93" s="850"/>
      <c r="B93" s="852"/>
      <c r="C93" s="851"/>
      <c r="D93" s="1817"/>
      <c r="E93" s="1352"/>
      <c r="F93" s="1349"/>
      <c r="G93" s="430"/>
      <c r="H93" s="429"/>
      <c r="I93" s="68"/>
      <c r="J93" s="108"/>
      <c r="K93" s="1630"/>
      <c r="L93" s="1594"/>
      <c r="M93" s="1594"/>
      <c r="N93" s="1613"/>
    </row>
    <row r="94" spans="1:14" ht="14.25" customHeight="1" x14ac:dyDescent="0.2">
      <c r="A94" s="1346"/>
      <c r="B94" s="1348"/>
      <c r="C94" s="1347"/>
      <c r="D94" s="1812" t="s">
        <v>387</v>
      </c>
      <c r="E94" s="124" t="s">
        <v>47</v>
      </c>
      <c r="F94" s="1349"/>
      <c r="G94" s="68"/>
      <c r="H94" s="429"/>
      <c r="I94" s="68"/>
      <c r="J94" s="66"/>
      <c r="K94" s="1631" t="s">
        <v>46</v>
      </c>
      <c r="L94" s="1628"/>
      <c r="M94" s="1628"/>
      <c r="N94" s="1629">
        <v>1</v>
      </c>
    </row>
    <row r="95" spans="1:14" ht="29.25" customHeight="1" x14ac:dyDescent="0.2">
      <c r="A95" s="1346"/>
      <c r="B95" s="1348"/>
      <c r="C95" s="1347"/>
      <c r="D95" s="1817"/>
      <c r="E95" s="853"/>
      <c r="F95" s="1349"/>
      <c r="G95" s="430"/>
      <c r="H95" s="429"/>
      <c r="I95" s="68"/>
      <c r="J95" s="108"/>
      <c r="K95" s="1632"/>
      <c r="L95" s="1594"/>
      <c r="M95" s="1594"/>
      <c r="N95" s="1613"/>
    </row>
    <row r="96" spans="1:14" ht="15.75" customHeight="1" x14ac:dyDescent="0.2">
      <c r="A96" s="1346"/>
      <c r="B96" s="1348"/>
      <c r="C96" s="1347"/>
      <c r="D96" s="1725" t="s">
        <v>388</v>
      </c>
      <c r="E96" s="124" t="s">
        <v>47</v>
      </c>
      <c r="F96" s="1349"/>
      <c r="G96" s="68"/>
      <c r="H96" s="429"/>
      <c r="I96" s="68"/>
      <c r="J96" s="108"/>
      <c r="K96" s="1345" t="s">
        <v>46</v>
      </c>
      <c r="L96" s="857"/>
      <c r="M96" s="857"/>
      <c r="N96" s="858">
        <v>1</v>
      </c>
    </row>
    <row r="97" spans="1:53" ht="18.75" customHeight="1" x14ac:dyDescent="0.2">
      <c r="A97" s="1346"/>
      <c r="B97" s="1348"/>
      <c r="C97" s="1347"/>
      <c r="D97" s="1819"/>
      <c r="E97" s="853"/>
      <c r="F97" s="1349"/>
      <c r="G97" s="67"/>
      <c r="H97" s="710"/>
      <c r="I97" s="67"/>
      <c r="J97" s="170"/>
      <c r="K97" s="21"/>
      <c r="L97" s="48"/>
      <c r="M97" s="48"/>
      <c r="N97" s="189"/>
    </row>
    <row r="98" spans="1:53" ht="15.75" customHeight="1" thickBot="1" x14ac:dyDescent="0.25">
      <c r="A98" s="75"/>
      <c r="B98" s="873"/>
      <c r="C98" s="104"/>
      <c r="D98" s="914"/>
      <c r="E98" s="915"/>
      <c r="F98" s="916"/>
      <c r="G98" s="156" t="s">
        <v>6</v>
      </c>
      <c r="H98" s="446">
        <f>SUM(H83:H93)</f>
        <v>3732.3</v>
      </c>
      <c r="I98" s="446">
        <f>SUM(I83:I93)</f>
        <v>6068.2</v>
      </c>
      <c r="J98" s="446">
        <f>SUM(J83:J93)</f>
        <v>8671.7000000000007</v>
      </c>
      <c r="K98" s="917"/>
      <c r="L98" s="918"/>
      <c r="M98" s="919"/>
      <c r="N98" s="920"/>
    </row>
    <row r="99" spans="1:53" ht="30" customHeight="1" x14ac:dyDescent="0.2">
      <c r="A99" s="726" t="s">
        <v>5</v>
      </c>
      <c r="B99" s="727" t="s">
        <v>5</v>
      </c>
      <c r="C99" s="731" t="s">
        <v>35</v>
      </c>
      <c r="D99" s="251" t="s">
        <v>74</v>
      </c>
      <c r="E99" s="509" t="s">
        <v>95</v>
      </c>
      <c r="F99" s="730" t="s">
        <v>43</v>
      </c>
      <c r="G99" s="83"/>
      <c r="H99" s="485"/>
      <c r="I99" s="83"/>
      <c r="J99" s="491"/>
      <c r="K99" s="69"/>
      <c r="L99" s="7"/>
      <c r="M99" s="57"/>
      <c r="N99" s="383"/>
    </row>
    <row r="100" spans="1:53" ht="15.75" customHeight="1" x14ac:dyDescent="0.2">
      <c r="A100" s="726"/>
      <c r="B100" s="727"/>
      <c r="C100" s="731"/>
      <c r="D100" s="1725" t="s">
        <v>175</v>
      </c>
      <c r="E100" s="777" t="s">
        <v>47</v>
      </c>
      <c r="F100" s="740"/>
      <c r="G100" s="70" t="s">
        <v>25</v>
      </c>
      <c r="H100" s="108">
        <v>50</v>
      </c>
      <c r="I100" s="68"/>
      <c r="J100" s="138"/>
      <c r="K100" s="624" t="s">
        <v>46</v>
      </c>
      <c r="L100" s="598"/>
      <c r="M100" s="611">
        <v>1</v>
      </c>
      <c r="N100" s="385"/>
    </row>
    <row r="101" spans="1:53" ht="15.75" customHeight="1" x14ac:dyDescent="0.2">
      <c r="A101" s="726"/>
      <c r="B101" s="727"/>
      <c r="C101" s="731"/>
      <c r="D101" s="1726"/>
      <c r="E101" s="753"/>
      <c r="F101" s="740"/>
      <c r="G101" s="63" t="s">
        <v>107</v>
      </c>
      <c r="H101" s="170"/>
      <c r="I101" s="67">
        <v>780</v>
      </c>
      <c r="J101" s="204"/>
      <c r="K101" s="856"/>
      <c r="L101" s="330"/>
      <c r="M101" s="384"/>
      <c r="N101" s="23"/>
    </row>
    <row r="102" spans="1:53" ht="15" customHeight="1" x14ac:dyDescent="0.2">
      <c r="A102" s="726"/>
      <c r="B102" s="727"/>
      <c r="C102" s="731"/>
      <c r="D102" s="1725" t="s">
        <v>313</v>
      </c>
      <c r="E102" s="777" t="s">
        <v>47</v>
      </c>
      <c r="F102" s="713"/>
      <c r="G102" s="70" t="s">
        <v>45</v>
      </c>
      <c r="H102" s="108">
        <v>30</v>
      </c>
      <c r="I102" s="68">
        <v>72.5</v>
      </c>
      <c r="J102" s="138"/>
      <c r="K102" s="625" t="s">
        <v>165</v>
      </c>
      <c r="L102" s="576">
        <v>1</v>
      </c>
      <c r="M102" s="626"/>
      <c r="N102" s="627"/>
    </row>
    <row r="103" spans="1:53" ht="15" customHeight="1" x14ac:dyDescent="0.2">
      <c r="A103" s="726"/>
      <c r="B103" s="727"/>
      <c r="C103" s="731"/>
      <c r="D103" s="1726"/>
      <c r="E103" s="777"/>
      <c r="F103" s="713"/>
      <c r="G103" s="70"/>
      <c r="H103" s="108"/>
      <c r="I103" s="68"/>
      <c r="J103" s="138"/>
      <c r="K103" s="624" t="s">
        <v>46</v>
      </c>
      <c r="L103" s="598"/>
      <c r="M103" s="611">
        <v>1</v>
      </c>
      <c r="N103" s="628"/>
    </row>
    <row r="104" spans="1:53" ht="11.25" customHeight="1" x14ac:dyDescent="0.2">
      <c r="A104" s="726"/>
      <c r="B104" s="727"/>
      <c r="C104" s="731"/>
      <c r="D104" s="1811"/>
      <c r="E104" s="777"/>
      <c r="F104" s="713"/>
      <c r="G104" s="63"/>
      <c r="H104" s="170"/>
      <c r="I104" s="67"/>
      <c r="J104" s="139"/>
      <c r="K104" s="624"/>
      <c r="L104" s="598"/>
      <c r="M104" s="611"/>
      <c r="N104" s="930"/>
    </row>
    <row r="105" spans="1:53" ht="15.75" customHeight="1" thickBot="1" x14ac:dyDescent="0.25">
      <c r="A105" s="75"/>
      <c r="B105" s="873"/>
      <c r="C105" s="104"/>
      <c r="D105" s="914"/>
      <c r="E105" s="915"/>
      <c r="F105" s="916"/>
      <c r="G105" s="156" t="s">
        <v>6</v>
      </c>
      <c r="H105" s="446">
        <f>SUM(H100:H104)</f>
        <v>80</v>
      </c>
      <c r="I105" s="446">
        <f t="shared" ref="I105:J105" si="1">SUM(I100:I104)</f>
        <v>852.5</v>
      </c>
      <c r="J105" s="446">
        <f t="shared" si="1"/>
        <v>0</v>
      </c>
      <c r="K105" s="917"/>
      <c r="L105" s="918"/>
      <c r="M105" s="919"/>
      <c r="N105" s="920"/>
    </row>
    <row r="106" spans="1:53" ht="16.5" customHeight="1" x14ac:dyDescent="0.2">
      <c r="A106" s="726" t="s">
        <v>5</v>
      </c>
      <c r="B106" s="727" t="s">
        <v>5</v>
      </c>
      <c r="C106" s="265" t="s">
        <v>36</v>
      </c>
      <c r="D106" s="1818" t="s">
        <v>318</v>
      </c>
      <c r="E106" s="448"/>
      <c r="F106" s="766" t="s">
        <v>43</v>
      </c>
      <c r="G106" s="217" t="s">
        <v>25</v>
      </c>
      <c r="H106" s="108">
        <v>28</v>
      </c>
      <c r="I106" s="217">
        <v>28</v>
      </c>
      <c r="J106" s="263">
        <v>28</v>
      </c>
      <c r="K106" s="427"/>
      <c r="L106" s="331"/>
      <c r="M106" s="331"/>
      <c r="N106" s="932"/>
    </row>
    <row r="107" spans="1:53" ht="19.5" customHeight="1" x14ac:dyDescent="0.2">
      <c r="A107" s="726"/>
      <c r="B107" s="727"/>
      <c r="C107" s="265"/>
      <c r="D107" s="1639"/>
      <c r="E107" s="874"/>
      <c r="F107" s="867"/>
      <c r="G107" s="67" t="s">
        <v>107</v>
      </c>
      <c r="H107" s="170">
        <v>0</v>
      </c>
      <c r="I107" s="67">
        <v>3</v>
      </c>
      <c r="J107" s="170">
        <v>3</v>
      </c>
      <c r="K107" s="778"/>
      <c r="L107" s="22"/>
      <c r="M107" s="22"/>
      <c r="N107" s="23"/>
    </row>
    <row r="108" spans="1:53" ht="11.25" customHeight="1" x14ac:dyDescent="0.2">
      <c r="A108" s="726"/>
      <c r="B108" s="727"/>
      <c r="C108" s="102"/>
      <c r="D108" s="531" t="s">
        <v>89</v>
      </c>
      <c r="E108" s="874"/>
      <c r="F108" s="867"/>
      <c r="G108" s="68"/>
      <c r="H108" s="108"/>
      <c r="I108" s="68"/>
      <c r="J108" s="108"/>
      <c r="K108" s="1804" t="s">
        <v>183</v>
      </c>
      <c r="L108" s="598">
        <v>100</v>
      </c>
      <c r="M108" s="598">
        <v>100</v>
      </c>
      <c r="N108" s="609">
        <v>100</v>
      </c>
    </row>
    <row r="109" spans="1:53" ht="15" customHeight="1" x14ac:dyDescent="0.2">
      <c r="A109" s="726"/>
      <c r="B109" s="727"/>
      <c r="C109" s="102"/>
      <c r="D109" s="165"/>
      <c r="E109" s="874"/>
      <c r="F109" s="867"/>
      <c r="G109" s="68"/>
      <c r="H109" s="108"/>
      <c r="I109" s="68"/>
      <c r="J109" s="108"/>
      <c r="K109" s="1804"/>
      <c r="L109" s="598"/>
      <c r="M109" s="598"/>
      <c r="N109" s="609"/>
    </row>
    <row r="110" spans="1:53" s="9" customFormat="1" ht="51.75" customHeight="1" x14ac:dyDescent="0.2">
      <c r="A110" s="726"/>
      <c r="B110" s="727"/>
      <c r="C110" s="731"/>
      <c r="D110" s="670" t="s">
        <v>81</v>
      </c>
      <c r="E110" s="300"/>
      <c r="F110" s="730"/>
      <c r="G110" s="205"/>
      <c r="H110" s="437"/>
      <c r="I110" s="438"/>
      <c r="J110" s="437"/>
      <c r="K110" s="1805"/>
      <c r="L110" s="578"/>
      <c r="M110" s="578"/>
      <c r="N110" s="579"/>
      <c r="P110" s="1407"/>
      <c r="Q110" s="1407"/>
      <c r="R110" s="1407"/>
      <c r="S110" s="1407"/>
      <c r="T110" s="1407"/>
      <c r="U110" s="1407"/>
      <c r="V110" s="1407"/>
      <c r="W110" s="1407"/>
      <c r="X110" s="1407"/>
      <c r="Y110" s="1407"/>
      <c r="Z110" s="1407"/>
      <c r="AA110" s="1407"/>
      <c r="AB110" s="1407"/>
      <c r="AC110" s="1407"/>
      <c r="AD110" s="1407"/>
      <c r="AE110" s="1407"/>
      <c r="AF110" s="1407"/>
      <c r="AG110" s="1407"/>
      <c r="AH110" s="1407"/>
      <c r="AI110" s="1407"/>
      <c r="AJ110" s="1407"/>
      <c r="AK110" s="1407"/>
      <c r="AL110" s="1407"/>
      <c r="AM110" s="1407"/>
      <c r="AN110" s="1407"/>
      <c r="AO110" s="1407"/>
      <c r="AP110" s="1407"/>
      <c r="AQ110" s="1407"/>
      <c r="AR110" s="1407"/>
      <c r="AS110" s="1407"/>
      <c r="AT110" s="1407"/>
      <c r="AU110" s="1407"/>
      <c r="AV110" s="1407"/>
      <c r="AW110" s="1407"/>
      <c r="AX110" s="1407"/>
      <c r="AY110" s="1407"/>
      <c r="AZ110" s="1407"/>
      <c r="BA110" s="1407"/>
    </row>
    <row r="111" spans="1:53" ht="15" customHeight="1" thickBot="1" x14ac:dyDescent="0.25">
      <c r="A111" s="769"/>
      <c r="B111" s="327"/>
      <c r="C111" s="767"/>
      <c r="D111" s="931"/>
      <c r="E111" s="915"/>
      <c r="F111" s="916"/>
      <c r="G111" s="98" t="s">
        <v>6</v>
      </c>
      <c r="H111" s="216">
        <f>SUM(H106:H110)</f>
        <v>28</v>
      </c>
      <c r="I111" s="156">
        <f t="shared" ref="I111:J111" si="2">SUM(I106:I110)</f>
        <v>31</v>
      </c>
      <c r="J111" s="216">
        <f t="shared" si="2"/>
        <v>31</v>
      </c>
      <c r="K111" s="917"/>
      <c r="L111" s="918"/>
      <c r="M111" s="919"/>
      <c r="N111" s="920"/>
    </row>
    <row r="112" spans="1:53" ht="14.25" customHeight="1" thickBot="1" x14ac:dyDescent="0.25">
      <c r="A112" s="85" t="s">
        <v>5</v>
      </c>
      <c r="B112" s="329" t="s">
        <v>5</v>
      </c>
      <c r="C112" s="1785" t="s">
        <v>8</v>
      </c>
      <c r="D112" s="1728"/>
      <c r="E112" s="1728"/>
      <c r="F112" s="1728"/>
      <c r="G112" s="1660"/>
      <c r="H112" s="439">
        <f>H111+H105+H98+H82+H71+H54+H37</f>
        <v>11451.4</v>
      </c>
      <c r="I112" s="159">
        <f>I111+I105+I98+I82+I71+I54+I37</f>
        <v>20476.2</v>
      </c>
      <c r="J112" s="933">
        <f>J111+J105+J98+J82+J71+J54+J37</f>
        <v>16676.900000000001</v>
      </c>
      <c r="K112" s="735"/>
      <c r="L112" s="172"/>
      <c r="M112" s="172"/>
      <c r="N112" s="88"/>
    </row>
    <row r="113" spans="1:17" ht="14.25" customHeight="1" thickBot="1" x14ac:dyDescent="0.25">
      <c r="A113" s="85" t="s">
        <v>5</v>
      </c>
      <c r="B113" s="329" t="s">
        <v>7</v>
      </c>
      <c r="C113" s="1806" t="s">
        <v>32</v>
      </c>
      <c r="D113" s="1806"/>
      <c r="E113" s="1806"/>
      <c r="F113" s="1806"/>
      <c r="G113" s="1806"/>
      <c r="H113" s="1807"/>
      <c r="I113" s="1807"/>
      <c r="J113" s="1807"/>
      <c r="K113" s="1806"/>
      <c r="L113" s="1645"/>
      <c r="M113" s="1645"/>
      <c r="N113" s="1808"/>
    </row>
    <row r="114" spans="1:17" ht="12.75" customHeight="1" x14ac:dyDescent="0.2">
      <c r="A114" s="1281" t="s">
        <v>5</v>
      </c>
      <c r="B114" s="328" t="s">
        <v>7</v>
      </c>
      <c r="C114" s="1293" t="s">
        <v>5</v>
      </c>
      <c r="D114" s="266" t="s">
        <v>57</v>
      </c>
      <c r="E114" s="1810" t="s">
        <v>122</v>
      </c>
      <c r="F114" s="947">
        <v>6</v>
      </c>
      <c r="G114" s="262" t="s">
        <v>25</v>
      </c>
      <c r="H114" s="217">
        <v>2416.6999999999998</v>
      </c>
      <c r="I114" s="445">
        <v>5078.1000000000004</v>
      </c>
      <c r="J114" s="217">
        <v>5079.6000000000004</v>
      </c>
      <c r="K114" s="797"/>
      <c r="L114" s="798"/>
      <c r="M114" s="798"/>
      <c r="N114" s="799"/>
    </row>
    <row r="115" spans="1:17" ht="12.75" customHeight="1" x14ac:dyDescent="0.2">
      <c r="A115" s="1278"/>
      <c r="B115" s="1286"/>
      <c r="C115" s="1277"/>
      <c r="D115" s="449"/>
      <c r="E115" s="1686"/>
      <c r="F115" s="1283"/>
      <c r="G115" s="92" t="s">
        <v>70</v>
      </c>
      <c r="H115" s="68">
        <f>547.4</f>
        <v>547.4</v>
      </c>
      <c r="I115" s="66">
        <v>248.7</v>
      </c>
      <c r="J115" s="68">
        <v>248.7</v>
      </c>
      <c r="K115" s="202"/>
      <c r="L115" s="200"/>
      <c r="M115" s="200"/>
      <c r="N115" s="255"/>
    </row>
    <row r="116" spans="1:17" ht="12.75" customHeight="1" x14ac:dyDescent="0.2">
      <c r="A116" s="1278"/>
      <c r="B116" s="1286"/>
      <c r="C116" s="1277"/>
      <c r="D116" s="449"/>
      <c r="E116" s="1686"/>
      <c r="F116" s="1283"/>
      <c r="G116" s="92" t="s">
        <v>77</v>
      </c>
      <c r="H116" s="68">
        <f>216.1</f>
        <v>216.1</v>
      </c>
      <c r="I116" s="66">
        <f t="shared" ref="I116:J116" si="3">I124+I135</f>
        <v>0</v>
      </c>
      <c r="J116" s="68">
        <f t="shared" si="3"/>
        <v>0</v>
      </c>
      <c r="K116" s="202"/>
      <c r="L116" s="200"/>
      <c r="M116" s="200"/>
      <c r="N116" s="255"/>
    </row>
    <row r="117" spans="1:17" ht="12.75" customHeight="1" x14ac:dyDescent="0.2">
      <c r="A117" s="1278"/>
      <c r="B117" s="1286"/>
      <c r="C117" s="1277"/>
      <c r="D117" s="450"/>
      <c r="E117" s="800"/>
      <c r="F117" s="1287"/>
      <c r="G117" s="95" t="s">
        <v>62</v>
      </c>
      <c r="H117" s="67">
        <f>1150+1556.5</f>
        <v>2706.5</v>
      </c>
      <c r="I117" s="722"/>
      <c r="J117" s="241"/>
      <c r="K117" s="241"/>
      <c r="L117" s="240"/>
      <c r="M117" s="240"/>
      <c r="N117" s="242"/>
    </row>
    <row r="118" spans="1:17" ht="14.25" customHeight="1" x14ac:dyDescent="0.2">
      <c r="A118" s="1278"/>
      <c r="B118" s="1286"/>
      <c r="C118" s="1277"/>
      <c r="D118" s="1279" t="s">
        <v>52</v>
      </c>
      <c r="E118" s="1295"/>
      <c r="F118" s="1276"/>
      <c r="G118" s="91"/>
      <c r="H118" s="801"/>
      <c r="I118" s="54"/>
      <c r="J118" s="796"/>
      <c r="K118" s="953"/>
      <c r="L118" s="954"/>
      <c r="M118" s="954"/>
      <c r="N118" s="955"/>
    </row>
    <row r="119" spans="1:17" ht="15.75" customHeight="1" x14ac:dyDescent="0.2">
      <c r="A119" s="1278"/>
      <c r="B119" s="1286"/>
      <c r="C119" s="1277"/>
      <c r="D119" s="1809" t="s">
        <v>82</v>
      </c>
      <c r="E119" s="1295"/>
      <c r="F119" s="1277"/>
      <c r="G119" s="92"/>
      <c r="H119" s="68"/>
      <c r="I119" s="138"/>
      <c r="J119" s="148"/>
      <c r="K119" s="1280" t="s">
        <v>41</v>
      </c>
      <c r="L119" s="272">
        <v>5.9</v>
      </c>
      <c r="M119" s="272">
        <v>5.9</v>
      </c>
      <c r="N119" s="66">
        <v>5.9</v>
      </c>
    </row>
    <row r="120" spans="1:17" ht="10.5" customHeight="1" x14ac:dyDescent="0.2">
      <c r="A120" s="1278"/>
      <c r="B120" s="1286"/>
      <c r="C120" s="1277"/>
      <c r="D120" s="1809"/>
      <c r="E120" s="1289"/>
      <c r="F120" s="1277"/>
      <c r="G120" s="92"/>
      <c r="H120" s="68"/>
      <c r="I120" s="138"/>
      <c r="J120" s="148"/>
      <c r="K120" s="1292"/>
      <c r="L120" s="256"/>
      <c r="M120" s="1296"/>
      <c r="N120" s="207"/>
    </row>
    <row r="121" spans="1:17" ht="14.25" customHeight="1" x14ac:dyDescent="0.2">
      <c r="A121" s="1278"/>
      <c r="B121" s="1286"/>
      <c r="C121" s="1277"/>
      <c r="D121" s="268" t="s">
        <v>83</v>
      </c>
      <c r="E121" s="1289"/>
      <c r="F121" s="1277"/>
      <c r="G121" s="92"/>
      <c r="H121" s="68"/>
      <c r="I121" s="138"/>
      <c r="J121" s="68"/>
      <c r="K121" s="94" t="s">
        <v>190</v>
      </c>
      <c r="L121" s="226">
        <v>3.7</v>
      </c>
      <c r="M121" s="36">
        <f>+L121</f>
        <v>3.7</v>
      </c>
      <c r="N121" s="37">
        <f>+M121</f>
        <v>3.7</v>
      </c>
    </row>
    <row r="122" spans="1:17" ht="26.25" customHeight="1" x14ac:dyDescent="0.2">
      <c r="A122" s="1278"/>
      <c r="B122" s="1286"/>
      <c r="C122" s="1277"/>
      <c r="D122" s="366" t="s">
        <v>84</v>
      </c>
      <c r="E122" s="1288"/>
      <c r="F122" s="1277"/>
      <c r="G122" s="91"/>
      <c r="H122" s="68"/>
      <c r="I122" s="138"/>
      <c r="J122" s="68"/>
      <c r="K122" s="1292" t="s">
        <v>191</v>
      </c>
      <c r="L122" s="453">
        <v>26.7</v>
      </c>
      <c r="M122" s="226">
        <f>+L122</f>
        <v>26.7</v>
      </c>
      <c r="N122" s="521">
        <f>+M122</f>
        <v>26.7</v>
      </c>
    </row>
    <row r="123" spans="1:17" ht="24.75" customHeight="1" x14ac:dyDescent="0.2">
      <c r="A123" s="1278"/>
      <c r="B123" s="1286"/>
      <c r="C123" s="1277"/>
      <c r="D123" s="1638" t="s">
        <v>176</v>
      </c>
      <c r="E123" s="1289"/>
      <c r="F123" s="1277"/>
      <c r="G123" s="842"/>
      <c r="H123" s="687"/>
      <c r="I123" s="138"/>
      <c r="J123" s="68"/>
      <c r="K123" s="1640" t="s">
        <v>416</v>
      </c>
      <c r="L123" s="481" t="s">
        <v>43</v>
      </c>
      <c r="M123" s="714">
        <v>3</v>
      </c>
      <c r="N123" s="245">
        <v>3</v>
      </c>
    </row>
    <row r="124" spans="1:17" ht="78.75" customHeight="1" x14ac:dyDescent="0.2">
      <c r="A124" s="1278"/>
      <c r="B124" s="1286"/>
      <c r="C124" s="1277"/>
      <c r="D124" s="1639"/>
      <c r="E124" s="1295"/>
      <c r="F124" s="1277"/>
      <c r="G124" s="92"/>
      <c r="H124" s="68"/>
      <c r="I124" s="108"/>
      <c r="J124" s="68"/>
      <c r="K124" s="1641"/>
      <c r="L124" s="391"/>
      <c r="M124" s="51"/>
      <c r="N124" s="23"/>
      <c r="Q124" s="1408"/>
    </row>
    <row r="125" spans="1:17" ht="14.25" customHeight="1" x14ac:dyDescent="0.2">
      <c r="A125" s="1278"/>
      <c r="B125" s="1286"/>
      <c r="C125" s="1277"/>
      <c r="D125" s="346" t="s">
        <v>212</v>
      </c>
      <c r="E125" s="1295"/>
      <c r="F125" s="1277"/>
      <c r="G125" s="91"/>
      <c r="H125" s="801"/>
      <c r="I125" s="721"/>
      <c r="J125" s="199"/>
      <c r="K125" s="1280"/>
      <c r="L125" s="40"/>
      <c r="M125" s="233"/>
      <c r="N125" s="844"/>
    </row>
    <row r="126" spans="1:17" ht="52.5" customHeight="1" x14ac:dyDescent="0.2">
      <c r="A126" s="1278"/>
      <c r="B126" s="1286"/>
      <c r="C126" s="1277"/>
      <c r="D126" s="347" t="s">
        <v>213</v>
      </c>
      <c r="E126" s="1295"/>
      <c r="F126" s="1277"/>
      <c r="G126" s="92"/>
      <c r="H126" s="68"/>
      <c r="I126" s="138"/>
      <c r="J126" s="68"/>
      <c r="K126" s="47" t="s">
        <v>207</v>
      </c>
      <c r="L126" s="395">
        <v>21</v>
      </c>
      <c r="M126" s="395">
        <v>21</v>
      </c>
      <c r="N126" s="1297">
        <v>21</v>
      </c>
    </row>
    <row r="127" spans="1:17" ht="22.5" customHeight="1" x14ac:dyDescent="0.2">
      <c r="A127" s="1278"/>
      <c r="B127" s="1286"/>
      <c r="C127" s="1277"/>
      <c r="D127" s="1790" t="s">
        <v>214</v>
      </c>
      <c r="E127" s="1295"/>
      <c r="F127" s="1277"/>
      <c r="G127" s="92"/>
      <c r="H127" s="68"/>
      <c r="I127" s="138"/>
      <c r="J127" s="68"/>
      <c r="K127" s="1792" t="s">
        <v>319</v>
      </c>
      <c r="L127" s="394">
        <v>12</v>
      </c>
      <c r="M127" s="394">
        <v>12</v>
      </c>
      <c r="N127" s="1291">
        <v>12</v>
      </c>
    </row>
    <row r="128" spans="1:17" ht="21" customHeight="1" x14ac:dyDescent="0.2">
      <c r="A128" s="1278"/>
      <c r="B128" s="1286"/>
      <c r="C128" s="1277"/>
      <c r="D128" s="1791"/>
      <c r="E128" s="1295"/>
      <c r="F128" s="1277"/>
      <c r="G128" s="92"/>
      <c r="H128" s="68"/>
      <c r="I128" s="138"/>
      <c r="J128" s="68"/>
      <c r="K128" s="1793"/>
      <c r="L128" s="391"/>
      <c r="M128" s="392"/>
      <c r="N128" s="23"/>
    </row>
    <row r="129" spans="1:14" ht="18" customHeight="1" x14ac:dyDescent="0.2">
      <c r="A129" s="1736"/>
      <c r="B129" s="1731"/>
      <c r="C129" s="1732"/>
      <c r="D129" s="1754" t="s">
        <v>42</v>
      </c>
      <c r="E129" s="1795"/>
      <c r="F129" s="1789"/>
      <c r="G129" s="92"/>
      <c r="H129" s="68"/>
      <c r="I129" s="66"/>
      <c r="J129" s="68"/>
      <c r="K129" s="1762" t="s">
        <v>54</v>
      </c>
      <c r="L129" s="1764">
        <v>7</v>
      </c>
      <c r="M129" s="1764">
        <v>7</v>
      </c>
      <c r="N129" s="1786">
        <v>7</v>
      </c>
    </row>
    <row r="130" spans="1:14" ht="12.75" customHeight="1" x14ac:dyDescent="0.2">
      <c r="A130" s="1736"/>
      <c r="B130" s="1731"/>
      <c r="C130" s="1732"/>
      <c r="D130" s="1794"/>
      <c r="E130" s="1795"/>
      <c r="F130" s="1789"/>
      <c r="G130" s="92"/>
      <c r="H130" s="68"/>
      <c r="I130" s="138"/>
      <c r="J130" s="68"/>
      <c r="K130" s="1763"/>
      <c r="L130" s="1765"/>
      <c r="M130" s="1765"/>
      <c r="N130" s="1787"/>
    </row>
    <row r="131" spans="1:14" ht="18" customHeight="1" x14ac:dyDescent="0.2">
      <c r="A131" s="1736"/>
      <c r="B131" s="1788"/>
      <c r="C131" s="1732"/>
      <c r="D131" s="1748" t="s">
        <v>179</v>
      </c>
      <c r="E131" s="1796"/>
      <c r="F131" s="1789"/>
      <c r="G131" s="92"/>
      <c r="H131" s="68"/>
      <c r="I131" s="138"/>
      <c r="J131" s="68"/>
      <c r="K131" s="284" t="s">
        <v>270</v>
      </c>
      <c r="L131" s="29"/>
      <c r="M131" s="398"/>
      <c r="N131" s="399"/>
    </row>
    <row r="132" spans="1:14" ht="16.5" customHeight="1" x14ac:dyDescent="0.2">
      <c r="A132" s="1736"/>
      <c r="B132" s="1788"/>
      <c r="C132" s="1732"/>
      <c r="D132" s="1758"/>
      <c r="E132" s="1796"/>
      <c r="F132" s="1789"/>
      <c r="G132" s="92"/>
      <c r="H132" s="68"/>
      <c r="I132" s="138"/>
      <c r="J132" s="68"/>
      <c r="K132" s="94" t="s">
        <v>311</v>
      </c>
      <c r="L132" s="34">
        <v>1</v>
      </c>
      <c r="M132" s="549">
        <v>1</v>
      </c>
      <c r="N132" s="35">
        <v>1</v>
      </c>
    </row>
    <row r="133" spans="1:14" ht="25.5" customHeight="1" x14ac:dyDescent="0.2">
      <c r="A133" s="1736"/>
      <c r="B133" s="1788"/>
      <c r="C133" s="1732"/>
      <c r="D133" s="1758"/>
      <c r="E133" s="1796"/>
      <c r="F133" s="1789"/>
      <c r="G133" s="92"/>
      <c r="H133" s="68"/>
      <c r="I133" s="138"/>
      <c r="J133" s="68"/>
      <c r="K133" s="94" t="s">
        <v>205</v>
      </c>
      <c r="L133" s="34">
        <v>1</v>
      </c>
      <c r="M133" s="549">
        <v>1</v>
      </c>
      <c r="N133" s="35">
        <v>1</v>
      </c>
    </row>
    <row r="134" spans="1:14" ht="17.25" customHeight="1" x14ac:dyDescent="0.2">
      <c r="A134" s="1736"/>
      <c r="B134" s="1788"/>
      <c r="C134" s="1732"/>
      <c r="D134" s="1754" t="s">
        <v>174</v>
      </c>
      <c r="E134" s="1797"/>
      <c r="F134" s="1789"/>
      <c r="G134" s="92"/>
      <c r="H134" s="68"/>
      <c r="I134" s="66"/>
      <c r="J134" s="66"/>
      <c r="K134" s="699" t="s">
        <v>269</v>
      </c>
      <c r="L134" s="700">
        <v>125</v>
      </c>
      <c r="M134" s="701">
        <v>40</v>
      </c>
      <c r="N134" s="959">
        <v>40</v>
      </c>
    </row>
    <row r="135" spans="1:14" ht="21.75" customHeight="1" x14ac:dyDescent="0.2">
      <c r="A135" s="1736"/>
      <c r="B135" s="1788"/>
      <c r="C135" s="1732"/>
      <c r="D135" s="1794"/>
      <c r="E135" s="1797"/>
      <c r="F135" s="1789"/>
      <c r="G135" s="92"/>
      <c r="H135" s="68"/>
      <c r="I135" s="66"/>
      <c r="J135" s="68"/>
      <c r="K135" s="550"/>
      <c r="L135" s="702"/>
      <c r="M135" s="703"/>
      <c r="N135" s="960"/>
    </row>
    <row r="136" spans="1:14" ht="19.5" customHeight="1" x14ac:dyDescent="0.2">
      <c r="A136" s="1290"/>
      <c r="B136" s="1286"/>
      <c r="C136" s="265"/>
      <c r="D136" s="1758" t="s">
        <v>292</v>
      </c>
      <c r="E136" s="1285"/>
      <c r="F136" s="1287"/>
      <c r="G136" s="92"/>
      <c r="H136" s="68"/>
      <c r="I136" s="138"/>
      <c r="J136" s="68"/>
      <c r="K136" s="1284" t="s">
        <v>293</v>
      </c>
      <c r="L136" s="307">
        <v>1</v>
      </c>
      <c r="M136" s="307"/>
      <c r="N136" s="191"/>
    </row>
    <row r="137" spans="1:14" ht="10.5" customHeight="1" x14ac:dyDescent="0.2">
      <c r="A137" s="1290"/>
      <c r="B137" s="1286"/>
      <c r="C137" s="265"/>
      <c r="D137" s="1758"/>
      <c r="E137" s="1285"/>
      <c r="F137" s="1283"/>
      <c r="G137" s="92"/>
      <c r="H137" s="68"/>
      <c r="I137" s="138"/>
      <c r="J137" s="68"/>
      <c r="K137" s="1284"/>
      <c r="L137" s="330"/>
      <c r="M137" s="408"/>
      <c r="N137" s="186"/>
    </row>
    <row r="138" spans="1:14" ht="27" customHeight="1" x14ac:dyDescent="0.2">
      <c r="A138" s="1290"/>
      <c r="B138" s="1286"/>
      <c r="C138" s="265"/>
      <c r="D138" s="1748" t="s">
        <v>161</v>
      </c>
      <c r="E138" s="229"/>
      <c r="F138" s="1283"/>
      <c r="G138" s="92"/>
      <c r="H138" s="68"/>
      <c r="I138" s="138"/>
      <c r="J138" s="68"/>
      <c r="K138" s="685" t="s">
        <v>162</v>
      </c>
      <c r="L138" s="434"/>
      <c r="M138" s="434">
        <v>6</v>
      </c>
      <c r="N138" s="435"/>
    </row>
    <row r="139" spans="1:14" ht="15.75" customHeight="1" x14ac:dyDescent="0.2">
      <c r="A139" s="1290"/>
      <c r="B139" s="1286"/>
      <c r="C139" s="265"/>
      <c r="D139" s="1758"/>
      <c r="E139" s="1285"/>
      <c r="F139" s="1283"/>
      <c r="G139" s="95"/>
      <c r="H139" s="67"/>
      <c r="I139" s="139"/>
      <c r="J139" s="67"/>
      <c r="K139" s="203" t="s">
        <v>295</v>
      </c>
      <c r="L139" s="307">
        <v>6</v>
      </c>
      <c r="M139" s="684"/>
      <c r="N139" s="191">
        <v>6</v>
      </c>
    </row>
    <row r="140" spans="1:14" ht="18" customHeight="1" thickBot="1" x14ac:dyDescent="0.25">
      <c r="A140" s="1282"/>
      <c r="B140" s="327"/>
      <c r="C140" s="1294"/>
      <c r="D140" s="944"/>
      <c r="E140" s="915"/>
      <c r="F140" s="916"/>
      <c r="G140" s="246" t="s">
        <v>6</v>
      </c>
      <c r="H140" s="156">
        <f>SUM(H114:H139)</f>
        <v>5886.7</v>
      </c>
      <c r="I140" s="156">
        <f>SUM(I114:I139)</f>
        <v>5326.8</v>
      </c>
      <c r="J140" s="156">
        <f>SUM(J114:J139)</f>
        <v>5328.3</v>
      </c>
      <c r="K140" s="917"/>
      <c r="L140" s="918"/>
      <c r="M140" s="919"/>
      <c r="N140" s="920"/>
    </row>
    <row r="141" spans="1:14" ht="54.75" customHeight="1" x14ac:dyDescent="0.2">
      <c r="A141" s="886" t="s">
        <v>5</v>
      </c>
      <c r="B141" s="905" t="s">
        <v>7</v>
      </c>
      <c r="C141" s="881" t="s">
        <v>7</v>
      </c>
      <c r="D141" s="906" t="s">
        <v>325</v>
      </c>
      <c r="E141" s="907" t="s">
        <v>47</v>
      </c>
      <c r="F141" s="895" t="s">
        <v>43</v>
      </c>
      <c r="G141" s="426" t="s">
        <v>70</v>
      </c>
      <c r="H141" s="263">
        <v>150</v>
      </c>
      <c r="I141" s="217">
        <f>391.7+15</f>
        <v>406.7</v>
      </c>
      <c r="J141" s="431">
        <v>558.6</v>
      </c>
      <c r="K141" s="697" t="s">
        <v>324</v>
      </c>
      <c r="L141" s="238">
        <v>4</v>
      </c>
      <c r="M141" s="637">
        <v>6</v>
      </c>
      <c r="N141" s="638"/>
    </row>
    <row r="142" spans="1:14" ht="30.75" customHeight="1" x14ac:dyDescent="0.2">
      <c r="A142" s="409"/>
      <c r="B142" s="764"/>
      <c r="C142" s="772"/>
      <c r="D142" s="903"/>
      <c r="E142" s="741"/>
      <c r="F142" s="740"/>
      <c r="G142" s="282"/>
      <c r="H142" s="285"/>
      <c r="I142" s="282"/>
      <c r="J142" s="342"/>
      <c r="K142" s="260" t="s">
        <v>326</v>
      </c>
      <c r="L142" s="227"/>
      <c r="M142" s="945" t="s">
        <v>56</v>
      </c>
      <c r="N142" s="720" t="s">
        <v>281</v>
      </c>
    </row>
    <row r="143" spans="1:14" ht="39.75" customHeight="1" x14ac:dyDescent="0.2">
      <c r="A143" s="409"/>
      <c r="B143" s="764"/>
      <c r="C143" s="772"/>
      <c r="D143" s="888"/>
      <c r="E143" s="741"/>
      <c r="F143" s="740"/>
      <c r="G143" s="80" t="s">
        <v>25</v>
      </c>
      <c r="H143" s="178">
        <v>40</v>
      </c>
      <c r="I143" s="80"/>
      <c r="J143" s="210"/>
      <c r="K143" s="729" t="s">
        <v>345</v>
      </c>
      <c r="L143" s="40">
        <v>1</v>
      </c>
      <c r="M143" s="705"/>
      <c r="N143" s="440"/>
    </row>
    <row r="144" spans="1:14" ht="18" customHeight="1" thickBot="1" x14ac:dyDescent="0.25">
      <c r="A144" s="891"/>
      <c r="B144" s="327"/>
      <c r="C144" s="893"/>
      <c r="D144" s="944"/>
      <c r="E144" s="915"/>
      <c r="F144" s="916"/>
      <c r="G144" s="246" t="s">
        <v>6</v>
      </c>
      <c r="H144" s="156">
        <f>SUM(H141:H143)</f>
        <v>190</v>
      </c>
      <c r="I144" s="156">
        <f>SUM(I141:I143)</f>
        <v>406.7</v>
      </c>
      <c r="J144" s="156">
        <f>SUM(J141:J143)</f>
        <v>558.6</v>
      </c>
      <c r="K144" s="917"/>
      <c r="L144" s="918"/>
      <c r="M144" s="919"/>
      <c r="N144" s="920"/>
    </row>
    <row r="145" spans="1:14" ht="17.25" customHeight="1" x14ac:dyDescent="0.2">
      <c r="A145" s="1798" t="s">
        <v>5</v>
      </c>
      <c r="B145" s="1800" t="s">
        <v>7</v>
      </c>
      <c r="C145" s="1770" t="s">
        <v>28</v>
      </c>
      <c r="D145" s="1668" t="s">
        <v>160</v>
      </c>
      <c r="E145" s="1774" t="s">
        <v>47</v>
      </c>
      <c r="F145" s="1770" t="s">
        <v>43</v>
      </c>
      <c r="G145" s="217" t="s">
        <v>25</v>
      </c>
      <c r="H145" s="108">
        <v>113</v>
      </c>
      <c r="I145" s="217">
        <v>639.6</v>
      </c>
      <c r="J145" s="138"/>
      <c r="K145" s="994" t="s">
        <v>327</v>
      </c>
      <c r="L145" s="331"/>
      <c r="M145" s="324">
        <v>17</v>
      </c>
      <c r="N145" s="219"/>
    </row>
    <row r="146" spans="1:14" ht="17.25" customHeight="1" x14ac:dyDescent="0.2">
      <c r="A146" s="1633"/>
      <c r="B146" s="1801"/>
      <c r="C146" s="1635"/>
      <c r="D146" s="1669"/>
      <c r="E146" s="1775"/>
      <c r="F146" s="1635"/>
      <c r="G146" s="67" t="s">
        <v>397</v>
      </c>
      <c r="H146" s="170">
        <v>640</v>
      </c>
      <c r="I146" s="67">
        <v>3624.5</v>
      </c>
      <c r="J146" s="204"/>
      <c r="K146" s="993"/>
      <c r="L146" s="330"/>
      <c r="M146" s="330"/>
      <c r="N146" s="186"/>
    </row>
    <row r="147" spans="1:14" ht="18" customHeight="1" thickBot="1" x14ac:dyDescent="0.25">
      <c r="A147" s="1799"/>
      <c r="B147" s="1802"/>
      <c r="C147" s="1771"/>
      <c r="D147" s="1803"/>
      <c r="E147" s="1776"/>
      <c r="F147" s="1771"/>
      <c r="G147" s="98" t="s">
        <v>6</v>
      </c>
      <c r="H147" s="334">
        <f>SUM(H145:H146)</f>
        <v>753</v>
      </c>
      <c r="I147" s="98">
        <f t="shared" ref="I147:J147" si="4">SUM(I145:I146)</f>
        <v>4264.1000000000004</v>
      </c>
      <c r="J147" s="152">
        <f t="shared" si="4"/>
        <v>0</v>
      </c>
      <c r="K147" s="280"/>
      <c r="L147" s="221"/>
      <c r="M147" s="221"/>
      <c r="N147" s="220"/>
    </row>
    <row r="148" spans="1:14" ht="14.25" customHeight="1" thickBot="1" x14ac:dyDescent="0.25">
      <c r="A148" s="99" t="s">
        <v>5</v>
      </c>
      <c r="B148" s="329" t="s">
        <v>7</v>
      </c>
      <c r="C148" s="1785" t="s">
        <v>8</v>
      </c>
      <c r="D148" s="1728"/>
      <c r="E148" s="1728"/>
      <c r="F148" s="1728"/>
      <c r="G148" s="1660"/>
      <c r="H148" s="439">
        <f>H144+H140+H147</f>
        <v>6829.7</v>
      </c>
      <c r="I148" s="439">
        <f t="shared" ref="I148:J148" si="5">I144+I140+I147</f>
        <v>9997.6</v>
      </c>
      <c r="J148" s="159">
        <f t="shared" si="5"/>
        <v>5886.9</v>
      </c>
      <c r="K148" s="1661"/>
      <c r="L148" s="1661"/>
      <c r="M148" s="1661"/>
      <c r="N148" s="1662"/>
    </row>
    <row r="149" spans="1:14" ht="18" customHeight="1" thickBot="1" x14ac:dyDescent="0.25">
      <c r="A149" s="85" t="s">
        <v>5</v>
      </c>
      <c r="B149" s="329" t="s">
        <v>28</v>
      </c>
      <c r="C149" s="1645" t="s">
        <v>120</v>
      </c>
      <c r="D149" s="1646"/>
      <c r="E149" s="1646"/>
      <c r="F149" s="1646"/>
      <c r="G149" s="1646"/>
      <c r="H149" s="1646"/>
      <c r="I149" s="1646"/>
      <c r="J149" s="1646"/>
      <c r="K149" s="1646"/>
      <c r="L149" s="1646"/>
      <c r="M149" s="1646"/>
      <c r="N149" s="1647"/>
    </row>
    <row r="150" spans="1:14" ht="11.25" customHeight="1" x14ac:dyDescent="0.2">
      <c r="A150" s="768" t="s">
        <v>5</v>
      </c>
      <c r="B150" s="328" t="s">
        <v>28</v>
      </c>
      <c r="C150" s="743" t="s">
        <v>5</v>
      </c>
      <c r="D150" s="1745" t="s">
        <v>116</v>
      </c>
      <c r="E150" s="129" t="s">
        <v>80</v>
      </c>
      <c r="F150" s="947">
        <v>6</v>
      </c>
      <c r="G150" s="217" t="s">
        <v>25</v>
      </c>
      <c r="H150" s="214">
        <v>90.1</v>
      </c>
      <c r="I150" s="444">
        <v>360.1</v>
      </c>
      <c r="J150" s="444">
        <v>360.1</v>
      </c>
      <c r="K150" s="427"/>
      <c r="L150" s="214"/>
      <c r="M150" s="270"/>
      <c r="N150" s="271"/>
    </row>
    <row r="151" spans="1:14" ht="12.75" customHeight="1" x14ac:dyDescent="0.2">
      <c r="A151" s="726"/>
      <c r="B151" s="727"/>
      <c r="C151" s="731"/>
      <c r="D151" s="1684"/>
      <c r="E151" s="679"/>
      <c r="F151" s="740"/>
      <c r="G151" s="68" t="s">
        <v>70</v>
      </c>
      <c r="H151" s="272">
        <f>809</f>
        <v>809</v>
      </c>
      <c r="I151" s="148">
        <v>505</v>
      </c>
      <c r="J151" s="92">
        <v>505</v>
      </c>
      <c r="K151" s="738"/>
      <c r="L151" s="272"/>
      <c r="M151" s="42"/>
      <c r="N151" s="43"/>
    </row>
    <row r="152" spans="1:14" ht="12.75" customHeight="1" x14ac:dyDescent="0.2">
      <c r="A152" s="726"/>
      <c r="B152" s="727"/>
      <c r="C152" s="731"/>
      <c r="D152" s="1684"/>
      <c r="E152" s="679"/>
      <c r="F152" s="740"/>
      <c r="G152" s="68" t="s">
        <v>77</v>
      </c>
      <c r="H152" s="272">
        <v>224.6</v>
      </c>
      <c r="I152" s="148"/>
      <c r="J152" s="92"/>
      <c r="K152" s="738"/>
      <c r="L152" s="272"/>
      <c r="M152" s="42"/>
      <c r="N152" s="43"/>
    </row>
    <row r="153" spans="1:14" ht="12.75" customHeight="1" x14ac:dyDescent="0.2">
      <c r="A153" s="1010"/>
      <c r="B153" s="1014"/>
      <c r="C153" s="1012"/>
      <c r="D153" s="802"/>
      <c r="E153" s="679"/>
      <c r="F153" s="1013"/>
      <c r="G153" s="68" t="s">
        <v>62</v>
      </c>
      <c r="H153" s="272">
        <f>49+150</f>
        <v>199</v>
      </c>
      <c r="I153" s="148"/>
      <c r="J153" s="92"/>
      <c r="K153" s="1015"/>
      <c r="L153" s="272"/>
      <c r="M153" s="42"/>
      <c r="N153" s="43"/>
    </row>
    <row r="154" spans="1:14" ht="15.75" customHeight="1" x14ac:dyDescent="0.2">
      <c r="A154" s="726"/>
      <c r="B154" s="727"/>
      <c r="C154" s="731"/>
      <c r="D154" s="449"/>
      <c r="E154" s="679"/>
      <c r="F154" s="740"/>
      <c r="G154" s="67" t="s">
        <v>107</v>
      </c>
      <c r="H154" s="45">
        <v>250</v>
      </c>
      <c r="I154" s="149">
        <v>250</v>
      </c>
      <c r="J154" s="95">
        <v>250</v>
      </c>
      <c r="K154" s="778"/>
      <c r="L154" s="45"/>
      <c r="M154" s="44"/>
      <c r="N154" s="46"/>
    </row>
    <row r="155" spans="1:14" ht="13.5" customHeight="1" x14ac:dyDescent="0.2">
      <c r="A155" s="726"/>
      <c r="B155" s="727"/>
      <c r="C155" s="731"/>
      <c r="D155" s="1737" t="s">
        <v>114</v>
      </c>
      <c r="E155" s="1751" t="s">
        <v>79</v>
      </c>
      <c r="F155" s="928"/>
      <c r="G155" s="68"/>
      <c r="H155" s="92"/>
      <c r="I155" s="148"/>
      <c r="J155" s="68"/>
      <c r="K155" s="896" t="s">
        <v>121</v>
      </c>
      <c r="L155" s="272">
        <v>13.8</v>
      </c>
      <c r="M155" s="42">
        <v>13.8</v>
      </c>
      <c r="N155" s="43">
        <v>13.8</v>
      </c>
    </row>
    <row r="156" spans="1:14" ht="14.25" customHeight="1" x14ac:dyDescent="0.2">
      <c r="A156" s="726"/>
      <c r="B156" s="727"/>
      <c r="C156" s="731"/>
      <c r="D156" s="1669"/>
      <c r="E156" s="1784"/>
      <c r="F156" s="928"/>
      <c r="G156" s="68"/>
      <c r="H156" s="92"/>
      <c r="I156" s="148"/>
      <c r="J156" s="68"/>
      <c r="K156" s="896" t="s">
        <v>38</v>
      </c>
      <c r="L156" s="330">
        <v>67</v>
      </c>
      <c r="M156" s="384">
        <v>67</v>
      </c>
      <c r="N156" s="308">
        <v>67</v>
      </c>
    </row>
    <row r="157" spans="1:14" ht="15" customHeight="1" x14ac:dyDescent="0.2">
      <c r="A157" s="726"/>
      <c r="B157" s="727"/>
      <c r="C157" s="731"/>
      <c r="D157" s="1669"/>
      <c r="E157" s="1686"/>
      <c r="F157" s="928"/>
      <c r="G157" s="68"/>
      <c r="H157" s="92"/>
      <c r="I157" s="148"/>
      <c r="J157" s="68"/>
      <c r="K157" s="896" t="s">
        <v>85</v>
      </c>
      <c r="L157" s="949">
        <v>1.8</v>
      </c>
      <c r="M157" s="950">
        <v>1.8</v>
      </c>
      <c r="N157" s="43">
        <v>1.8</v>
      </c>
    </row>
    <row r="158" spans="1:14" ht="15" customHeight="1" x14ac:dyDescent="0.2">
      <c r="A158" s="726"/>
      <c r="B158" s="727"/>
      <c r="C158" s="731"/>
      <c r="D158" s="1669"/>
      <c r="E158" s="733"/>
      <c r="F158" s="928"/>
      <c r="G158" s="68"/>
      <c r="H158" s="148"/>
      <c r="I158" s="148"/>
      <c r="J158" s="68"/>
      <c r="K158" s="896" t="s">
        <v>314</v>
      </c>
      <c r="L158" s="330">
        <v>100</v>
      </c>
      <c r="M158" s="384"/>
      <c r="N158" s="952"/>
    </row>
    <row r="159" spans="1:14" ht="15" customHeight="1" x14ac:dyDescent="0.2">
      <c r="A159" s="726"/>
      <c r="B159" s="727"/>
      <c r="C159" s="731"/>
      <c r="D159" s="1669"/>
      <c r="E159" s="733"/>
      <c r="F159" s="928"/>
      <c r="G159" s="68"/>
      <c r="H159" s="148"/>
      <c r="I159" s="148"/>
      <c r="J159" s="68"/>
      <c r="K159" s="896" t="s">
        <v>184</v>
      </c>
      <c r="L159" s="330">
        <v>165</v>
      </c>
      <c r="M159" s="384"/>
      <c r="N159" s="952"/>
    </row>
    <row r="160" spans="1:14" ht="18.75" customHeight="1" x14ac:dyDescent="0.2">
      <c r="A160" s="726"/>
      <c r="B160" s="727"/>
      <c r="C160" s="731"/>
      <c r="D160" s="1669"/>
      <c r="E160" s="733"/>
      <c r="F160" s="928"/>
      <c r="G160" s="68"/>
      <c r="H160" s="148"/>
      <c r="I160" s="148"/>
      <c r="J160" s="68"/>
      <c r="K160" s="896" t="s">
        <v>364</v>
      </c>
      <c r="L160" s="330">
        <v>4</v>
      </c>
      <c r="M160" s="384"/>
      <c r="N160" s="951"/>
    </row>
    <row r="161" spans="1:14" ht="17.25" customHeight="1" x14ac:dyDescent="0.2">
      <c r="A161" s="726"/>
      <c r="B161" s="727"/>
      <c r="C161" s="731"/>
      <c r="D161" s="946" t="s">
        <v>66</v>
      </c>
      <c r="E161" s="901"/>
      <c r="F161" s="928"/>
      <c r="G161" s="64"/>
      <c r="H161" s="92"/>
      <c r="I161" s="148"/>
      <c r="J161" s="68"/>
      <c r="K161" s="983" t="s">
        <v>86</v>
      </c>
      <c r="L161" s="26">
        <v>1</v>
      </c>
      <c r="M161" s="26">
        <v>1</v>
      </c>
      <c r="N161" s="192">
        <v>1</v>
      </c>
    </row>
    <row r="162" spans="1:14" ht="15.75" customHeight="1" x14ac:dyDescent="0.2">
      <c r="A162" s="1010"/>
      <c r="B162" s="1014"/>
      <c r="C162" s="1012"/>
      <c r="D162" s="1882" t="s">
        <v>123</v>
      </c>
      <c r="E162" s="158"/>
      <c r="F162" s="1013"/>
      <c r="G162" s="68"/>
      <c r="H162" s="92"/>
      <c r="I162" s="148"/>
      <c r="J162" s="148"/>
      <c r="K162" s="1883" t="s">
        <v>334</v>
      </c>
      <c r="L162" s="1885">
        <v>14</v>
      </c>
      <c r="M162" s="1887"/>
      <c r="N162" s="1889"/>
    </row>
    <row r="163" spans="1:14" ht="12.75" customHeight="1" x14ac:dyDescent="0.2">
      <c r="A163" s="1010"/>
      <c r="B163" s="1014"/>
      <c r="C163" s="1012"/>
      <c r="D163" s="1882"/>
      <c r="E163" s="158"/>
      <c r="F163" s="1013"/>
      <c r="G163" s="68"/>
      <c r="H163" s="92"/>
      <c r="I163" s="148"/>
      <c r="J163" s="68"/>
      <c r="K163" s="1884"/>
      <c r="L163" s="1886"/>
      <c r="M163" s="1888"/>
      <c r="N163" s="1890"/>
    </row>
    <row r="164" spans="1:14" ht="16.5" customHeight="1" x14ac:dyDescent="0.2">
      <c r="A164" s="726"/>
      <c r="B164" s="727"/>
      <c r="C164" s="731"/>
      <c r="D164" s="1754" t="s">
        <v>115</v>
      </c>
      <c r="E164" s="765"/>
      <c r="F164" s="948"/>
      <c r="G164" s="68"/>
      <c r="H164" s="91"/>
      <c r="I164" s="92"/>
      <c r="J164" s="68"/>
      <c r="K164" s="277" t="s">
        <v>185</v>
      </c>
      <c r="L164" s="984">
        <v>170</v>
      </c>
      <c r="M164" s="984">
        <v>170</v>
      </c>
      <c r="N164" s="985">
        <v>170</v>
      </c>
    </row>
    <row r="165" spans="1:14" ht="41.25" customHeight="1" x14ac:dyDescent="0.2">
      <c r="A165" s="726"/>
      <c r="B165" s="727"/>
      <c r="C165" s="731"/>
      <c r="D165" s="1783"/>
      <c r="E165" s="765"/>
      <c r="F165" s="948"/>
      <c r="G165" s="68"/>
      <c r="H165" s="92"/>
      <c r="I165" s="92"/>
      <c r="J165" s="68"/>
      <c r="K165" s="348" t="s">
        <v>180</v>
      </c>
      <c r="L165" s="803" t="s">
        <v>117</v>
      </c>
      <c r="M165" s="803"/>
      <c r="N165" s="804"/>
    </row>
    <row r="166" spans="1:14" ht="24" customHeight="1" x14ac:dyDescent="0.2">
      <c r="A166" s="748"/>
      <c r="B166" s="727"/>
      <c r="C166" s="265"/>
      <c r="D166" s="1758" t="s">
        <v>203</v>
      </c>
      <c r="E166" s="749"/>
      <c r="F166" s="928"/>
      <c r="G166" s="67"/>
      <c r="H166" s="95"/>
      <c r="I166" s="95"/>
      <c r="J166" s="67"/>
      <c r="K166" s="1781" t="s">
        <v>181</v>
      </c>
      <c r="L166" s="631">
        <v>19</v>
      </c>
      <c r="M166" s="631">
        <v>19</v>
      </c>
      <c r="N166" s="632">
        <v>19</v>
      </c>
    </row>
    <row r="167" spans="1:14" ht="15.75" customHeight="1" thickBot="1" x14ac:dyDescent="0.25">
      <c r="A167" s="75"/>
      <c r="B167" s="892"/>
      <c r="C167" s="104"/>
      <c r="D167" s="1780"/>
      <c r="E167" s="915"/>
      <c r="F167" s="104"/>
      <c r="G167" s="156" t="s">
        <v>6</v>
      </c>
      <c r="H167" s="156">
        <f>SUM(H150:H166)</f>
        <v>1572.7</v>
      </c>
      <c r="I167" s="156">
        <f>SUM(I150:I166)</f>
        <v>1115.0999999999999</v>
      </c>
      <c r="J167" s="156">
        <f>SUM(J150:J166)</f>
        <v>1115.0999999999999</v>
      </c>
      <c r="K167" s="1782"/>
      <c r="L167" s="918"/>
      <c r="M167" s="919"/>
      <c r="N167" s="920"/>
    </row>
    <row r="168" spans="1:14" ht="15" customHeight="1" x14ac:dyDescent="0.2">
      <c r="A168" s="1766" t="s">
        <v>5</v>
      </c>
      <c r="B168" s="1768" t="s">
        <v>28</v>
      </c>
      <c r="C168" s="1770" t="s">
        <v>7</v>
      </c>
      <c r="D168" s="1772" t="s">
        <v>307</v>
      </c>
      <c r="E168" s="1774" t="s">
        <v>78</v>
      </c>
      <c r="F168" s="1777" t="s">
        <v>56</v>
      </c>
      <c r="G168" s="105" t="s">
        <v>25</v>
      </c>
      <c r="H168" s="262">
        <v>112.6</v>
      </c>
      <c r="I168" s="217">
        <v>112.6</v>
      </c>
      <c r="J168" s="262">
        <v>112.6</v>
      </c>
      <c r="K168" s="247" t="s">
        <v>69</v>
      </c>
      <c r="L168" s="324">
        <v>18</v>
      </c>
      <c r="M168" s="324">
        <v>18</v>
      </c>
      <c r="N168" s="219">
        <v>18</v>
      </c>
    </row>
    <row r="169" spans="1:14" ht="16.5" customHeight="1" x14ac:dyDescent="0.2">
      <c r="A169" s="1736"/>
      <c r="B169" s="1731"/>
      <c r="C169" s="1635"/>
      <c r="D169" s="1758"/>
      <c r="E169" s="1775"/>
      <c r="F169" s="1778"/>
      <c r="G169" s="80" t="s">
        <v>62</v>
      </c>
      <c r="H169" s="166">
        <v>93</v>
      </c>
      <c r="I169" s="61"/>
      <c r="J169" s="166"/>
      <c r="K169" s="855" t="s">
        <v>87</v>
      </c>
      <c r="L169" s="330">
        <v>7</v>
      </c>
      <c r="M169" s="330">
        <v>7</v>
      </c>
      <c r="N169" s="186">
        <v>7</v>
      </c>
    </row>
    <row r="170" spans="1:14" ht="15" customHeight="1" thickBot="1" x14ac:dyDescent="0.25">
      <c r="A170" s="1767"/>
      <c r="B170" s="1769"/>
      <c r="C170" s="1771"/>
      <c r="D170" s="1773"/>
      <c r="E170" s="1776"/>
      <c r="F170" s="1779"/>
      <c r="G170" s="98" t="s">
        <v>6</v>
      </c>
      <c r="H170" s="169">
        <f>SUM(H168:H169)</f>
        <v>205.6</v>
      </c>
      <c r="I170" s="169">
        <f t="shared" ref="I170:J170" si="6">SUM(I168:I169)</f>
        <v>112.6</v>
      </c>
      <c r="J170" s="246">
        <f t="shared" si="6"/>
        <v>112.6</v>
      </c>
      <c r="K170" s="776"/>
      <c r="L170" s="221"/>
      <c r="M170" s="221"/>
      <c r="N170" s="220"/>
    </row>
    <row r="171" spans="1:14" ht="11.25" customHeight="1" x14ac:dyDescent="0.2">
      <c r="A171" s="904" t="s">
        <v>5</v>
      </c>
      <c r="B171" s="961" t="s">
        <v>28</v>
      </c>
      <c r="C171" s="902" t="s">
        <v>28</v>
      </c>
      <c r="D171" s="1745" t="s">
        <v>226</v>
      </c>
      <c r="E171" s="129" t="s">
        <v>47</v>
      </c>
      <c r="F171" s="947">
        <v>5</v>
      </c>
      <c r="G171" s="217" t="s">
        <v>25</v>
      </c>
      <c r="H171" s="262">
        <v>197.1</v>
      </c>
      <c r="I171" s="217">
        <f>412.5+50</f>
        <v>462.5</v>
      </c>
      <c r="J171" s="217">
        <v>155</v>
      </c>
      <c r="K171" s="969"/>
      <c r="L171" s="272"/>
      <c r="M171" s="272"/>
      <c r="N171" s="66"/>
    </row>
    <row r="172" spans="1:14" ht="12" customHeight="1" x14ac:dyDescent="0.2">
      <c r="A172" s="886"/>
      <c r="B172" s="887"/>
      <c r="C172" s="881"/>
      <c r="D172" s="1746"/>
      <c r="E172" s="679"/>
      <c r="F172" s="895"/>
      <c r="G172" s="68" t="s">
        <v>107</v>
      </c>
      <c r="H172" s="92"/>
      <c r="I172" s="68"/>
      <c r="J172" s="68"/>
      <c r="K172" s="969"/>
      <c r="L172" s="42"/>
      <c r="M172" s="272"/>
      <c r="N172" s="66"/>
    </row>
    <row r="173" spans="1:14" ht="12" customHeight="1" x14ac:dyDescent="0.2">
      <c r="A173" s="886"/>
      <c r="B173" s="887"/>
      <c r="C173" s="881"/>
      <c r="D173" s="1746"/>
      <c r="E173" s="679"/>
      <c r="F173" s="895"/>
      <c r="G173" s="68" t="s">
        <v>62</v>
      </c>
      <c r="H173" s="92">
        <v>150</v>
      </c>
      <c r="I173" s="68"/>
      <c r="J173" s="68"/>
      <c r="K173" s="969"/>
      <c r="L173" s="42"/>
      <c r="M173" s="272"/>
      <c r="N173" s="66"/>
    </row>
    <row r="174" spans="1:14" ht="15" customHeight="1" x14ac:dyDescent="0.2">
      <c r="A174" s="886"/>
      <c r="B174" s="887"/>
      <c r="C174" s="881"/>
      <c r="D174" s="1747"/>
      <c r="E174" s="674"/>
      <c r="F174" s="928"/>
      <c r="G174" s="67" t="s">
        <v>44</v>
      </c>
      <c r="H174" s="95">
        <v>579.5</v>
      </c>
      <c r="I174" s="67">
        <v>634.1</v>
      </c>
      <c r="J174" s="67">
        <f>279+850</f>
        <v>1129</v>
      </c>
      <c r="K174" s="970"/>
      <c r="L174" s="44"/>
      <c r="M174" s="45"/>
      <c r="N174" s="204"/>
    </row>
    <row r="175" spans="1:14" ht="24.75" customHeight="1" x14ac:dyDescent="0.2">
      <c r="A175" s="1633"/>
      <c r="B175" s="1634"/>
      <c r="C175" s="1635"/>
      <c r="D175" s="1748" t="s">
        <v>347</v>
      </c>
      <c r="E175" s="1751" t="s">
        <v>97</v>
      </c>
      <c r="F175" s="889"/>
      <c r="G175" s="230"/>
      <c r="H175" s="96"/>
      <c r="I175" s="60"/>
      <c r="J175" s="60"/>
      <c r="K175" s="971" t="s">
        <v>171</v>
      </c>
      <c r="L175" s="805" t="s">
        <v>172</v>
      </c>
      <c r="M175" s="15">
        <v>100</v>
      </c>
      <c r="N175" s="258"/>
    </row>
    <row r="176" spans="1:14" ht="26.25" customHeight="1" x14ac:dyDescent="0.2">
      <c r="A176" s="1633"/>
      <c r="B176" s="1634"/>
      <c r="C176" s="1635"/>
      <c r="D176" s="1749"/>
      <c r="E176" s="1752"/>
      <c r="F176" s="895"/>
      <c r="G176" s="68"/>
      <c r="H176" s="108"/>
      <c r="I176" s="68"/>
      <c r="J176" s="68"/>
      <c r="K176" s="972" t="s">
        <v>346</v>
      </c>
      <c r="L176" s="195">
        <v>1</v>
      </c>
      <c r="M176" s="34"/>
      <c r="N176" s="575"/>
    </row>
    <row r="177" spans="1:16" ht="15.75" customHeight="1" x14ac:dyDescent="0.2">
      <c r="A177" s="1633"/>
      <c r="B177" s="1634"/>
      <c r="C177" s="1635"/>
      <c r="D177" s="1750"/>
      <c r="E177" s="1753"/>
      <c r="F177" s="895"/>
      <c r="G177" s="68"/>
      <c r="H177" s="108"/>
      <c r="I177" s="68"/>
      <c r="J177" s="68"/>
      <c r="K177" s="973" t="s">
        <v>163</v>
      </c>
      <c r="L177" s="806" t="s">
        <v>271</v>
      </c>
      <c r="M177" s="807">
        <v>2</v>
      </c>
      <c r="N177" s="808"/>
    </row>
    <row r="178" spans="1:16" ht="15" customHeight="1" x14ac:dyDescent="0.2">
      <c r="A178" s="1633"/>
      <c r="B178" s="1634"/>
      <c r="C178" s="1635"/>
      <c r="D178" s="1636" t="s">
        <v>285</v>
      </c>
      <c r="E178" s="1733" t="s">
        <v>164</v>
      </c>
      <c r="F178" s="889"/>
      <c r="G178" s="64"/>
      <c r="H178" s="92"/>
      <c r="I178" s="68"/>
      <c r="J178" s="68"/>
      <c r="K178" s="972" t="s">
        <v>216</v>
      </c>
      <c r="L178" s="195">
        <v>1</v>
      </c>
      <c r="M178" s="195"/>
      <c r="N178" s="308"/>
    </row>
    <row r="179" spans="1:16" ht="29.25" customHeight="1" x14ac:dyDescent="0.2">
      <c r="A179" s="1633"/>
      <c r="B179" s="1634"/>
      <c r="C179" s="1635"/>
      <c r="D179" s="1637"/>
      <c r="E179" s="1744"/>
      <c r="F179" s="895"/>
      <c r="G179" s="68"/>
      <c r="H179" s="92"/>
      <c r="I179" s="68"/>
      <c r="J179" s="68"/>
      <c r="K179" s="972" t="s">
        <v>286</v>
      </c>
      <c r="L179" s="195"/>
      <c r="M179" s="195">
        <v>1</v>
      </c>
      <c r="N179" s="28"/>
    </row>
    <row r="180" spans="1:16" ht="14.25" customHeight="1" x14ac:dyDescent="0.2">
      <c r="A180" s="1736"/>
      <c r="B180" s="1731"/>
      <c r="C180" s="1635"/>
      <c r="D180" s="1754" t="s">
        <v>211</v>
      </c>
      <c r="E180" s="1733"/>
      <c r="F180" s="1743"/>
      <c r="G180" s="64"/>
      <c r="H180" s="92"/>
      <c r="I180" s="68"/>
      <c r="J180" s="68"/>
      <c r="K180" s="974" t="s">
        <v>186</v>
      </c>
      <c r="L180" s="744">
        <v>1</v>
      </c>
      <c r="M180" s="739"/>
      <c r="N180" s="506"/>
    </row>
    <row r="181" spans="1:16" ht="15" customHeight="1" x14ac:dyDescent="0.2">
      <c r="A181" s="1736"/>
      <c r="B181" s="1731"/>
      <c r="C181" s="1635"/>
      <c r="D181" s="1755"/>
      <c r="E181" s="1753"/>
      <c r="F181" s="1743"/>
      <c r="G181" s="68"/>
      <c r="H181" s="92"/>
      <c r="I181" s="68"/>
      <c r="J181" s="68"/>
      <c r="K181" s="21" t="s">
        <v>287</v>
      </c>
      <c r="L181" s="48">
        <v>6</v>
      </c>
      <c r="M181" s="183"/>
      <c r="N181" s="23"/>
    </row>
    <row r="182" spans="1:16" ht="26.25" customHeight="1" x14ac:dyDescent="0.2">
      <c r="A182" s="1633"/>
      <c r="B182" s="1634"/>
      <c r="C182" s="1635"/>
      <c r="D182" s="1636" t="s">
        <v>331</v>
      </c>
      <c r="E182" s="1729" t="s">
        <v>367</v>
      </c>
      <c r="F182" s="1023"/>
      <c r="G182" s="68"/>
      <c r="H182" s="92"/>
      <c r="I182" s="68"/>
      <c r="J182" s="68"/>
      <c r="K182" s="1024" t="s">
        <v>333</v>
      </c>
      <c r="L182" s="1025">
        <v>1</v>
      </c>
      <c r="M182" s="1026"/>
      <c r="N182" s="1028"/>
      <c r="P182" s="1409"/>
    </row>
    <row r="183" spans="1:16" ht="15.75" customHeight="1" x14ac:dyDescent="0.2">
      <c r="A183" s="1633"/>
      <c r="B183" s="1634"/>
      <c r="C183" s="1635"/>
      <c r="D183" s="1636"/>
      <c r="E183" s="1730"/>
      <c r="F183" s="1023"/>
      <c r="G183" s="68"/>
      <c r="H183" s="108"/>
      <c r="I183" s="68"/>
      <c r="J183" s="68"/>
      <c r="K183" s="260" t="s">
        <v>99</v>
      </c>
      <c r="L183" s="27"/>
      <c r="M183" s="195">
        <v>1</v>
      </c>
      <c r="N183" s="28"/>
      <c r="P183" s="1409"/>
    </row>
    <row r="184" spans="1:16" ht="16.5" customHeight="1" x14ac:dyDescent="0.2">
      <c r="A184" s="1633"/>
      <c r="B184" s="1634"/>
      <c r="C184" s="1635"/>
      <c r="D184" s="1637"/>
      <c r="E184" s="1033"/>
      <c r="F184" s="1023"/>
      <c r="G184" s="68"/>
      <c r="H184" s="108"/>
      <c r="I184" s="68"/>
      <c r="J184" s="68"/>
      <c r="K184" s="1024" t="s">
        <v>332</v>
      </c>
      <c r="L184" s="1027"/>
      <c r="M184" s="447"/>
      <c r="N184" s="25">
        <v>30</v>
      </c>
    </row>
    <row r="185" spans="1:16" ht="30" customHeight="1" x14ac:dyDescent="0.2">
      <c r="A185" s="987"/>
      <c r="B185" s="988"/>
      <c r="C185" s="986"/>
      <c r="D185" s="1002" t="s">
        <v>348</v>
      </c>
      <c r="E185" s="1003" t="s">
        <v>221</v>
      </c>
      <c r="F185" s="1004" t="s">
        <v>37</v>
      </c>
      <c r="G185" s="60" t="s">
        <v>77</v>
      </c>
      <c r="H185" s="96">
        <f>24.2+4</f>
        <v>28.2</v>
      </c>
      <c r="I185" s="60"/>
      <c r="J185" s="60"/>
      <c r="K185" s="1005" t="s">
        <v>88</v>
      </c>
      <c r="L185" s="26">
        <v>1</v>
      </c>
      <c r="M185" s="26"/>
      <c r="N185" s="192"/>
    </row>
    <row r="186" spans="1:16" ht="27.75" customHeight="1" x14ac:dyDescent="0.2">
      <c r="A186" s="999"/>
      <c r="B186" s="997"/>
      <c r="C186" s="97"/>
      <c r="D186" s="996" t="s">
        <v>329</v>
      </c>
      <c r="E186" s="1056" t="s">
        <v>164</v>
      </c>
      <c r="F186" s="998"/>
      <c r="G186" s="67" t="s">
        <v>25</v>
      </c>
      <c r="H186" s="95">
        <v>6</v>
      </c>
      <c r="I186" s="95">
        <v>6.2</v>
      </c>
      <c r="J186" s="67">
        <v>6.2</v>
      </c>
      <c r="K186" s="774" t="s">
        <v>330</v>
      </c>
      <c r="L186" s="307">
        <v>6</v>
      </c>
      <c r="M186" s="307">
        <v>6</v>
      </c>
      <c r="N186" s="191">
        <v>6</v>
      </c>
    </row>
    <row r="187" spans="1:16" ht="14.25" customHeight="1" thickBot="1" x14ac:dyDescent="0.25">
      <c r="A187" s="75"/>
      <c r="B187" s="892"/>
      <c r="C187" s="56"/>
      <c r="D187" s="775"/>
      <c r="E187" s="810"/>
      <c r="F187" s="968"/>
      <c r="G187" s="156" t="s">
        <v>6</v>
      </c>
      <c r="H187" s="246">
        <f>SUM(H171:H186)</f>
        <v>960.8</v>
      </c>
      <c r="I187" s="246">
        <f>SUM(I171:I186)</f>
        <v>1102.8</v>
      </c>
      <c r="J187" s="156">
        <f>SUM(J171:J186)</f>
        <v>1290.2</v>
      </c>
      <c r="K187" s="944"/>
      <c r="L187" s="221"/>
      <c r="M187" s="221"/>
      <c r="N187" s="811"/>
    </row>
    <row r="188" spans="1:16" ht="14.25" customHeight="1" thickBot="1" x14ac:dyDescent="0.25">
      <c r="A188" s="99" t="s">
        <v>5</v>
      </c>
      <c r="B188" s="86" t="s">
        <v>28</v>
      </c>
      <c r="C188" s="1728" t="s">
        <v>8</v>
      </c>
      <c r="D188" s="1728"/>
      <c r="E188" s="1728"/>
      <c r="F188" s="1728"/>
      <c r="G188" s="1660"/>
      <c r="H188" s="253">
        <f>H187+H170+H167</f>
        <v>2739.1</v>
      </c>
      <c r="I188" s="253">
        <f>I187+I170+I167</f>
        <v>2330.5</v>
      </c>
      <c r="J188" s="253">
        <f>J187+J170+J167</f>
        <v>2517.9</v>
      </c>
      <c r="K188" s="1661"/>
      <c r="L188" s="1661"/>
      <c r="M188" s="1661"/>
      <c r="N188" s="1662"/>
    </row>
    <row r="189" spans="1:16" ht="14.25" customHeight="1" thickBot="1" x14ac:dyDescent="0.25">
      <c r="A189" s="85" t="s">
        <v>5</v>
      </c>
      <c r="B189" s="86" t="s">
        <v>33</v>
      </c>
      <c r="C189" s="1645" t="s">
        <v>225</v>
      </c>
      <c r="D189" s="1646"/>
      <c r="E189" s="1646"/>
      <c r="F189" s="1646"/>
      <c r="G189" s="1646"/>
      <c r="H189" s="1646"/>
      <c r="I189" s="1646"/>
      <c r="J189" s="1646"/>
      <c r="K189" s="1646"/>
      <c r="L189" s="1646"/>
      <c r="M189" s="1646"/>
      <c r="N189" s="1647"/>
    </row>
    <row r="190" spans="1:16" ht="12" customHeight="1" x14ac:dyDescent="0.2">
      <c r="A190" s="768" t="s">
        <v>5</v>
      </c>
      <c r="B190" s="770" t="s">
        <v>33</v>
      </c>
      <c r="C190" s="301" t="s">
        <v>5</v>
      </c>
      <c r="D190" s="266" t="s">
        <v>113</v>
      </c>
      <c r="E190" s="448"/>
      <c r="F190" s="947">
        <v>6</v>
      </c>
      <c r="G190" s="68" t="s">
        <v>25</v>
      </c>
      <c r="H190" s="214">
        <v>4289.3</v>
      </c>
      <c r="I190" s="217">
        <v>3279.6</v>
      </c>
      <c r="J190" s="217">
        <v>3388</v>
      </c>
      <c r="K190" s="107"/>
      <c r="L190" s="6"/>
      <c r="M190" s="6"/>
      <c r="N190" s="234"/>
    </row>
    <row r="191" spans="1:16" ht="12" customHeight="1" x14ac:dyDescent="0.2">
      <c r="A191" s="726"/>
      <c r="B191" s="747"/>
      <c r="C191" s="265"/>
      <c r="D191" s="449"/>
      <c r="E191" s="765"/>
      <c r="F191" s="740"/>
      <c r="G191" s="68" t="s">
        <v>77</v>
      </c>
      <c r="H191" s="272">
        <v>300</v>
      </c>
      <c r="I191" s="68"/>
      <c r="J191" s="68"/>
      <c r="K191" s="774"/>
      <c r="L191" s="272"/>
      <c r="M191" s="272"/>
      <c r="N191" s="66"/>
    </row>
    <row r="192" spans="1:16" ht="12.75" customHeight="1" x14ac:dyDescent="0.2">
      <c r="A192" s="726"/>
      <c r="B192" s="747"/>
      <c r="C192" s="265"/>
      <c r="D192" s="449"/>
      <c r="E192" s="765"/>
      <c r="F192" s="740"/>
      <c r="G192" s="68" t="s">
        <v>107</v>
      </c>
      <c r="H192" s="272">
        <f>1271.8+0.2</f>
        <v>1272</v>
      </c>
      <c r="I192" s="68">
        <v>1272</v>
      </c>
      <c r="J192" s="68">
        <v>1272</v>
      </c>
      <c r="K192" s="774"/>
      <c r="L192" s="272"/>
      <c r="M192" s="272"/>
      <c r="N192" s="66"/>
    </row>
    <row r="193" spans="1:14" ht="13.5" customHeight="1" x14ac:dyDescent="0.2">
      <c r="A193" s="726"/>
      <c r="B193" s="747"/>
      <c r="C193" s="265"/>
      <c r="D193" s="450"/>
      <c r="E193" s="941"/>
      <c r="F193" s="936"/>
      <c r="G193" s="67" t="s">
        <v>62</v>
      </c>
      <c r="H193" s="45">
        <v>84.2</v>
      </c>
      <c r="I193" s="67"/>
      <c r="J193" s="67"/>
      <c r="K193" s="812"/>
      <c r="L193" s="795"/>
      <c r="M193" s="795"/>
      <c r="N193" s="813"/>
    </row>
    <row r="194" spans="1:14" ht="15.75" customHeight="1" x14ac:dyDescent="0.2">
      <c r="A194" s="726"/>
      <c r="B194" s="747"/>
      <c r="C194" s="103"/>
      <c r="D194" s="734" t="s">
        <v>110</v>
      </c>
      <c r="E194" s="941"/>
      <c r="F194" s="940"/>
      <c r="G194" s="68"/>
      <c r="H194" s="92"/>
      <c r="I194" s="68"/>
      <c r="J194" s="68"/>
      <c r="K194" s="738" t="s">
        <v>68</v>
      </c>
      <c r="L194" s="36">
        <v>11</v>
      </c>
      <c r="M194" s="272"/>
      <c r="N194" s="66"/>
    </row>
    <row r="195" spans="1:14" ht="26.25" customHeight="1" x14ac:dyDescent="0.2">
      <c r="A195" s="726"/>
      <c r="B195" s="747"/>
      <c r="C195" s="1648" t="s">
        <v>245</v>
      </c>
      <c r="D195" s="565" t="s">
        <v>246</v>
      </c>
      <c r="E195" s="941"/>
      <c r="F195" s="936"/>
      <c r="G195" s="68"/>
      <c r="H195" s="92"/>
      <c r="I195" s="68"/>
      <c r="J195" s="68"/>
      <c r="K195" s="738"/>
      <c r="L195" s="272"/>
      <c r="M195" s="272"/>
      <c r="N195" s="66"/>
    </row>
    <row r="196" spans="1:14" ht="27.75" customHeight="1" x14ac:dyDescent="0.2">
      <c r="A196" s="726"/>
      <c r="B196" s="747"/>
      <c r="C196" s="1648"/>
      <c r="D196" s="279" t="s">
        <v>349</v>
      </c>
      <c r="E196" s="941"/>
      <c r="F196" s="936"/>
      <c r="G196" s="68"/>
      <c r="H196" s="92"/>
      <c r="I196" s="68"/>
      <c r="J196" s="68"/>
      <c r="K196" s="738"/>
      <c r="L196" s="272"/>
      <c r="M196" s="272"/>
      <c r="N196" s="66"/>
    </row>
    <row r="197" spans="1:14" ht="24.75" customHeight="1" x14ac:dyDescent="0.2">
      <c r="A197" s="726"/>
      <c r="B197" s="747"/>
      <c r="C197" s="1648"/>
      <c r="D197" s="279" t="s">
        <v>350</v>
      </c>
      <c r="E197" s="941"/>
      <c r="F197" s="936"/>
      <c r="G197" s="68"/>
      <c r="H197" s="92"/>
      <c r="I197" s="68"/>
      <c r="J197" s="68"/>
      <c r="K197" s="738"/>
      <c r="L197" s="272"/>
      <c r="M197" s="272"/>
      <c r="N197" s="66"/>
    </row>
    <row r="198" spans="1:14" ht="12.75" customHeight="1" x14ac:dyDescent="0.2">
      <c r="A198" s="726"/>
      <c r="B198" s="747"/>
      <c r="C198" s="1648"/>
      <c r="D198" s="279" t="s">
        <v>250</v>
      </c>
      <c r="E198" s="941"/>
      <c r="F198" s="936"/>
      <c r="G198" s="68"/>
      <c r="H198" s="92"/>
      <c r="I198" s="68"/>
      <c r="J198" s="68"/>
      <c r="K198" s="738"/>
      <c r="L198" s="272"/>
      <c r="M198" s="272"/>
      <c r="N198" s="66"/>
    </row>
    <row r="199" spans="1:14" ht="13.5" customHeight="1" x14ac:dyDescent="0.2">
      <c r="A199" s="726"/>
      <c r="B199" s="747"/>
      <c r="C199" s="1648"/>
      <c r="D199" s="279" t="s">
        <v>351</v>
      </c>
      <c r="E199" s="941"/>
      <c r="F199" s="936"/>
      <c r="G199" s="68"/>
      <c r="H199" s="92"/>
      <c r="I199" s="68"/>
      <c r="J199" s="68"/>
      <c r="K199" s="738"/>
      <c r="L199" s="272"/>
      <c r="M199" s="272"/>
      <c r="N199" s="66"/>
    </row>
    <row r="200" spans="1:14" ht="13.5" customHeight="1" x14ac:dyDescent="0.2">
      <c r="A200" s="726"/>
      <c r="B200" s="747"/>
      <c r="C200" s="1648"/>
      <c r="D200" s="279" t="s">
        <v>254</v>
      </c>
      <c r="E200" s="941"/>
      <c r="F200" s="936"/>
      <c r="G200" s="68"/>
      <c r="H200" s="92"/>
      <c r="I200" s="68"/>
      <c r="J200" s="68"/>
      <c r="K200" s="738"/>
      <c r="L200" s="272"/>
      <c r="M200" s="272"/>
      <c r="N200" s="66"/>
    </row>
    <row r="201" spans="1:14" ht="25.5" customHeight="1" x14ac:dyDescent="0.2">
      <c r="A201" s="726"/>
      <c r="B201" s="747"/>
      <c r="C201" s="1648"/>
      <c r="D201" s="564" t="s">
        <v>255</v>
      </c>
      <c r="E201" s="941"/>
      <c r="F201" s="936"/>
      <c r="G201" s="68"/>
      <c r="H201" s="92"/>
      <c r="I201" s="68"/>
      <c r="J201" s="68"/>
      <c r="K201" s="738"/>
      <c r="L201" s="272"/>
      <c r="M201" s="272"/>
      <c r="N201" s="66"/>
    </row>
    <row r="202" spans="1:14" ht="25.5" customHeight="1" x14ac:dyDescent="0.2">
      <c r="A202" s="726"/>
      <c r="B202" s="747"/>
      <c r="C202" s="1649"/>
      <c r="D202" s="562" t="s">
        <v>352</v>
      </c>
      <c r="E202" s="941"/>
      <c r="F202" s="934"/>
      <c r="G202" s="68"/>
      <c r="H202" s="92"/>
      <c r="I202" s="68"/>
      <c r="J202" s="68"/>
      <c r="K202" s="778"/>
      <c r="L202" s="45"/>
      <c r="M202" s="45"/>
      <c r="N202" s="204"/>
    </row>
    <row r="203" spans="1:14" ht="27.75" customHeight="1" x14ac:dyDescent="0.2">
      <c r="A203" s="726"/>
      <c r="B203" s="747"/>
      <c r="C203" s="1650" t="s">
        <v>251</v>
      </c>
      <c r="D203" s="939" t="s">
        <v>353</v>
      </c>
      <c r="E203" s="941"/>
      <c r="F203" s="936"/>
      <c r="G203" s="68"/>
      <c r="H203" s="92"/>
      <c r="I203" s="68"/>
      <c r="J203" s="68"/>
      <c r="K203" s="746" t="s">
        <v>68</v>
      </c>
      <c r="L203" s="272"/>
      <c r="M203" s="272">
        <v>5.7</v>
      </c>
      <c r="N203" s="66"/>
    </row>
    <row r="204" spans="1:14" ht="13.5" customHeight="1" x14ac:dyDescent="0.2">
      <c r="A204" s="726"/>
      <c r="B204" s="747"/>
      <c r="C204" s="1648"/>
      <c r="D204" s="279" t="s">
        <v>258</v>
      </c>
      <c r="E204" s="941"/>
      <c r="F204" s="936"/>
      <c r="G204" s="68"/>
      <c r="H204" s="92"/>
      <c r="I204" s="68"/>
      <c r="J204" s="68"/>
      <c r="K204" s="738"/>
      <c r="L204" s="272"/>
      <c r="M204" s="272"/>
      <c r="N204" s="66"/>
    </row>
    <row r="205" spans="1:14" ht="27.75" customHeight="1" x14ac:dyDescent="0.2">
      <c r="A205" s="726"/>
      <c r="B205" s="747"/>
      <c r="C205" s="1648"/>
      <c r="D205" s="279" t="s">
        <v>354</v>
      </c>
      <c r="E205" s="941"/>
      <c r="F205" s="936"/>
      <c r="G205" s="68"/>
      <c r="H205" s="92"/>
      <c r="I205" s="68"/>
      <c r="J205" s="68"/>
      <c r="K205" s="738"/>
      <c r="L205" s="272"/>
      <c r="M205" s="272"/>
      <c r="N205" s="66"/>
    </row>
    <row r="206" spans="1:14" ht="15.75" customHeight="1" x14ac:dyDescent="0.2">
      <c r="A206" s="726"/>
      <c r="B206" s="747"/>
      <c r="C206" s="1648"/>
      <c r="D206" s="566" t="s">
        <v>260</v>
      </c>
      <c r="E206" s="941"/>
      <c r="F206" s="936"/>
      <c r="G206" s="68"/>
      <c r="H206" s="92"/>
      <c r="I206" s="68"/>
      <c r="J206" s="68"/>
      <c r="K206" s="738"/>
      <c r="L206" s="272"/>
      <c r="M206" s="272"/>
      <c r="N206" s="66"/>
    </row>
    <row r="207" spans="1:14" ht="15" customHeight="1" x14ac:dyDescent="0.2">
      <c r="A207" s="726"/>
      <c r="B207" s="747"/>
      <c r="C207" s="1648"/>
      <c r="D207" s="566" t="s">
        <v>261</v>
      </c>
      <c r="E207" s="941"/>
      <c r="F207" s="936"/>
      <c r="G207" s="68"/>
      <c r="H207" s="92"/>
      <c r="I207" s="68"/>
      <c r="J207" s="68"/>
      <c r="K207" s="738"/>
      <c r="L207" s="272"/>
      <c r="M207" s="272"/>
      <c r="N207" s="66"/>
    </row>
    <row r="208" spans="1:14" ht="14.25" customHeight="1" x14ac:dyDescent="0.2">
      <c r="A208" s="726"/>
      <c r="B208" s="747"/>
      <c r="C208" s="1648"/>
      <c r="D208" s="566" t="s">
        <v>262</v>
      </c>
      <c r="E208" s="941"/>
      <c r="F208" s="936"/>
      <c r="G208" s="68"/>
      <c r="H208" s="92"/>
      <c r="I208" s="68"/>
      <c r="J208" s="68"/>
      <c r="K208" s="738"/>
      <c r="L208" s="272"/>
      <c r="M208" s="272"/>
      <c r="N208" s="66"/>
    </row>
    <row r="209" spans="1:14" ht="12.75" customHeight="1" x14ac:dyDescent="0.2">
      <c r="A209" s="862"/>
      <c r="B209" s="863"/>
      <c r="C209" s="1648"/>
      <c r="D209" s="939" t="s">
        <v>247</v>
      </c>
      <c r="E209" s="941"/>
      <c r="F209" s="936"/>
      <c r="G209" s="68"/>
      <c r="H209" s="92"/>
      <c r="I209" s="68"/>
      <c r="J209" s="68"/>
      <c r="K209" s="861"/>
      <c r="L209" s="272"/>
      <c r="M209" s="272"/>
      <c r="N209" s="66"/>
    </row>
    <row r="210" spans="1:14" ht="15.75" customHeight="1" x14ac:dyDescent="0.2">
      <c r="A210" s="726"/>
      <c r="B210" s="747"/>
      <c r="C210" s="1649"/>
      <c r="D210" s="938" t="s">
        <v>263</v>
      </c>
      <c r="E210" s="941"/>
      <c r="F210" s="936"/>
      <c r="G210" s="68"/>
      <c r="H210" s="92"/>
      <c r="I210" s="68"/>
      <c r="J210" s="68"/>
      <c r="K210" s="778"/>
      <c r="L210" s="45"/>
      <c r="M210" s="45"/>
      <c r="N210" s="204"/>
    </row>
    <row r="211" spans="1:14" ht="16.5" customHeight="1" x14ac:dyDescent="0.2">
      <c r="A211" s="726"/>
      <c r="B211" s="747"/>
      <c r="C211" s="1650" t="s">
        <v>252</v>
      </c>
      <c r="D211" s="937" t="s">
        <v>355</v>
      </c>
      <c r="E211" s="941"/>
      <c r="F211" s="936"/>
      <c r="G211" s="68"/>
      <c r="H211" s="92"/>
      <c r="I211" s="68"/>
      <c r="J211" s="68"/>
      <c r="K211" s="746" t="s">
        <v>68</v>
      </c>
      <c r="L211" s="53"/>
      <c r="M211" s="53"/>
      <c r="N211" s="232">
        <v>6.5</v>
      </c>
    </row>
    <row r="212" spans="1:14" ht="29.25" customHeight="1" x14ac:dyDescent="0.2">
      <c r="A212" s="726"/>
      <c r="B212" s="747"/>
      <c r="C212" s="1648"/>
      <c r="D212" s="279" t="s">
        <v>356</v>
      </c>
      <c r="E212" s="941"/>
      <c r="F212" s="936"/>
      <c r="G212" s="68"/>
      <c r="H212" s="92"/>
      <c r="I212" s="68"/>
      <c r="J212" s="68"/>
      <c r="K212" s="738"/>
      <c r="L212" s="272"/>
      <c r="M212" s="272"/>
      <c r="N212" s="66"/>
    </row>
    <row r="213" spans="1:14" ht="15.75" customHeight="1" x14ac:dyDescent="0.2">
      <c r="A213" s="726"/>
      <c r="B213" s="747"/>
      <c r="C213" s="1648"/>
      <c r="D213" s="279" t="s">
        <v>266</v>
      </c>
      <c r="E213" s="941"/>
      <c r="F213" s="936"/>
      <c r="G213" s="68"/>
      <c r="H213" s="92"/>
      <c r="I213" s="68"/>
      <c r="J213" s="68"/>
      <c r="K213" s="738"/>
      <c r="L213" s="272"/>
      <c r="M213" s="272"/>
      <c r="N213" s="66"/>
    </row>
    <row r="214" spans="1:14" ht="16.5" customHeight="1" x14ac:dyDescent="0.2">
      <c r="A214" s="726"/>
      <c r="B214" s="747"/>
      <c r="C214" s="1649"/>
      <c r="D214" s="938" t="s">
        <v>357</v>
      </c>
      <c r="E214" s="941"/>
      <c r="F214" s="936"/>
      <c r="G214" s="68"/>
      <c r="H214" s="92"/>
      <c r="I214" s="68"/>
      <c r="J214" s="68"/>
      <c r="K214" s="778"/>
      <c r="L214" s="45"/>
      <c r="M214" s="45"/>
      <c r="N214" s="204"/>
    </row>
    <row r="215" spans="1:14" ht="29.25" customHeight="1" x14ac:dyDescent="0.2">
      <c r="A215" s="726"/>
      <c r="B215" s="747"/>
      <c r="C215" s="265"/>
      <c r="D215" s="1725" t="s">
        <v>112</v>
      </c>
      <c r="E215" s="941"/>
      <c r="F215" s="936"/>
      <c r="G215" s="68"/>
      <c r="H215" s="92"/>
      <c r="I215" s="68"/>
      <c r="J215" s="68"/>
      <c r="K215" s="736" t="s">
        <v>215</v>
      </c>
      <c r="L215" s="407">
        <v>0.2</v>
      </c>
      <c r="M215" s="407">
        <v>0.2</v>
      </c>
      <c r="N215" s="410">
        <v>0.2</v>
      </c>
    </row>
    <row r="216" spans="1:14" ht="26.25" customHeight="1" x14ac:dyDescent="0.2">
      <c r="A216" s="726"/>
      <c r="B216" s="747"/>
      <c r="C216" s="265"/>
      <c r="D216" s="1726"/>
      <c r="E216" s="941"/>
      <c r="F216" s="936"/>
      <c r="G216" s="68"/>
      <c r="H216" s="92"/>
      <c r="I216" s="68"/>
      <c r="J216" s="68"/>
      <c r="K216" s="343" t="s">
        <v>40</v>
      </c>
      <c r="L216" s="344">
        <v>4</v>
      </c>
      <c r="M216" s="344">
        <v>4</v>
      </c>
      <c r="N216" s="345">
        <v>4</v>
      </c>
    </row>
    <row r="217" spans="1:14" ht="17.25" customHeight="1" x14ac:dyDescent="0.2">
      <c r="A217" s="726"/>
      <c r="B217" s="747"/>
      <c r="C217" s="265"/>
      <c r="D217" s="1727"/>
      <c r="E217" s="941"/>
      <c r="F217" s="936"/>
      <c r="G217" s="282"/>
      <c r="H217" s="979"/>
      <c r="I217" s="282"/>
      <c r="J217" s="282"/>
      <c r="K217" s="737" t="s">
        <v>67</v>
      </c>
      <c r="L217" s="302">
        <v>54.6</v>
      </c>
      <c r="M217" s="302">
        <v>54.6</v>
      </c>
      <c r="N217" s="451">
        <v>54.6</v>
      </c>
    </row>
    <row r="218" spans="1:14" ht="15.75" customHeight="1" x14ac:dyDescent="0.2">
      <c r="A218" s="1736"/>
      <c r="B218" s="1731"/>
      <c r="C218" s="1732"/>
      <c r="D218" s="1737" t="s">
        <v>53</v>
      </c>
      <c r="E218" s="941"/>
      <c r="F218" s="936"/>
      <c r="G218" s="68"/>
      <c r="H218" s="92"/>
      <c r="I218" s="68"/>
      <c r="J218" s="68"/>
      <c r="K218" s="1762" t="s">
        <v>206</v>
      </c>
      <c r="L218" s="40" t="s">
        <v>169</v>
      </c>
      <c r="M218" s="40" t="s">
        <v>169</v>
      </c>
      <c r="N218" s="235" t="s">
        <v>170</v>
      </c>
    </row>
    <row r="219" spans="1:14" ht="21" customHeight="1" x14ac:dyDescent="0.2">
      <c r="A219" s="1736"/>
      <c r="B219" s="1731"/>
      <c r="C219" s="1732"/>
      <c r="D219" s="1738"/>
      <c r="E219" s="941"/>
      <c r="F219" s="936"/>
      <c r="G219" s="68"/>
      <c r="H219" s="92"/>
      <c r="I219" s="68"/>
      <c r="J219" s="68"/>
      <c r="K219" s="1763"/>
      <c r="L219" s="45"/>
      <c r="M219" s="45"/>
      <c r="N219" s="204"/>
    </row>
    <row r="220" spans="1:14" ht="15" customHeight="1" x14ac:dyDescent="0.2">
      <c r="A220" s="1736"/>
      <c r="B220" s="1731"/>
      <c r="C220" s="1732"/>
      <c r="D220" s="1739" t="s">
        <v>268</v>
      </c>
      <c r="E220" s="1733"/>
      <c r="F220" s="1732"/>
      <c r="G220" s="68"/>
      <c r="H220" s="92"/>
      <c r="I220" s="68"/>
      <c r="J220" s="68"/>
      <c r="K220" s="1678" t="s">
        <v>377</v>
      </c>
      <c r="L220" s="53">
        <v>44.6</v>
      </c>
      <c r="M220" s="53">
        <v>44.6</v>
      </c>
      <c r="N220" s="572">
        <v>44.6</v>
      </c>
    </row>
    <row r="221" spans="1:14" ht="12" customHeight="1" x14ac:dyDescent="0.2">
      <c r="A221" s="1736"/>
      <c r="B221" s="1731"/>
      <c r="C221" s="1732"/>
      <c r="D221" s="1684"/>
      <c r="E221" s="1733"/>
      <c r="F221" s="1732"/>
      <c r="G221" s="68"/>
      <c r="H221" s="92"/>
      <c r="I221" s="68"/>
      <c r="J221" s="68"/>
      <c r="K221" s="1679"/>
      <c r="L221" s="180"/>
      <c r="M221" s="180"/>
      <c r="N221" s="557"/>
    </row>
    <row r="222" spans="1:14" ht="21.75" customHeight="1" x14ac:dyDescent="0.2">
      <c r="A222" s="1736"/>
      <c r="B222" s="1731"/>
      <c r="C222" s="1732"/>
      <c r="D222" s="1684"/>
      <c r="E222" s="1733"/>
      <c r="F222" s="1732"/>
      <c r="G222" s="68"/>
      <c r="H222" s="92"/>
      <c r="I222" s="68"/>
      <c r="J222" s="68"/>
      <c r="K222" s="1734" t="s">
        <v>210</v>
      </c>
      <c r="L222" s="1676">
        <v>100</v>
      </c>
      <c r="M222" s="1680"/>
      <c r="N222" s="1756"/>
    </row>
    <row r="223" spans="1:14" ht="19.5" customHeight="1" x14ac:dyDescent="0.2">
      <c r="A223" s="1736"/>
      <c r="B223" s="1731"/>
      <c r="C223" s="1732"/>
      <c r="D223" s="454"/>
      <c r="E223" s="1733"/>
      <c r="F223" s="1732"/>
      <c r="G223" s="68"/>
      <c r="H223" s="92"/>
      <c r="I223" s="68"/>
      <c r="J223" s="68"/>
      <c r="K223" s="1735"/>
      <c r="L223" s="1677"/>
      <c r="M223" s="1677"/>
      <c r="N223" s="1757"/>
    </row>
    <row r="224" spans="1:14" ht="18.75" customHeight="1" x14ac:dyDescent="0.2">
      <c r="A224" s="726"/>
      <c r="B224" s="747"/>
      <c r="C224" s="731"/>
      <c r="D224" s="1758" t="s">
        <v>111</v>
      </c>
      <c r="E224" s="941"/>
      <c r="F224" s="936"/>
      <c r="G224" s="68"/>
      <c r="H224" s="92"/>
      <c r="I224" s="68"/>
      <c r="J224" s="68"/>
      <c r="K224" s="1760" t="s">
        <v>200</v>
      </c>
      <c r="L224" s="408">
        <v>20</v>
      </c>
      <c r="M224" s="330">
        <v>15</v>
      </c>
      <c r="N224" s="186">
        <v>15</v>
      </c>
    </row>
    <row r="225" spans="1:53" ht="14.25" customHeight="1" x14ac:dyDescent="0.2">
      <c r="A225" s="726"/>
      <c r="B225" s="747"/>
      <c r="C225" s="731"/>
      <c r="D225" s="1759"/>
      <c r="E225" s="941"/>
      <c r="F225" s="936"/>
      <c r="G225" s="68"/>
      <c r="H225" s="92"/>
      <c r="I225" s="68"/>
      <c r="J225" s="68"/>
      <c r="K225" s="1761"/>
      <c r="L225" s="22"/>
      <c r="M225" s="22"/>
      <c r="N225" s="185"/>
    </row>
    <row r="226" spans="1:53" ht="21.75" customHeight="1" x14ac:dyDescent="0.2">
      <c r="A226" s="748"/>
      <c r="B226" s="747"/>
      <c r="C226" s="740"/>
      <c r="D226" s="935" t="s">
        <v>39</v>
      </c>
      <c r="E226" s="765"/>
      <c r="F226" s="740"/>
      <c r="G226" s="62"/>
      <c r="H226" s="95"/>
      <c r="I226" s="67"/>
      <c r="J226" s="67"/>
      <c r="K226" s="746" t="s">
        <v>55</v>
      </c>
      <c r="L226" s="732">
        <v>14</v>
      </c>
      <c r="M226" s="732">
        <v>15</v>
      </c>
      <c r="N226" s="742">
        <v>15</v>
      </c>
    </row>
    <row r="227" spans="1:53" ht="14.25" customHeight="1" thickBot="1" x14ac:dyDescent="0.25">
      <c r="A227" s="75"/>
      <c r="B227" s="771"/>
      <c r="C227" s="104"/>
      <c r="D227" s="775"/>
      <c r="E227" s="810"/>
      <c r="F227" s="56"/>
      <c r="G227" s="156" t="s">
        <v>6</v>
      </c>
      <c r="H227" s="246">
        <f>SUM(H190:H226)</f>
        <v>5945.5</v>
      </c>
      <c r="I227" s="246">
        <f>SUM(I190:I226)</f>
        <v>4551.6000000000004</v>
      </c>
      <c r="J227" s="246">
        <f>SUM(J190:J226)</f>
        <v>4660</v>
      </c>
      <c r="K227" s="809"/>
      <c r="L227" s="221"/>
      <c r="M227" s="221"/>
      <c r="N227" s="811"/>
    </row>
    <row r="228" spans="1:53" ht="28.5" customHeight="1" x14ac:dyDescent="0.2">
      <c r="A228" s="748" t="s">
        <v>5</v>
      </c>
      <c r="B228" s="747" t="s">
        <v>33</v>
      </c>
      <c r="C228" s="265" t="s">
        <v>7</v>
      </c>
      <c r="D228" s="1668" t="s">
        <v>182</v>
      </c>
      <c r="E228" s="1671"/>
      <c r="F228" s="1654" t="s">
        <v>43</v>
      </c>
      <c r="G228" s="68" t="s">
        <v>25</v>
      </c>
      <c r="H228" s="92">
        <f>100-30-34</f>
        <v>36</v>
      </c>
      <c r="I228" s="68">
        <v>194.1</v>
      </c>
      <c r="J228" s="68"/>
      <c r="K228" s="697" t="s">
        <v>192</v>
      </c>
      <c r="L228" s="238">
        <v>1</v>
      </c>
      <c r="M228" s="238"/>
      <c r="N228" s="239"/>
    </row>
    <row r="229" spans="1:53" ht="27" customHeight="1" x14ac:dyDescent="0.2">
      <c r="A229" s="748"/>
      <c r="B229" s="747"/>
      <c r="C229" s="265"/>
      <c r="D229" s="1669"/>
      <c r="E229" s="1671"/>
      <c r="F229" s="1654"/>
      <c r="G229" s="68" t="s">
        <v>62</v>
      </c>
      <c r="H229" s="92">
        <v>64</v>
      </c>
      <c r="I229" s="68"/>
      <c r="J229" s="68"/>
      <c r="K229" s="94" t="s">
        <v>328</v>
      </c>
      <c r="L229" s="27">
        <v>100</v>
      </c>
      <c r="M229" s="27"/>
      <c r="N229" s="257"/>
    </row>
    <row r="230" spans="1:53" ht="15.75" customHeight="1" x14ac:dyDescent="0.2">
      <c r="A230" s="748"/>
      <c r="B230" s="747"/>
      <c r="C230" s="265"/>
      <c r="D230" s="1669"/>
      <c r="E230" s="1671"/>
      <c r="F230" s="1655"/>
      <c r="G230" s="67"/>
      <c r="H230" s="95"/>
      <c r="I230" s="67"/>
      <c r="J230" s="67"/>
      <c r="K230" s="1657" t="s">
        <v>187</v>
      </c>
      <c r="L230" s="40"/>
      <c r="M230" s="40" t="s">
        <v>117</v>
      </c>
      <c r="N230" s="235"/>
    </row>
    <row r="231" spans="1:53" ht="17.25" customHeight="1" thickBot="1" x14ac:dyDescent="0.25">
      <c r="A231" s="75"/>
      <c r="B231" s="771"/>
      <c r="C231" s="104"/>
      <c r="D231" s="1670"/>
      <c r="E231" s="1672"/>
      <c r="F231" s="1656"/>
      <c r="G231" s="156" t="s">
        <v>6</v>
      </c>
      <c r="H231" s="246">
        <f>SUM(H228:H230)</f>
        <v>100</v>
      </c>
      <c r="I231" s="156">
        <f>SUM(I228:I230)</f>
        <v>194.1</v>
      </c>
      <c r="J231" s="156">
        <f t="shared" ref="J231" si="7">SUM(J228:J230)</f>
        <v>0</v>
      </c>
      <c r="K231" s="1658"/>
      <c r="L231" s="237"/>
      <c r="M231" s="237"/>
      <c r="N231" s="236"/>
    </row>
    <row r="232" spans="1:53" ht="14.25" customHeight="1" thickBot="1" x14ac:dyDescent="0.25">
      <c r="A232" s="75" t="s">
        <v>5</v>
      </c>
      <c r="B232" s="771" t="s">
        <v>33</v>
      </c>
      <c r="C232" s="1659" t="s">
        <v>8</v>
      </c>
      <c r="D232" s="1659"/>
      <c r="E232" s="1659"/>
      <c r="F232" s="1659"/>
      <c r="G232" s="1660"/>
      <c r="H232" s="439">
        <f t="shared" ref="H232:J232" si="8">H231+H227</f>
        <v>6045.5</v>
      </c>
      <c r="I232" s="159">
        <f t="shared" si="8"/>
        <v>4745.7</v>
      </c>
      <c r="J232" s="159">
        <f t="shared" si="8"/>
        <v>4660</v>
      </c>
      <c r="K232" s="1661"/>
      <c r="L232" s="1661"/>
      <c r="M232" s="1661"/>
      <c r="N232" s="1662"/>
    </row>
    <row r="233" spans="1:53" ht="14.25" customHeight="1" thickBot="1" x14ac:dyDescent="0.25">
      <c r="A233" s="99" t="s">
        <v>5</v>
      </c>
      <c r="B233" s="1663" t="s">
        <v>9</v>
      </c>
      <c r="C233" s="1664"/>
      <c r="D233" s="1664"/>
      <c r="E233" s="1664"/>
      <c r="F233" s="1664"/>
      <c r="G233" s="1665"/>
      <c r="H233" s="160">
        <f>H232+H188+H148+H112</f>
        <v>27065.7</v>
      </c>
      <c r="I233" s="160">
        <f>I232+I188+I148+I112</f>
        <v>37550</v>
      </c>
      <c r="J233" s="160">
        <f>J232+J188+J148+J112</f>
        <v>29741.7</v>
      </c>
      <c r="K233" s="1666"/>
      <c r="L233" s="1666"/>
      <c r="M233" s="1666"/>
      <c r="N233" s="1667"/>
    </row>
    <row r="234" spans="1:53" ht="14.25" customHeight="1" thickBot="1" x14ac:dyDescent="0.25">
      <c r="A234" s="110" t="s">
        <v>35</v>
      </c>
      <c r="B234" s="1722" t="s">
        <v>58</v>
      </c>
      <c r="C234" s="1723"/>
      <c r="D234" s="1723"/>
      <c r="E234" s="1723"/>
      <c r="F234" s="1723"/>
      <c r="G234" s="1724"/>
      <c r="H234" s="161">
        <f t="shared" ref="H234:J234" si="9">SUM(H233)</f>
        <v>27065.7</v>
      </c>
      <c r="I234" s="161">
        <f>SUM(I233)</f>
        <v>37550</v>
      </c>
      <c r="J234" s="161">
        <f t="shared" si="9"/>
        <v>29741.7</v>
      </c>
      <c r="K234" s="1740"/>
      <c r="L234" s="1740"/>
      <c r="M234" s="1740"/>
      <c r="N234" s="1741"/>
    </row>
    <row r="235" spans="1:53" s="5" customFormat="1" ht="15" customHeight="1" x14ac:dyDescent="0.2">
      <c r="A235" s="828"/>
      <c r="B235" s="1401"/>
      <c r="C235" s="1401"/>
      <c r="D235" s="1401"/>
      <c r="E235" s="1401"/>
      <c r="F235" s="1401"/>
      <c r="G235" s="1401"/>
      <c r="H235" s="1401"/>
      <c r="I235" s="1401"/>
      <c r="J235" s="1401"/>
      <c r="K235" s="1401"/>
      <c r="L235" s="1401"/>
      <c r="M235" s="1401"/>
      <c r="N235" s="1401"/>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row>
    <row r="236" spans="1:53" s="4" customFormat="1" ht="17.25" customHeight="1" x14ac:dyDescent="0.2">
      <c r="A236" s="1399"/>
      <c r="B236" s="1402"/>
      <c r="C236" s="1402"/>
      <c r="D236" s="1402"/>
      <c r="E236" s="1402"/>
      <c r="F236" s="1402"/>
      <c r="G236" s="1402"/>
      <c r="H236" s="1403"/>
      <c r="I236" s="1402"/>
      <c r="J236" s="1402"/>
      <c r="K236" s="1402"/>
      <c r="L236" s="1399"/>
      <c r="M236" s="1399"/>
      <c r="N236" s="1399"/>
    </row>
    <row r="237" spans="1:53" s="5" customFormat="1" ht="15" customHeight="1" thickBot="1" x14ac:dyDescent="0.25">
      <c r="A237" s="1742" t="s">
        <v>13</v>
      </c>
      <c r="B237" s="1742"/>
      <c r="C237" s="1742"/>
      <c r="D237" s="1742"/>
      <c r="E237" s="1742"/>
      <c r="F237" s="1742"/>
      <c r="G237" s="1742"/>
      <c r="H237" s="171"/>
      <c r="I237" s="171"/>
      <c r="J237" s="171"/>
      <c r="K237" s="111"/>
      <c r="L237" s="111"/>
      <c r="M237" s="111"/>
      <c r="N237" s="111"/>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row>
    <row r="238" spans="1:53" ht="62.25" customHeight="1" thickBot="1" x14ac:dyDescent="0.25">
      <c r="A238" s="1651" t="s">
        <v>10</v>
      </c>
      <c r="B238" s="1652"/>
      <c r="C238" s="1652"/>
      <c r="D238" s="1652"/>
      <c r="E238" s="1652"/>
      <c r="F238" s="1652"/>
      <c r="G238" s="1653"/>
      <c r="H238" s="755" t="s">
        <v>358</v>
      </c>
      <c r="I238" s="58" t="s">
        <v>359</v>
      </c>
      <c r="J238" s="58" t="s">
        <v>217</v>
      </c>
      <c r="K238" s="14"/>
      <c r="L238" s="14"/>
      <c r="M238" s="14"/>
      <c r="N238" s="14"/>
    </row>
    <row r="239" spans="1:53" ht="14.25" customHeight="1" x14ac:dyDescent="0.2">
      <c r="A239" s="1713" t="s">
        <v>14</v>
      </c>
      <c r="B239" s="1714"/>
      <c r="C239" s="1714"/>
      <c r="D239" s="1714"/>
      <c r="E239" s="1714"/>
      <c r="F239" s="1714"/>
      <c r="G239" s="1715"/>
      <c r="H239" s="756">
        <f>H240+H246+H247+H248</f>
        <v>23803.9</v>
      </c>
      <c r="I239" s="338">
        <f>I240+I246+I247+I248</f>
        <v>34347.199999999997</v>
      </c>
      <c r="J239" s="338">
        <f>J240+J246+J247+J248</f>
        <v>26867.8</v>
      </c>
      <c r="K239" s="14"/>
      <c r="L239" s="14"/>
      <c r="M239" s="14"/>
      <c r="N239" s="14"/>
    </row>
    <row r="240" spans="1:53" ht="14.25" customHeight="1" x14ac:dyDescent="0.2">
      <c r="A240" s="1716" t="s">
        <v>98</v>
      </c>
      <c r="B240" s="1717"/>
      <c r="C240" s="1717"/>
      <c r="D240" s="1717"/>
      <c r="E240" s="1717"/>
      <c r="F240" s="1717"/>
      <c r="G240" s="1718"/>
      <c r="H240" s="757">
        <f>SUM(H241:H245)</f>
        <v>16215.7</v>
      </c>
      <c r="I240" s="254">
        <f>SUM(I241:I245)</f>
        <v>34347.199999999997</v>
      </c>
      <c r="J240" s="254">
        <f>SUM(J241:J245)</f>
        <v>26867.8</v>
      </c>
      <c r="K240" s="14"/>
      <c r="L240" s="14"/>
      <c r="M240" s="14"/>
      <c r="N240" s="14"/>
    </row>
    <row r="241" spans="1:14" ht="14.25" customHeight="1" x14ac:dyDescent="0.2">
      <c r="A241" s="1719" t="s">
        <v>19</v>
      </c>
      <c r="B241" s="1720"/>
      <c r="C241" s="1720"/>
      <c r="D241" s="1720"/>
      <c r="E241" s="1720"/>
      <c r="F241" s="1720"/>
      <c r="G241" s="1721"/>
      <c r="H241" s="758">
        <f>SUMIF(G12:G234,"SB",H12:H234)</f>
        <v>10077.9</v>
      </c>
      <c r="I241" s="67">
        <f>SUMIF(G12:G234,"SB",I12:I234)</f>
        <v>21007.3</v>
      </c>
      <c r="J241" s="67">
        <f>SUMIF(G12:G234,"SB",J12:J234)</f>
        <v>19180.5</v>
      </c>
      <c r="K241" s="14"/>
      <c r="L241" s="14"/>
      <c r="M241" s="14"/>
      <c r="N241" s="14"/>
    </row>
    <row r="242" spans="1:14" ht="14.25" customHeight="1" x14ac:dyDescent="0.2">
      <c r="A242" s="1673" t="s">
        <v>20</v>
      </c>
      <c r="B242" s="1674"/>
      <c r="C242" s="1674"/>
      <c r="D242" s="1674"/>
      <c r="E242" s="1674"/>
      <c r="F242" s="1674"/>
      <c r="G242" s="1675"/>
      <c r="H242" s="759">
        <f>SUMIF(G18:G234,"SB(P)",H18:H234)</f>
        <v>0</v>
      </c>
      <c r="I242" s="61">
        <f>SUMIF(G18:G234,"SB(P)",I18:I234)</f>
        <v>0</v>
      </c>
      <c r="J242" s="61">
        <f>SUMIF(G18:G234,"SB(P)",J18:J234)</f>
        <v>0</v>
      </c>
      <c r="K242" s="14"/>
      <c r="L242" s="14"/>
      <c r="M242" s="14"/>
      <c r="N242" s="14"/>
    </row>
    <row r="243" spans="1:14" ht="14.25" customHeight="1" x14ac:dyDescent="0.2">
      <c r="A243" s="1673" t="s">
        <v>71</v>
      </c>
      <c r="B243" s="1674"/>
      <c r="C243" s="1674"/>
      <c r="D243" s="1674"/>
      <c r="E243" s="1674"/>
      <c r="F243" s="1674"/>
      <c r="G243" s="1675"/>
      <c r="H243" s="758">
        <f>SUMIF(G18:G234,"SB(VR)",H18:H234)</f>
        <v>1506.4</v>
      </c>
      <c r="I243" s="67">
        <f>SUMIF(G18:G234,"SB(VR)",I18:I234)</f>
        <v>1160.4000000000001</v>
      </c>
      <c r="J243" s="67">
        <f>SUMIF(G18:G234,"SB(VR)",J18:J234)</f>
        <v>1312.3</v>
      </c>
      <c r="K243" s="14"/>
      <c r="L243" s="14"/>
      <c r="M243" s="14"/>
      <c r="N243" s="14"/>
    </row>
    <row r="244" spans="1:14" ht="14.25" customHeight="1" x14ac:dyDescent="0.2">
      <c r="A244" s="1710" t="s">
        <v>105</v>
      </c>
      <c r="B244" s="1711"/>
      <c r="C244" s="1711"/>
      <c r="D244" s="1711"/>
      <c r="E244" s="1711"/>
      <c r="F244" s="1711"/>
      <c r="G244" s="1712"/>
      <c r="H244" s="758">
        <f>SUMIF(G18:G233,"SB(KPP)",H18:H233)</f>
        <v>3991.4</v>
      </c>
      <c r="I244" s="61">
        <f>SUMIF(G18:G233,"SB(KPP)",I18:I233)</f>
        <v>8555</v>
      </c>
      <c r="J244" s="61">
        <f>SUMIF(G18:G233,"SB(KPP)",J18:J233)</f>
        <v>6375</v>
      </c>
      <c r="K244" s="14"/>
      <c r="L244" s="14"/>
      <c r="M244" s="14"/>
      <c r="N244" s="14"/>
    </row>
    <row r="245" spans="1:14" ht="25.5" customHeight="1" x14ac:dyDescent="0.2">
      <c r="A245" s="1703" t="s">
        <v>360</v>
      </c>
      <c r="B245" s="1704"/>
      <c r="C245" s="1704"/>
      <c r="D245" s="1704"/>
      <c r="E245" s="1704"/>
      <c r="F245" s="1704"/>
      <c r="G245" s="1705"/>
      <c r="H245" s="759">
        <f>SUMIF(G15:G228,"SB(ES)",H15:H228)</f>
        <v>640</v>
      </c>
      <c r="I245" s="61">
        <f>SUMIF(G15:G228,"SB(ES)",I15:I228)</f>
        <v>3624.5</v>
      </c>
      <c r="J245" s="61">
        <f>SUMIF(G15:G228,"SB(ES)",J15:J228)</f>
        <v>0</v>
      </c>
      <c r="K245" s="14"/>
      <c r="L245" s="14"/>
      <c r="M245" s="14"/>
      <c r="N245" s="14"/>
    </row>
    <row r="246" spans="1:14" ht="14.25" customHeight="1" x14ac:dyDescent="0.2">
      <c r="A246" s="1706" t="s">
        <v>103</v>
      </c>
      <c r="B246" s="1707"/>
      <c r="C246" s="1707"/>
      <c r="D246" s="1707"/>
      <c r="E246" s="1707"/>
      <c r="F246" s="1707"/>
      <c r="G246" s="1708"/>
      <c r="H246" s="760">
        <f>SUMIF(G18:G233,"SB(VRL)",H18:H233)</f>
        <v>768.9</v>
      </c>
      <c r="I246" s="339">
        <f>SUMIF(G21:G233,"SB(VRL)",I21:I233)</f>
        <v>0</v>
      </c>
      <c r="J246" s="339">
        <f>SUMIF(G18:G233,"SB(VRL)",J18:J233)</f>
        <v>0</v>
      </c>
      <c r="K246" s="14"/>
      <c r="L246" s="14"/>
      <c r="M246" s="14"/>
      <c r="N246" s="14"/>
    </row>
    <row r="247" spans="1:14" ht="14.25" customHeight="1" x14ac:dyDescent="0.2">
      <c r="A247" s="1709" t="s">
        <v>104</v>
      </c>
      <c r="B247" s="1707"/>
      <c r="C247" s="1707"/>
      <c r="D247" s="1707"/>
      <c r="E247" s="1707"/>
      <c r="F247" s="1707"/>
      <c r="G247" s="1708"/>
      <c r="H247" s="760">
        <f>SUMIF(G15:G234,"SB(ŽPL)",H15:H234)</f>
        <v>1526.3</v>
      </c>
      <c r="I247" s="339">
        <f>SUMIF(G10:G234,"SB(ŽPL)",I10:I234)</f>
        <v>0</v>
      </c>
      <c r="J247" s="339">
        <f>SUMIF(G18:G234,"SB(ŽPL)",J18:J234)</f>
        <v>0</v>
      </c>
      <c r="K247" s="14"/>
      <c r="L247" s="14"/>
      <c r="M247" s="14"/>
      <c r="N247" s="14"/>
    </row>
    <row r="248" spans="1:14" ht="14.25" customHeight="1" x14ac:dyDescent="0.2">
      <c r="A248" s="1697" t="s">
        <v>224</v>
      </c>
      <c r="B248" s="1698"/>
      <c r="C248" s="1698"/>
      <c r="D248" s="1698"/>
      <c r="E248" s="1698"/>
      <c r="F248" s="1698"/>
      <c r="G248" s="1699"/>
      <c r="H248" s="760">
        <f>SUMIF(G13:G234,"SB(L)",H13:H234)</f>
        <v>5293</v>
      </c>
      <c r="I248" s="339">
        <f>SUMIF(G21:G234,"SB(L)",I21:I234)</f>
        <v>0</v>
      </c>
      <c r="J248" s="339">
        <f>SUMIF(G18:G232,"SB(L)",J18:J234)</f>
        <v>0</v>
      </c>
      <c r="K248" s="14"/>
      <c r="L248" s="14"/>
      <c r="M248" s="14"/>
      <c r="N248" s="14"/>
    </row>
    <row r="249" spans="1:14" ht="14.25" customHeight="1" x14ac:dyDescent="0.2">
      <c r="A249" s="1700" t="s">
        <v>15</v>
      </c>
      <c r="B249" s="1701"/>
      <c r="C249" s="1701"/>
      <c r="D249" s="1701"/>
      <c r="E249" s="1701"/>
      <c r="F249" s="1701"/>
      <c r="G249" s="1702"/>
      <c r="H249" s="761">
        <f>SUM(H250:H253)</f>
        <v>3261.8</v>
      </c>
      <c r="I249" s="340">
        <f>I251+I252+I253+I250</f>
        <v>3202.8</v>
      </c>
      <c r="J249" s="340">
        <f>J251+J252+J253+J250</f>
        <v>2873.9</v>
      </c>
      <c r="K249" s="14"/>
      <c r="L249" s="14"/>
      <c r="M249" s="14"/>
      <c r="N249" s="14"/>
    </row>
    <row r="250" spans="1:14" ht="14.25" customHeight="1" x14ac:dyDescent="0.2">
      <c r="A250" s="1703" t="s">
        <v>21</v>
      </c>
      <c r="B250" s="1704"/>
      <c r="C250" s="1704"/>
      <c r="D250" s="1704"/>
      <c r="E250" s="1704"/>
      <c r="F250" s="1704"/>
      <c r="G250" s="1705"/>
      <c r="H250" s="759">
        <f>SUMIF(G15:G234,"ES",H15:H234)</f>
        <v>1564</v>
      </c>
      <c r="I250" s="61">
        <f>SUMIF(G15:G234,"ES",I15:I234)</f>
        <v>1480.3</v>
      </c>
      <c r="J250" s="61">
        <f>SUMIF(G15:G234,"ES",J15:J234)</f>
        <v>1278.9000000000001</v>
      </c>
      <c r="K250" s="14"/>
      <c r="L250" s="14"/>
      <c r="M250" s="14"/>
      <c r="N250" s="14"/>
    </row>
    <row r="251" spans="1:14" ht="14.25" customHeight="1" x14ac:dyDescent="0.2">
      <c r="A251" s="1691" t="s">
        <v>22</v>
      </c>
      <c r="B251" s="1692"/>
      <c r="C251" s="1692"/>
      <c r="D251" s="1692"/>
      <c r="E251" s="1692"/>
      <c r="F251" s="1692"/>
      <c r="G251" s="1693"/>
      <c r="H251" s="759">
        <f>SUMIF(G18:G234,"KVJUD",H18:H234)</f>
        <v>1593.4</v>
      </c>
      <c r="I251" s="61">
        <f>SUMIF(G18:G234,"KVJUD",I18:I234)</f>
        <v>1500</v>
      </c>
      <c r="J251" s="61">
        <f>SUMIF(G18:G234,"KVJUD",J18:J234)</f>
        <v>1500</v>
      </c>
      <c r="K251" s="54"/>
      <c r="L251" s="54"/>
      <c r="M251" s="54"/>
      <c r="N251" s="54"/>
    </row>
    <row r="252" spans="1:14" ht="14.25" customHeight="1" x14ac:dyDescent="0.2">
      <c r="A252" s="1673" t="s">
        <v>23</v>
      </c>
      <c r="B252" s="1674"/>
      <c r="C252" s="1674"/>
      <c r="D252" s="1674"/>
      <c r="E252" s="1674"/>
      <c r="F252" s="1674"/>
      <c r="G252" s="1675"/>
      <c r="H252" s="759">
        <f>SUMIF(G18:G234,"LRVB",H18:H234)</f>
        <v>0</v>
      </c>
      <c r="I252" s="61">
        <f>SUMIF(G18:G234,"LRVB",I18:I234)</f>
        <v>0</v>
      </c>
      <c r="J252" s="61">
        <f>SUMIF(G18:G234,"LRVB",J18:J234)</f>
        <v>0</v>
      </c>
      <c r="K252" s="54"/>
      <c r="L252" s="54"/>
      <c r="M252" s="54"/>
      <c r="N252" s="54"/>
    </row>
    <row r="253" spans="1:14" ht="14.25" customHeight="1" x14ac:dyDescent="0.2">
      <c r="A253" s="1694" t="s">
        <v>24</v>
      </c>
      <c r="B253" s="1695"/>
      <c r="C253" s="1695"/>
      <c r="D253" s="1695"/>
      <c r="E253" s="1695"/>
      <c r="F253" s="1695"/>
      <c r="G253" s="1696"/>
      <c r="H253" s="759">
        <f>SUMIF(G18:G234,"Kt",H18:H234)</f>
        <v>104.4</v>
      </c>
      <c r="I253" s="61">
        <f>SUMIF(G18:G234,"Kt",I18:I234)</f>
        <v>222.5</v>
      </c>
      <c r="J253" s="61">
        <f>SUMIF(G18:G234,"Kt",J18:J234)</f>
        <v>95</v>
      </c>
      <c r="K253" s="54"/>
      <c r="L253" s="54"/>
      <c r="M253" s="54"/>
      <c r="N253" s="54"/>
    </row>
    <row r="254" spans="1:14" ht="14.25" customHeight="1" thickBot="1" x14ac:dyDescent="0.25">
      <c r="A254" s="1642" t="s">
        <v>16</v>
      </c>
      <c r="B254" s="1643"/>
      <c r="C254" s="1643"/>
      <c r="D254" s="1643"/>
      <c r="E254" s="1643"/>
      <c r="F254" s="1643"/>
      <c r="G254" s="1644"/>
      <c r="H254" s="754">
        <f>SUM(H239,H249)</f>
        <v>27065.7</v>
      </c>
      <c r="I254" s="341">
        <f>SUM(I239,I249)</f>
        <v>37550</v>
      </c>
      <c r="J254" s="341">
        <f>SUM(J239,J249)</f>
        <v>29741.7</v>
      </c>
      <c r="K254" s="54"/>
      <c r="L254" s="54"/>
      <c r="M254" s="54"/>
      <c r="N254" s="54"/>
    </row>
    <row r="255" spans="1:14" x14ac:dyDescent="0.2">
      <c r="F255" s="1270"/>
      <c r="G255" s="1271"/>
      <c r="H255" s="1272"/>
      <c r="I255" s="1272"/>
      <c r="J255" s="1272"/>
      <c r="K255" s="4"/>
    </row>
    <row r="256" spans="1:14" x14ac:dyDescent="0.2">
      <c r="F256" s="1270" t="s">
        <v>400</v>
      </c>
      <c r="G256" s="1270"/>
      <c r="H256" s="1270"/>
      <c r="I256" s="1270"/>
      <c r="J256" s="4"/>
      <c r="K256" s="4"/>
    </row>
    <row r="257" spans="1:14" x14ac:dyDescent="0.2">
      <c r="H257" s="14"/>
      <c r="I257" s="14"/>
      <c r="J257" s="14"/>
    </row>
    <row r="258" spans="1:14" x14ac:dyDescent="0.2">
      <c r="A258" s="1"/>
      <c r="B258" s="1"/>
      <c r="C258" s="441"/>
      <c r="D258" s="1"/>
      <c r="E258" s="1"/>
      <c r="F258" s="1"/>
      <c r="G258" s="1"/>
      <c r="H258" s="54"/>
      <c r="I258" s="54"/>
      <c r="J258" s="54"/>
      <c r="K258" s="1"/>
      <c r="L258" s="1"/>
      <c r="M258" s="1"/>
      <c r="N258" s="1"/>
    </row>
    <row r="259" spans="1:14" x14ac:dyDescent="0.2">
      <c r="A259" s="1"/>
      <c r="B259" s="1"/>
      <c r="C259" s="441"/>
      <c r="D259" s="1"/>
      <c r="E259" s="1"/>
      <c r="F259" s="1"/>
      <c r="G259" s="1"/>
      <c r="H259" s="54"/>
      <c r="I259" s="54"/>
      <c r="J259" s="54"/>
      <c r="K259" s="1"/>
      <c r="L259" s="1"/>
      <c r="M259" s="1"/>
      <c r="N259" s="1"/>
    </row>
  </sheetData>
  <mergeCells count="252">
    <mergeCell ref="D150:D152"/>
    <mergeCell ref="D162:D163"/>
    <mergeCell ref="K162:K163"/>
    <mergeCell ref="L162:L163"/>
    <mergeCell ref="M162:M163"/>
    <mergeCell ref="N162:N163"/>
    <mergeCell ref="K1:N1"/>
    <mergeCell ref="A4:N4"/>
    <mergeCell ref="A5:N5"/>
    <mergeCell ref="A6:N6"/>
    <mergeCell ref="K7:N7"/>
    <mergeCell ref="A8:A10"/>
    <mergeCell ref="B8:B10"/>
    <mergeCell ref="C8:C10"/>
    <mergeCell ref="D8:D10"/>
    <mergeCell ref="A11:N11"/>
    <mergeCell ref="A12:N12"/>
    <mergeCell ref="B13:N13"/>
    <mergeCell ref="C14:N14"/>
    <mergeCell ref="A18:A20"/>
    <mergeCell ref="B18:B20"/>
    <mergeCell ref="C18:C20"/>
    <mergeCell ref="D18:D20"/>
    <mergeCell ref="I8:I10"/>
    <mergeCell ref="J8:J10"/>
    <mergeCell ref="K8:N8"/>
    <mergeCell ref="K9:K10"/>
    <mergeCell ref="L9:N9"/>
    <mergeCell ref="E8:E10"/>
    <mergeCell ref="F8:F10"/>
    <mergeCell ref="G8:G10"/>
    <mergeCell ref="F21:F22"/>
    <mergeCell ref="H8:H10"/>
    <mergeCell ref="D23:D26"/>
    <mergeCell ref="K23:K24"/>
    <mergeCell ref="E24:E26"/>
    <mergeCell ref="F18:F20"/>
    <mergeCell ref="E19:E20"/>
    <mergeCell ref="K19:K20"/>
    <mergeCell ref="A21:A22"/>
    <mergeCell ref="B21:B22"/>
    <mergeCell ref="C21:C22"/>
    <mergeCell ref="D21:D22"/>
    <mergeCell ref="A42:A45"/>
    <mergeCell ref="B42:B45"/>
    <mergeCell ref="C42:C45"/>
    <mergeCell ref="D42:D45"/>
    <mergeCell ref="F42:F45"/>
    <mergeCell ref="D33:D34"/>
    <mergeCell ref="F33:F34"/>
    <mergeCell ref="D35:D36"/>
    <mergeCell ref="F27:F28"/>
    <mergeCell ref="D29:D30"/>
    <mergeCell ref="E29:E30"/>
    <mergeCell ref="D31:D32"/>
    <mergeCell ref="A27:A28"/>
    <mergeCell ref="B27:B28"/>
    <mergeCell ref="C27:C28"/>
    <mergeCell ref="D27:D28"/>
    <mergeCell ref="D48:D49"/>
    <mergeCell ref="E48:E49"/>
    <mergeCell ref="F48:F49"/>
    <mergeCell ref="A46:A47"/>
    <mergeCell ref="B46:B47"/>
    <mergeCell ref="C46:C47"/>
    <mergeCell ref="D46:D47"/>
    <mergeCell ref="F46:F47"/>
    <mergeCell ref="A59:A63"/>
    <mergeCell ref="B59:B63"/>
    <mergeCell ref="C59:C63"/>
    <mergeCell ref="D59:D60"/>
    <mergeCell ref="E59:E63"/>
    <mergeCell ref="F59:F63"/>
    <mergeCell ref="D50:D51"/>
    <mergeCell ref="D52:D53"/>
    <mergeCell ref="E52:E53"/>
    <mergeCell ref="F52:F53"/>
    <mergeCell ref="D55:D58"/>
    <mergeCell ref="E55:E58"/>
    <mergeCell ref="D69:D70"/>
    <mergeCell ref="F69:F70"/>
    <mergeCell ref="D67:D68"/>
    <mergeCell ref="E67:E68"/>
    <mergeCell ref="F67:F68"/>
    <mergeCell ref="K59:K60"/>
    <mergeCell ref="D64:D66"/>
    <mergeCell ref="E64:E66"/>
    <mergeCell ref="F64:F66"/>
    <mergeCell ref="K65:K66"/>
    <mergeCell ref="K73:K74"/>
    <mergeCell ref="K75:K76"/>
    <mergeCell ref="A77:A78"/>
    <mergeCell ref="B77:B78"/>
    <mergeCell ref="C77:C78"/>
    <mergeCell ref="D77:D78"/>
    <mergeCell ref="E77:E78"/>
    <mergeCell ref="F77:F78"/>
    <mergeCell ref="D73:D76"/>
    <mergeCell ref="E73:E76"/>
    <mergeCell ref="F73:F76"/>
    <mergeCell ref="K77:K78"/>
    <mergeCell ref="K80:K81"/>
    <mergeCell ref="D83:D85"/>
    <mergeCell ref="A79:A81"/>
    <mergeCell ref="B79:B81"/>
    <mergeCell ref="C79:C81"/>
    <mergeCell ref="D79:D81"/>
    <mergeCell ref="E79:E81"/>
    <mergeCell ref="F79:F81"/>
    <mergeCell ref="E83:E86"/>
    <mergeCell ref="K108:K110"/>
    <mergeCell ref="C112:G112"/>
    <mergeCell ref="C113:N113"/>
    <mergeCell ref="D119:D120"/>
    <mergeCell ref="E114:E116"/>
    <mergeCell ref="D100:D101"/>
    <mergeCell ref="D102:D104"/>
    <mergeCell ref="D87:D89"/>
    <mergeCell ref="K87:K88"/>
    <mergeCell ref="D90:D91"/>
    <mergeCell ref="D106:D107"/>
    <mergeCell ref="D92:D93"/>
    <mergeCell ref="D96:D97"/>
    <mergeCell ref="D94:D95"/>
    <mergeCell ref="D138:D139"/>
    <mergeCell ref="A134:A135"/>
    <mergeCell ref="B134:B135"/>
    <mergeCell ref="C134:C135"/>
    <mergeCell ref="D134:D135"/>
    <mergeCell ref="E134:E135"/>
    <mergeCell ref="A145:A147"/>
    <mergeCell ref="B145:B147"/>
    <mergeCell ref="C145:C147"/>
    <mergeCell ref="D145:D147"/>
    <mergeCell ref="E145:E147"/>
    <mergeCell ref="D127:D128"/>
    <mergeCell ref="K127:K128"/>
    <mergeCell ref="A129:A130"/>
    <mergeCell ref="B129:B130"/>
    <mergeCell ref="C129:C130"/>
    <mergeCell ref="D129:D130"/>
    <mergeCell ref="E129:E130"/>
    <mergeCell ref="F129:F130"/>
    <mergeCell ref="E131:E133"/>
    <mergeCell ref="F131:F133"/>
    <mergeCell ref="K129:K130"/>
    <mergeCell ref="L129:L130"/>
    <mergeCell ref="M129:M130"/>
    <mergeCell ref="C149:N149"/>
    <mergeCell ref="A168:A170"/>
    <mergeCell ref="B168:B170"/>
    <mergeCell ref="C168:C170"/>
    <mergeCell ref="D168:D170"/>
    <mergeCell ref="E168:E170"/>
    <mergeCell ref="F168:F170"/>
    <mergeCell ref="D166:D167"/>
    <mergeCell ref="K166:K167"/>
    <mergeCell ref="D164:D165"/>
    <mergeCell ref="D155:D160"/>
    <mergeCell ref="E155:E157"/>
    <mergeCell ref="C148:G148"/>
    <mergeCell ref="K148:N148"/>
    <mergeCell ref="N129:N130"/>
    <mergeCell ref="A131:A133"/>
    <mergeCell ref="B131:B133"/>
    <mergeCell ref="C131:C133"/>
    <mergeCell ref="D131:D133"/>
    <mergeCell ref="F134:F135"/>
    <mergeCell ref="D136:D137"/>
    <mergeCell ref="F145:F147"/>
    <mergeCell ref="K234:N234"/>
    <mergeCell ref="A237:G237"/>
    <mergeCell ref="F180:F181"/>
    <mergeCell ref="A178:A179"/>
    <mergeCell ref="B178:B179"/>
    <mergeCell ref="C178:C179"/>
    <mergeCell ref="D178:D179"/>
    <mergeCell ref="E178:E179"/>
    <mergeCell ref="D171:D174"/>
    <mergeCell ref="A175:A177"/>
    <mergeCell ref="B175:B177"/>
    <mergeCell ref="C175:C177"/>
    <mergeCell ref="D175:D177"/>
    <mergeCell ref="E175:E177"/>
    <mergeCell ref="A180:A181"/>
    <mergeCell ref="B180:B181"/>
    <mergeCell ref="C180:C181"/>
    <mergeCell ref="D180:D181"/>
    <mergeCell ref="E180:E181"/>
    <mergeCell ref="N222:N223"/>
    <mergeCell ref="D224:D225"/>
    <mergeCell ref="K224:K225"/>
    <mergeCell ref="K218:K219"/>
    <mergeCell ref="A220:A223"/>
    <mergeCell ref="B220:B223"/>
    <mergeCell ref="C220:C223"/>
    <mergeCell ref="E220:E223"/>
    <mergeCell ref="F220:F223"/>
    <mergeCell ref="K222:K223"/>
    <mergeCell ref="A218:A219"/>
    <mergeCell ref="B218:B219"/>
    <mergeCell ref="C218:C219"/>
    <mergeCell ref="D218:D219"/>
    <mergeCell ref="D220:D222"/>
    <mergeCell ref="K35:K36"/>
    <mergeCell ref="D15:D16"/>
    <mergeCell ref="E15:E17"/>
    <mergeCell ref="D38:D39"/>
    <mergeCell ref="E38:E41"/>
    <mergeCell ref="A251:G251"/>
    <mergeCell ref="A252:G252"/>
    <mergeCell ref="A253:G253"/>
    <mergeCell ref="A248:G248"/>
    <mergeCell ref="A249:G249"/>
    <mergeCell ref="A250:G250"/>
    <mergeCell ref="A245:G245"/>
    <mergeCell ref="A246:G246"/>
    <mergeCell ref="A247:G247"/>
    <mergeCell ref="A242:G242"/>
    <mergeCell ref="A244:G244"/>
    <mergeCell ref="A239:G239"/>
    <mergeCell ref="A240:G240"/>
    <mergeCell ref="A241:G241"/>
    <mergeCell ref="B234:G234"/>
    <mergeCell ref="D215:D217"/>
    <mergeCell ref="C188:G188"/>
    <mergeCell ref="K188:N188"/>
    <mergeCell ref="E182:E183"/>
    <mergeCell ref="A182:A184"/>
    <mergeCell ref="B182:B184"/>
    <mergeCell ref="C182:C184"/>
    <mergeCell ref="D182:D184"/>
    <mergeCell ref="D123:D124"/>
    <mergeCell ref="K123:K124"/>
    <mergeCell ref="A254:G254"/>
    <mergeCell ref="C189:N189"/>
    <mergeCell ref="C195:C202"/>
    <mergeCell ref="C203:C210"/>
    <mergeCell ref="C211:C214"/>
    <mergeCell ref="A238:G238"/>
    <mergeCell ref="F228:F231"/>
    <mergeCell ref="K230:K231"/>
    <mergeCell ref="C232:G232"/>
    <mergeCell ref="K232:N232"/>
    <mergeCell ref="B233:G233"/>
    <mergeCell ref="K233:N233"/>
    <mergeCell ref="D228:D231"/>
    <mergeCell ref="E228:E231"/>
    <mergeCell ref="A243:G243"/>
    <mergeCell ref="L222:L223"/>
    <mergeCell ref="K220:K221"/>
    <mergeCell ref="M222:M223"/>
  </mergeCells>
  <printOptions horizontalCentered="1"/>
  <pageMargins left="0.59055118110236227" right="0" top="0.39370078740157483" bottom="0" header="0" footer="0"/>
  <pageSetup paperSize="9" scale="70" orientation="portrait" r:id="rId1"/>
  <headerFooter alignWithMargins="0"/>
  <rowBreaks count="3" manualBreakCount="3">
    <brk id="58" max="13" man="1"/>
    <brk id="113" max="13" man="1"/>
    <brk id="21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59"/>
  <sheetViews>
    <sheetView zoomScaleNormal="100" zoomScaleSheetLayoutView="100" workbookViewId="0"/>
  </sheetViews>
  <sheetFormatPr defaultRowHeight="12.75" x14ac:dyDescent="0.2"/>
  <cols>
    <col min="1" max="2" width="2.7109375" style="2" customWidth="1"/>
    <col min="3" max="3" width="2.7109375" style="781" customWidth="1"/>
    <col min="4" max="4" width="33.140625" style="2" customWidth="1"/>
    <col min="5" max="5" width="2.85546875" style="8" customWidth="1"/>
    <col min="6" max="6" width="5.140625" style="11" customWidth="1"/>
    <col min="7" max="7" width="7.85546875" style="3" customWidth="1"/>
    <col min="8" max="8" width="8.85546875" style="2" customWidth="1"/>
    <col min="9" max="9" width="8.7109375" style="2" customWidth="1"/>
    <col min="10" max="10" width="8.42578125" style="2" customWidth="1"/>
    <col min="11" max="11" width="8.7109375" style="2" customWidth="1"/>
    <col min="12" max="13" width="8.28515625" style="2" customWidth="1"/>
    <col min="14" max="14" width="9.42578125" style="2" customWidth="1"/>
    <col min="15" max="15" width="9.28515625" style="2" customWidth="1"/>
    <col min="16" max="16" width="9.42578125" style="2" customWidth="1"/>
    <col min="17" max="17" width="32.85546875" style="2" customWidth="1"/>
    <col min="18" max="18" width="4" style="2" customWidth="1"/>
    <col min="19" max="20" width="3.85546875" style="2" customWidth="1"/>
    <col min="21" max="21" width="33.28515625" style="2" customWidth="1"/>
    <col min="22" max="22" width="9.140625" style="1"/>
    <col min="23" max="23" width="6.7109375" style="1" customWidth="1"/>
    <col min="24" max="16384" width="9.140625" style="1"/>
  </cols>
  <sheetData>
    <row r="1" spans="1:21" s="173" customFormat="1" ht="18" customHeight="1" x14ac:dyDescent="0.25">
      <c r="B1" s="783"/>
      <c r="C1" s="783"/>
      <c r="D1" s="783"/>
      <c r="E1" s="783"/>
      <c r="Q1" s="1156"/>
      <c r="R1" s="1157"/>
      <c r="S1" s="1157"/>
      <c r="T1" s="1157"/>
      <c r="U1" s="1158" t="s">
        <v>368</v>
      </c>
    </row>
    <row r="2" spans="1:21" s="173" customFormat="1" ht="12.75" customHeight="1" x14ac:dyDescent="0.25">
      <c r="B2" s="783"/>
      <c r="C2" s="783"/>
      <c r="D2" s="783"/>
      <c r="E2" s="783"/>
      <c r="Q2" s="1118"/>
      <c r="R2" s="1118"/>
      <c r="S2" s="1118"/>
      <c r="T2" s="1118"/>
      <c r="U2" s="1118"/>
    </row>
    <row r="3" spans="1:21" s="173" customFormat="1" ht="13.5" customHeight="1" x14ac:dyDescent="0.25">
      <c r="B3" s="783"/>
      <c r="C3" s="783"/>
      <c r="D3" s="783"/>
      <c r="E3" s="783"/>
      <c r="Q3" s="1118"/>
      <c r="R3" s="1118"/>
      <c r="S3" s="1118"/>
      <c r="T3" s="1118"/>
      <c r="U3" s="1118"/>
    </row>
    <row r="4" spans="1:21" s="41" customFormat="1" ht="15" x14ac:dyDescent="0.2">
      <c r="A4" s="1892" t="s">
        <v>337</v>
      </c>
      <c r="B4" s="1892"/>
      <c r="C4" s="1892"/>
      <c r="D4" s="1892"/>
      <c r="E4" s="1892"/>
      <c r="F4" s="1892"/>
      <c r="G4" s="1892"/>
      <c r="H4" s="1892"/>
      <c r="I4" s="1892"/>
      <c r="J4" s="1892"/>
      <c r="K4" s="1892"/>
      <c r="L4" s="1892"/>
      <c r="M4" s="1892"/>
      <c r="N4" s="1892"/>
      <c r="O4" s="1892"/>
      <c r="P4" s="1892"/>
      <c r="Q4" s="1892"/>
      <c r="R4" s="1892"/>
      <c r="S4" s="1892"/>
      <c r="T4" s="1892"/>
      <c r="U4" s="1892"/>
    </row>
    <row r="5" spans="1:21" ht="15.75" customHeight="1" x14ac:dyDescent="0.2">
      <c r="A5" s="1893" t="s">
        <v>29</v>
      </c>
      <c r="B5" s="1893"/>
      <c r="C5" s="1893"/>
      <c r="D5" s="1893"/>
      <c r="E5" s="1893"/>
      <c r="F5" s="1893"/>
      <c r="G5" s="1893"/>
      <c r="H5" s="1893"/>
      <c r="I5" s="1893"/>
      <c r="J5" s="1893"/>
      <c r="K5" s="1893"/>
      <c r="L5" s="1893"/>
      <c r="M5" s="1893"/>
      <c r="N5" s="1893"/>
      <c r="O5" s="1893"/>
      <c r="P5" s="1893"/>
      <c r="Q5" s="1893"/>
      <c r="R5" s="1893"/>
      <c r="S5" s="1893"/>
      <c r="T5" s="1893"/>
      <c r="U5" s="1893"/>
    </row>
    <row r="6" spans="1:21" ht="15" customHeight="1" x14ac:dyDescent="0.2">
      <c r="A6" s="1894" t="s">
        <v>17</v>
      </c>
      <c r="B6" s="1894"/>
      <c r="C6" s="1894"/>
      <c r="D6" s="1894"/>
      <c r="E6" s="1894"/>
      <c r="F6" s="1894"/>
      <c r="G6" s="1894"/>
      <c r="H6" s="1894"/>
      <c r="I6" s="1894"/>
      <c r="J6" s="1894"/>
      <c r="K6" s="1894"/>
      <c r="L6" s="1894"/>
      <c r="M6" s="1894"/>
      <c r="N6" s="1894"/>
      <c r="O6" s="1894"/>
      <c r="P6" s="1894"/>
      <c r="Q6" s="1894"/>
      <c r="R6" s="1894"/>
      <c r="S6" s="1894"/>
      <c r="T6" s="1894"/>
      <c r="U6" s="1894"/>
    </row>
    <row r="7" spans="1:21" ht="15" customHeight="1" thickBot="1" x14ac:dyDescent="0.25">
      <c r="A7" s="16"/>
      <c r="B7" s="16"/>
      <c r="C7" s="780"/>
      <c r="D7" s="16"/>
      <c r="E7" s="17"/>
      <c r="F7" s="18"/>
      <c r="G7" s="290"/>
      <c r="H7" s="16"/>
      <c r="I7" s="16"/>
      <c r="J7" s="16"/>
      <c r="K7" s="16"/>
      <c r="L7" s="16"/>
      <c r="M7" s="16"/>
      <c r="N7" s="16"/>
      <c r="O7" s="16"/>
      <c r="P7" s="16"/>
      <c r="Q7" s="1895" t="s">
        <v>119</v>
      </c>
      <c r="R7" s="1895"/>
      <c r="S7" s="1895"/>
      <c r="T7" s="1895"/>
      <c r="U7" s="1896"/>
    </row>
    <row r="8" spans="1:21" s="41" customFormat="1" ht="46.5" customHeight="1" x14ac:dyDescent="0.2">
      <c r="A8" s="1945" t="s">
        <v>18</v>
      </c>
      <c r="B8" s="1948" t="s">
        <v>0</v>
      </c>
      <c r="C8" s="1948" t="s">
        <v>1</v>
      </c>
      <c r="D8" s="1951" t="s">
        <v>12</v>
      </c>
      <c r="E8" s="1948" t="s">
        <v>2</v>
      </c>
      <c r="F8" s="1931" t="s">
        <v>3</v>
      </c>
      <c r="G8" s="1934" t="s">
        <v>4</v>
      </c>
      <c r="H8" s="1937" t="s">
        <v>370</v>
      </c>
      <c r="I8" s="1940" t="s">
        <v>371</v>
      </c>
      <c r="J8" s="1954" t="s">
        <v>372</v>
      </c>
      <c r="K8" s="1937" t="s">
        <v>156</v>
      </c>
      <c r="L8" s="1940" t="s">
        <v>373</v>
      </c>
      <c r="M8" s="1954" t="s">
        <v>372</v>
      </c>
      <c r="N8" s="1989" t="s">
        <v>217</v>
      </c>
      <c r="O8" s="1940" t="s">
        <v>374</v>
      </c>
      <c r="P8" s="1954" t="s">
        <v>372</v>
      </c>
      <c r="Q8" s="1864" t="s">
        <v>11</v>
      </c>
      <c r="R8" s="1865"/>
      <c r="S8" s="1865"/>
      <c r="T8" s="1865"/>
      <c r="U8" s="1159"/>
    </row>
    <row r="9" spans="1:21" s="41" customFormat="1" ht="18.75" customHeight="1" x14ac:dyDescent="0.2">
      <c r="A9" s="1946"/>
      <c r="B9" s="1949"/>
      <c r="C9" s="1949"/>
      <c r="D9" s="1952"/>
      <c r="E9" s="1949"/>
      <c r="F9" s="1932"/>
      <c r="G9" s="1935"/>
      <c r="H9" s="1938"/>
      <c r="I9" s="1941"/>
      <c r="J9" s="1955"/>
      <c r="K9" s="1938"/>
      <c r="L9" s="1941"/>
      <c r="M9" s="1955"/>
      <c r="N9" s="1990"/>
      <c r="O9" s="1941"/>
      <c r="P9" s="1955"/>
      <c r="Q9" s="1867" t="s">
        <v>12</v>
      </c>
      <c r="R9" s="1869" t="s">
        <v>100</v>
      </c>
      <c r="S9" s="1869"/>
      <c r="T9" s="1869"/>
      <c r="U9" s="930" t="s">
        <v>369</v>
      </c>
    </row>
    <row r="10" spans="1:21" s="41" customFormat="1" ht="69.75" customHeight="1" thickBot="1" x14ac:dyDescent="0.25">
      <c r="A10" s="1947"/>
      <c r="B10" s="1950"/>
      <c r="C10" s="1950"/>
      <c r="D10" s="1953"/>
      <c r="E10" s="1950"/>
      <c r="F10" s="1933"/>
      <c r="G10" s="1936"/>
      <c r="H10" s="1939"/>
      <c r="I10" s="1942"/>
      <c r="J10" s="1956"/>
      <c r="K10" s="1939"/>
      <c r="L10" s="1942"/>
      <c r="M10" s="1956"/>
      <c r="N10" s="1991"/>
      <c r="O10" s="1942"/>
      <c r="P10" s="1956"/>
      <c r="Q10" s="1868"/>
      <c r="R10" s="174" t="s">
        <v>108</v>
      </c>
      <c r="S10" s="1160" t="s">
        <v>157</v>
      </c>
      <c r="T10" s="1160" t="s">
        <v>218</v>
      </c>
      <c r="U10" s="1161"/>
    </row>
    <row r="11" spans="1:21" s="10" customFormat="1" ht="14.25" customHeight="1" x14ac:dyDescent="0.2">
      <c r="A11" s="1909" t="s">
        <v>63</v>
      </c>
      <c r="B11" s="1910"/>
      <c r="C11" s="1910"/>
      <c r="D11" s="1910"/>
      <c r="E11" s="1910"/>
      <c r="F11" s="1910"/>
      <c r="G11" s="1910"/>
      <c r="H11" s="1910"/>
      <c r="I11" s="1910"/>
      <c r="J11" s="1910"/>
      <c r="K11" s="1910"/>
      <c r="L11" s="1910"/>
      <c r="M11" s="1910"/>
      <c r="N11" s="1910"/>
      <c r="O11" s="1910"/>
      <c r="P11" s="1910"/>
      <c r="Q11" s="1910"/>
      <c r="R11" s="1910"/>
      <c r="S11" s="1910"/>
      <c r="T11" s="1910"/>
      <c r="U11" s="1911"/>
    </row>
    <row r="12" spans="1:21" s="10" customFormat="1" ht="14.25" customHeight="1" x14ac:dyDescent="0.2">
      <c r="A12" s="1912" t="s">
        <v>26</v>
      </c>
      <c r="B12" s="1913"/>
      <c r="C12" s="1913"/>
      <c r="D12" s="1913"/>
      <c r="E12" s="1913"/>
      <c r="F12" s="1913"/>
      <c r="G12" s="1913"/>
      <c r="H12" s="1913"/>
      <c r="I12" s="1913"/>
      <c r="J12" s="1913"/>
      <c r="K12" s="1913"/>
      <c r="L12" s="1913"/>
      <c r="M12" s="1913"/>
      <c r="N12" s="1913"/>
      <c r="O12" s="1913"/>
      <c r="P12" s="1913"/>
      <c r="Q12" s="1913"/>
      <c r="R12" s="1913"/>
      <c r="S12" s="1913"/>
      <c r="T12" s="1913"/>
      <c r="U12" s="1914"/>
    </row>
    <row r="13" spans="1:21" ht="16.5" customHeight="1" x14ac:dyDescent="0.2">
      <c r="A13" s="20" t="s">
        <v>5</v>
      </c>
      <c r="B13" s="1915" t="s">
        <v>30</v>
      </c>
      <c r="C13" s="1916"/>
      <c r="D13" s="1916"/>
      <c r="E13" s="1916"/>
      <c r="F13" s="1916"/>
      <c r="G13" s="1916"/>
      <c r="H13" s="1916"/>
      <c r="I13" s="1916"/>
      <c r="J13" s="1916"/>
      <c r="K13" s="1916"/>
      <c r="L13" s="1916"/>
      <c r="M13" s="1916"/>
      <c r="N13" s="1916"/>
      <c r="O13" s="1916"/>
      <c r="P13" s="1916"/>
      <c r="Q13" s="1916"/>
      <c r="R13" s="1916"/>
      <c r="S13" s="1916"/>
      <c r="T13" s="1916"/>
      <c r="U13" s="1917"/>
    </row>
    <row r="14" spans="1:21" ht="15" customHeight="1" x14ac:dyDescent="0.2">
      <c r="A14" s="289" t="s">
        <v>5</v>
      </c>
      <c r="B14" s="13" t="s">
        <v>5</v>
      </c>
      <c r="C14" s="1918" t="s">
        <v>31</v>
      </c>
      <c r="D14" s="1919"/>
      <c r="E14" s="1919"/>
      <c r="F14" s="1919"/>
      <c r="G14" s="1919"/>
      <c r="H14" s="1919"/>
      <c r="I14" s="1919"/>
      <c r="J14" s="1919"/>
      <c r="K14" s="1919"/>
      <c r="L14" s="1919"/>
      <c r="M14" s="1919"/>
      <c r="N14" s="1919"/>
      <c r="O14" s="1919"/>
      <c r="P14" s="1919"/>
      <c r="Q14" s="1919"/>
      <c r="R14" s="1919"/>
      <c r="S14" s="1919"/>
      <c r="T14" s="1919"/>
      <c r="U14" s="1920"/>
    </row>
    <row r="15" spans="1:21" ht="13.5" customHeight="1" x14ac:dyDescent="0.2">
      <c r="A15" s="1083" t="s">
        <v>5</v>
      </c>
      <c r="B15" s="1099" t="s">
        <v>5</v>
      </c>
      <c r="C15" s="1059" t="s">
        <v>5</v>
      </c>
      <c r="D15" s="1929" t="s">
        <v>49</v>
      </c>
      <c r="E15" s="1930" t="s">
        <v>91</v>
      </c>
      <c r="F15" s="1106" t="s">
        <v>43</v>
      </c>
      <c r="G15" s="39" t="s">
        <v>25</v>
      </c>
      <c r="H15" s="784">
        <v>426</v>
      </c>
      <c r="I15" s="1171">
        <v>426</v>
      </c>
      <c r="J15" s="784"/>
      <c r="K15" s="1176">
        <v>2156.6</v>
      </c>
      <c r="L15" s="1171">
        <f>2131.6+25</f>
        <v>2156.6</v>
      </c>
      <c r="M15" s="784"/>
      <c r="N15" s="1176">
        <v>959.9</v>
      </c>
      <c r="O15" s="1171">
        <f>634.9-25+350</f>
        <v>959.9</v>
      </c>
      <c r="P15" s="1356"/>
      <c r="Q15" s="441"/>
      <c r="R15" s="415"/>
      <c r="S15" s="416"/>
      <c r="T15" s="416"/>
      <c r="U15" s="418"/>
    </row>
    <row r="16" spans="1:21" ht="14.25" customHeight="1" x14ac:dyDescent="0.2">
      <c r="A16" s="1083"/>
      <c r="B16" s="1099"/>
      <c r="C16" s="1059"/>
      <c r="D16" s="1684"/>
      <c r="E16" s="1686"/>
      <c r="F16" s="1106"/>
      <c r="G16" s="39" t="s">
        <v>106</v>
      </c>
      <c r="H16" s="784">
        <v>557.70000000000005</v>
      </c>
      <c r="I16" s="1171">
        <v>557.70000000000005</v>
      </c>
      <c r="J16" s="784"/>
      <c r="K16" s="1176"/>
      <c r="L16" s="1171"/>
      <c r="M16" s="784"/>
      <c r="N16" s="1176"/>
      <c r="O16" s="1171"/>
      <c r="P16" s="1205"/>
      <c r="Q16" s="441"/>
      <c r="R16" s="415"/>
      <c r="S16" s="416"/>
      <c r="T16" s="416"/>
      <c r="U16" s="418"/>
    </row>
    <row r="17" spans="1:25" ht="12" customHeight="1" x14ac:dyDescent="0.2">
      <c r="A17" s="1083"/>
      <c r="B17" s="1099"/>
      <c r="C17" s="1059"/>
      <c r="D17" s="59"/>
      <c r="E17" s="1687"/>
      <c r="F17" s="975"/>
      <c r="G17" s="782"/>
      <c r="H17" s="786"/>
      <c r="I17" s="1353"/>
      <c r="J17" s="1354"/>
      <c r="K17" s="1177"/>
      <c r="L17" s="1172"/>
      <c r="M17" s="786"/>
      <c r="N17" s="1177"/>
      <c r="O17" s="1172"/>
      <c r="P17" s="1206"/>
      <c r="Q17" s="1181"/>
      <c r="R17" s="420"/>
      <c r="S17" s="421"/>
      <c r="T17" s="421"/>
      <c r="U17" s="418"/>
    </row>
    <row r="18" spans="1:25" ht="37.5" customHeight="1" x14ac:dyDescent="0.2">
      <c r="A18" s="1736"/>
      <c r="B18" s="1731"/>
      <c r="C18" s="1732"/>
      <c r="D18" s="1921" t="s">
        <v>173</v>
      </c>
      <c r="E18" s="1072" t="s">
        <v>47</v>
      </c>
      <c r="F18" s="1732"/>
      <c r="G18" s="39"/>
      <c r="H18" s="429"/>
      <c r="I18" s="484"/>
      <c r="J18" s="429"/>
      <c r="K18" s="423"/>
      <c r="L18" s="484"/>
      <c r="M18" s="429"/>
      <c r="N18" s="92"/>
      <c r="O18" s="272"/>
      <c r="P18" s="66"/>
      <c r="Q18" s="1182" t="s">
        <v>189</v>
      </c>
      <c r="R18" s="40" t="s">
        <v>271</v>
      </c>
      <c r="S18" s="182"/>
      <c r="T18" s="1162"/>
      <c r="U18" s="440"/>
    </row>
    <row r="19" spans="1:25" ht="15" customHeight="1" x14ac:dyDescent="0.2">
      <c r="A19" s="1736"/>
      <c r="B19" s="1731"/>
      <c r="C19" s="1732"/>
      <c r="D19" s="1882"/>
      <c r="E19" s="1857" t="s">
        <v>118</v>
      </c>
      <c r="F19" s="1732"/>
      <c r="G19" s="39"/>
      <c r="H19" s="429"/>
      <c r="I19" s="484"/>
      <c r="J19" s="429"/>
      <c r="K19" s="423"/>
      <c r="L19" s="484"/>
      <c r="M19" s="429"/>
      <c r="N19" s="92"/>
      <c r="O19" s="272"/>
      <c r="P19" s="66"/>
      <c r="Q19" s="1943" t="s">
        <v>419</v>
      </c>
      <c r="R19" s="481" t="s">
        <v>56</v>
      </c>
      <c r="S19" s="714"/>
      <c r="T19" s="592"/>
      <c r="U19" s="440"/>
    </row>
    <row r="20" spans="1:25" ht="20.25" customHeight="1" x14ac:dyDescent="0.2">
      <c r="A20" s="1736"/>
      <c r="B20" s="1731"/>
      <c r="C20" s="1732"/>
      <c r="D20" s="1834"/>
      <c r="E20" s="1858"/>
      <c r="F20" s="1732"/>
      <c r="G20" s="39"/>
      <c r="H20" s="429"/>
      <c r="I20" s="484"/>
      <c r="J20" s="429"/>
      <c r="K20" s="423"/>
      <c r="L20" s="484"/>
      <c r="M20" s="429"/>
      <c r="N20" s="92"/>
      <c r="O20" s="272"/>
      <c r="P20" s="66"/>
      <c r="Q20" s="1944"/>
      <c r="R20" s="391"/>
      <c r="S20" s="51"/>
      <c r="T20" s="392"/>
      <c r="U20" s="440"/>
    </row>
    <row r="21" spans="1:25" ht="14.25" customHeight="1" x14ac:dyDescent="0.2">
      <c r="A21" s="1736"/>
      <c r="B21" s="1731"/>
      <c r="C21" s="1732"/>
      <c r="D21" s="1725" t="s">
        <v>201</v>
      </c>
      <c r="E21" s="373" t="s">
        <v>47</v>
      </c>
      <c r="F21" s="1778"/>
      <c r="G21" s="68"/>
      <c r="H21" s="108"/>
      <c r="I21" s="272"/>
      <c r="J21" s="108"/>
      <c r="K21" s="92"/>
      <c r="L21" s="272"/>
      <c r="M21" s="108"/>
      <c r="N21" s="92"/>
      <c r="O21" s="272"/>
      <c r="P21" s="66"/>
      <c r="Q21" s="1183" t="s">
        <v>46</v>
      </c>
      <c r="R21" s="715"/>
      <c r="S21" s="716">
        <v>1</v>
      </c>
      <c r="T21" s="716"/>
      <c r="U21" s="923"/>
    </row>
    <row r="22" spans="1:25" ht="24.75" customHeight="1" x14ac:dyDescent="0.2">
      <c r="A22" s="1736"/>
      <c r="B22" s="1731"/>
      <c r="C22" s="1732"/>
      <c r="D22" s="1727"/>
      <c r="E22" s="1119"/>
      <c r="F22" s="1778"/>
      <c r="G22" s="68"/>
      <c r="H22" s="108"/>
      <c r="I22" s="272"/>
      <c r="J22" s="108"/>
      <c r="K22" s="1178"/>
      <c r="L22" s="616"/>
      <c r="M22" s="617"/>
      <c r="N22" s="1178"/>
      <c r="O22" s="616"/>
      <c r="P22" s="924"/>
      <c r="Q22" s="1184"/>
      <c r="R22" s="22"/>
      <c r="S22" s="51"/>
      <c r="T22" s="183"/>
      <c r="U22" s="413"/>
    </row>
    <row r="23" spans="1:25" ht="18.75" customHeight="1" x14ac:dyDescent="0.2">
      <c r="A23" s="1057"/>
      <c r="B23" s="1058"/>
      <c r="C23" s="265"/>
      <c r="D23" s="1726" t="s">
        <v>298</v>
      </c>
      <c r="E23" s="373" t="s">
        <v>47</v>
      </c>
      <c r="F23" s="97"/>
      <c r="G23" s="39" t="s">
        <v>62</v>
      </c>
      <c r="H23" s="784"/>
      <c r="I23" s="1355">
        <v>1.5</v>
      </c>
      <c r="J23" s="1356">
        <f>I23-H23</f>
        <v>1.5</v>
      </c>
      <c r="K23" s="92"/>
      <c r="L23" s="272"/>
      <c r="M23" s="108"/>
      <c r="N23" s="92"/>
      <c r="O23" s="843">
        <v>1</v>
      </c>
      <c r="P23" s="1314">
        <f>O23-N23</f>
        <v>1</v>
      </c>
      <c r="Q23" s="1957" t="s">
        <v>193</v>
      </c>
      <c r="R23" s="598">
        <v>1</v>
      </c>
      <c r="S23" s="182"/>
      <c r="T23" s="497"/>
      <c r="U23" s="2015" t="s">
        <v>389</v>
      </c>
    </row>
    <row r="24" spans="1:25" ht="24" customHeight="1" x14ac:dyDescent="0.2">
      <c r="A24" s="1057"/>
      <c r="B24" s="1058"/>
      <c r="C24" s="265"/>
      <c r="D24" s="1726"/>
      <c r="E24" s="1854" t="s">
        <v>118</v>
      </c>
      <c r="F24" s="97"/>
      <c r="G24" s="68"/>
      <c r="H24" s="108"/>
      <c r="I24" s="272"/>
      <c r="J24" s="108"/>
      <c r="K24" s="92"/>
      <c r="L24" s="272"/>
      <c r="M24" s="108"/>
      <c r="N24" s="92"/>
      <c r="O24" s="272"/>
      <c r="P24" s="66"/>
      <c r="Q24" s="1958"/>
      <c r="R24" s="598"/>
      <c r="S24" s="182"/>
      <c r="T24" s="497"/>
      <c r="U24" s="2015"/>
    </row>
    <row r="25" spans="1:25" ht="27.75" customHeight="1" x14ac:dyDescent="0.2">
      <c r="A25" s="1057"/>
      <c r="B25" s="1058"/>
      <c r="C25" s="265"/>
      <c r="D25" s="1726"/>
      <c r="E25" s="1855"/>
      <c r="F25" s="97"/>
      <c r="G25" s="68"/>
      <c r="H25" s="108"/>
      <c r="I25" s="272"/>
      <c r="J25" s="108"/>
      <c r="K25" s="92"/>
      <c r="L25" s="272"/>
      <c r="M25" s="108"/>
      <c r="N25" s="92"/>
      <c r="O25" s="272"/>
      <c r="P25" s="66"/>
      <c r="Q25" s="1185" t="s">
        <v>194</v>
      </c>
      <c r="R25" s="597"/>
      <c r="S25" s="223">
        <v>1</v>
      </c>
      <c r="T25" s="223"/>
      <c r="U25" s="2015"/>
      <c r="X25" s="1055"/>
    </row>
    <row r="26" spans="1:25" ht="27" customHeight="1" x14ac:dyDescent="0.2">
      <c r="A26" s="1057"/>
      <c r="B26" s="1058"/>
      <c r="C26" s="265"/>
      <c r="D26" s="1727"/>
      <c r="E26" s="1856"/>
      <c r="F26" s="97"/>
      <c r="G26" s="70"/>
      <c r="H26" s="108"/>
      <c r="I26" s="272"/>
      <c r="J26" s="108"/>
      <c r="K26" s="92"/>
      <c r="L26" s="272"/>
      <c r="M26" s="108"/>
      <c r="N26" s="92"/>
      <c r="O26" s="272"/>
      <c r="P26" s="66"/>
      <c r="Q26" s="1186" t="s">
        <v>195</v>
      </c>
      <c r="R26" s="22"/>
      <c r="S26" s="51">
        <v>20</v>
      </c>
      <c r="T26" s="1163">
        <v>100</v>
      </c>
      <c r="U26" s="413"/>
    </row>
    <row r="27" spans="1:25" ht="25.5" customHeight="1" x14ac:dyDescent="0.2">
      <c r="A27" s="1736"/>
      <c r="B27" s="1731"/>
      <c r="C27" s="1732"/>
      <c r="D27" s="1737" t="s">
        <v>299</v>
      </c>
      <c r="E27" s="1070" t="s">
        <v>47</v>
      </c>
      <c r="F27" s="1778"/>
      <c r="G27" s="68"/>
      <c r="H27" s="108"/>
      <c r="I27" s="272"/>
      <c r="J27" s="108"/>
      <c r="K27" s="92"/>
      <c r="L27" s="272"/>
      <c r="M27" s="108"/>
      <c r="N27" s="92"/>
      <c r="O27" s="272"/>
      <c r="P27" s="66"/>
      <c r="Q27" s="1187" t="s">
        <v>219</v>
      </c>
      <c r="R27" s="631">
        <v>20</v>
      </c>
      <c r="S27" s="665">
        <v>100</v>
      </c>
      <c r="T27" s="1164"/>
      <c r="U27" s="248"/>
    </row>
    <row r="28" spans="1:25" ht="12.75" customHeight="1" x14ac:dyDescent="0.2">
      <c r="A28" s="1736"/>
      <c r="B28" s="1731"/>
      <c r="C28" s="1732"/>
      <c r="D28" s="1738"/>
      <c r="E28" s="691"/>
      <c r="F28" s="1778"/>
      <c r="G28" s="70"/>
      <c r="H28" s="108"/>
      <c r="I28" s="272"/>
      <c r="J28" s="108"/>
      <c r="K28" s="92"/>
      <c r="L28" s="272"/>
      <c r="M28" s="108"/>
      <c r="N28" s="92"/>
      <c r="O28" s="272"/>
      <c r="P28" s="66"/>
      <c r="Q28" s="1188"/>
      <c r="R28" s="193"/>
      <c r="S28" s="380"/>
      <c r="T28" s="1165"/>
      <c r="U28" s="923"/>
    </row>
    <row r="29" spans="1:25" ht="28.5" customHeight="1" x14ac:dyDescent="0.2">
      <c r="A29" s="1057"/>
      <c r="B29" s="1058"/>
      <c r="C29" s="265"/>
      <c r="D29" s="1636" t="s">
        <v>309</v>
      </c>
      <c r="E29" s="1797" t="s">
        <v>47</v>
      </c>
      <c r="F29" s="1062"/>
      <c r="G29" s="68" t="s">
        <v>45</v>
      </c>
      <c r="H29" s="108">
        <v>31.2</v>
      </c>
      <c r="I29" s="272">
        <v>31.2</v>
      </c>
      <c r="J29" s="108"/>
      <c r="K29" s="202"/>
      <c r="L29" s="200"/>
      <c r="M29" s="721"/>
      <c r="N29" s="202"/>
      <c r="O29" s="200"/>
      <c r="P29" s="255"/>
      <c r="Q29" s="1357" t="s">
        <v>315</v>
      </c>
      <c r="R29" s="1358">
        <v>1</v>
      </c>
      <c r="S29" s="384"/>
      <c r="T29" s="182"/>
      <c r="U29" s="308"/>
      <c r="Y29" s="1055"/>
    </row>
    <row r="30" spans="1:25" ht="18" customHeight="1" x14ac:dyDescent="0.2">
      <c r="A30" s="1057"/>
      <c r="B30" s="1058"/>
      <c r="C30" s="102"/>
      <c r="D30" s="1794"/>
      <c r="E30" s="1846"/>
      <c r="F30" s="1062"/>
      <c r="G30" s="68"/>
      <c r="H30" s="617"/>
      <c r="I30" s="616"/>
      <c r="J30" s="617"/>
      <c r="K30" s="202"/>
      <c r="L30" s="200"/>
      <c r="M30" s="721"/>
      <c r="N30" s="202"/>
      <c r="O30" s="200"/>
      <c r="P30" s="255"/>
      <c r="Q30" s="1266" t="s">
        <v>46</v>
      </c>
      <c r="R30" s="22"/>
      <c r="S30" s="387">
        <v>1</v>
      </c>
      <c r="T30" s="51"/>
      <c r="U30" s="1342"/>
    </row>
    <row r="31" spans="1:25" ht="13.5" customHeight="1" x14ac:dyDescent="0.2">
      <c r="A31" s="1057"/>
      <c r="B31" s="1058"/>
      <c r="C31" s="265"/>
      <c r="D31" s="1726" t="s">
        <v>209</v>
      </c>
      <c r="E31" s="1071" t="s">
        <v>47</v>
      </c>
      <c r="F31" s="97"/>
      <c r="G31" s="68"/>
      <c r="H31" s="617"/>
      <c r="I31" s="616"/>
      <c r="J31" s="617"/>
      <c r="K31" s="1178"/>
      <c r="L31" s="616"/>
      <c r="M31" s="617"/>
      <c r="N31" s="1178"/>
      <c r="O31" s="616"/>
      <c r="P31" s="924"/>
      <c r="Q31" s="1681" t="s">
        <v>196</v>
      </c>
      <c r="R31" s="601"/>
      <c r="S31" s="601"/>
      <c r="T31" s="1127">
        <v>1</v>
      </c>
      <c r="U31" s="2031"/>
    </row>
    <row r="32" spans="1:25" ht="18.75" customHeight="1" x14ac:dyDescent="0.2">
      <c r="A32" s="1057"/>
      <c r="B32" s="1058"/>
      <c r="C32" s="102"/>
      <c r="D32" s="1727"/>
      <c r="E32" s="1072"/>
      <c r="F32" s="97"/>
      <c r="G32" s="70"/>
      <c r="H32" s="617"/>
      <c r="I32" s="616"/>
      <c r="J32" s="617"/>
      <c r="K32" s="1178"/>
      <c r="L32" s="616"/>
      <c r="M32" s="617"/>
      <c r="N32" s="1178"/>
      <c r="O32" s="616"/>
      <c r="P32" s="924"/>
      <c r="Q32" s="1735"/>
      <c r="R32" s="605"/>
      <c r="S32" s="605"/>
      <c r="T32" s="1128"/>
      <c r="U32" s="2032"/>
    </row>
    <row r="33" spans="1:21" ht="25.5" customHeight="1" x14ac:dyDescent="0.2">
      <c r="A33" s="1057"/>
      <c r="B33" s="1058"/>
      <c r="C33" s="1060"/>
      <c r="D33" s="1754" t="s">
        <v>300</v>
      </c>
      <c r="E33" s="1070" t="s">
        <v>47</v>
      </c>
      <c r="F33" s="1778"/>
      <c r="G33" s="68"/>
      <c r="H33" s="617"/>
      <c r="I33" s="616"/>
      <c r="J33" s="617"/>
      <c r="K33" s="92"/>
      <c r="L33" s="272"/>
      <c r="M33" s="108"/>
      <c r="N33" s="92"/>
      <c r="O33" s="272"/>
      <c r="P33" s="66"/>
      <c r="Q33" s="1263" t="s">
        <v>196</v>
      </c>
      <c r="R33" s="330"/>
      <c r="S33" s="330">
        <v>1</v>
      </c>
      <c r="T33" s="330"/>
      <c r="U33" s="2015"/>
    </row>
    <row r="34" spans="1:21" ht="26.25" customHeight="1" x14ac:dyDescent="0.2">
      <c r="A34" s="1057"/>
      <c r="B34" s="1058"/>
      <c r="C34" s="1060"/>
      <c r="D34" s="1794"/>
      <c r="E34" s="1072"/>
      <c r="F34" s="1778"/>
      <c r="G34" s="68"/>
      <c r="H34" s="617"/>
      <c r="I34" s="616"/>
      <c r="J34" s="617"/>
      <c r="K34" s="92"/>
      <c r="L34" s="272"/>
      <c r="M34" s="108"/>
      <c r="N34" s="92"/>
      <c r="O34" s="272"/>
      <c r="P34" s="66"/>
      <c r="Q34" s="1264" t="s">
        <v>376</v>
      </c>
      <c r="R34" s="330"/>
      <c r="S34" s="330"/>
      <c r="T34" s="384">
        <v>100</v>
      </c>
      <c r="U34" s="1928"/>
    </row>
    <row r="35" spans="1:21" ht="13.5" customHeight="1" x14ac:dyDescent="0.2">
      <c r="A35" s="1057"/>
      <c r="B35" s="1058"/>
      <c r="C35" s="265"/>
      <c r="D35" s="1726" t="s">
        <v>306</v>
      </c>
      <c r="E35" s="1071" t="s">
        <v>47</v>
      </c>
      <c r="F35" s="425"/>
      <c r="G35" s="68"/>
      <c r="H35" s="108"/>
      <c r="I35" s="272"/>
      <c r="J35" s="108"/>
      <c r="K35" s="92"/>
      <c r="L35" s="272"/>
      <c r="M35" s="108"/>
      <c r="N35" s="1178"/>
      <c r="O35" s="616"/>
      <c r="P35" s="924"/>
      <c r="Q35" s="1959" t="s">
        <v>316</v>
      </c>
      <c r="R35" s="601"/>
      <c r="S35" s="601">
        <v>1</v>
      </c>
      <c r="T35" s="1127"/>
      <c r="U35" s="1168"/>
    </row>
    <row r="36" spans="1:21" ht="13.5" customHeight="1" x14ac:dyDescent="0.2">
      <c r="A36" s="1057"/>
      <c r="B36" s="1058"/>
      <c r="C36" s="265"/>
      <c r="D36" s="1726"/>
      <c r="E36" s="1071"/>
      <c r="F36" s="425"/>
      <c r="G36" s="67"/>
      <c r="H36" s="620"/>
      <c r="I36" s="619"/>
      <c r="J36" s="620"/>
      <c r="K36" s="1179"/>
      <c r="L36" s="619"/>
      <c r="M36" s="620"/>
      <c r="N36" s="1179"/>
      <c r="O36" s="619"/>
      <c r="P36" s="1207"/>
      <c r="Q36" s="1960"/>
      <c r="R36" s="603"/>
      <c r="S36" s="603"/>
      <c r="T36" s="1129"/>
      <c r="U36" s="1168"/>
    </row>
    <row r="37" spans="1:21" ht="17.25" customHeight="1" thickBot="1" x14ac:dyDescent="0.25">
      <c r="A37" s="75"/>
      <c r="B37" s="1103"/>
      <c r="C37" s="104"/>
      <c r="D37" s="914"/>
      <c r="E37" s="915"/>
      <c r="F37" s="916"/>
      <c r="G37" s="156" t="s">
        <v>6</v>
      </c>
      <c r="H37" s="216">
        <f>SUM(H15:H36)</f>
        <v>1014.9</v>
      </c>
      <c r="I37" s="1173">
        <f>SUM(I15:I36)</f>
        <v>1016.4</v>
      </c>
      <c r="J37" s="1173">
        <f>SUM(J15:J36)</f>
        <v>1.5</v>
      </c>
      <c r="K37" s="246">
        <f>SUM(K15:K36)</f>
        <v>2156.6</v>
      </c>
      <c r="L37" s="1173">
        <f>SUM(L15:L36)</f>
        <v>2156.6</v>
      </c>
      <c r="M37" s="216"/>
      <c r="N37" s="246">
        <f>SUM(N15:N36)</f>
        <v>959.9</v>
      </c>
      <c r="O37" s="1173">
        <f>SUM(O15:O36)</f>
        <v>960.9</v>
      </c>
      <c r="P37" s="261">
        <f>SUM(P15:P36)</f>
        <v>1</v>
      </c>
      <c r="Q37" s="1190"/>
      <c r="R37" s="918"/>
      <c r="S37" s="919"/>
      <c r="T37" s="1130"/>
      <c r="U37" s="920"/>
    </row>
    <row r="38" spans="1:21" ht="12.75" customHeight="1" x14ac:dyDescent="0.2">
      <c r="A38" s="1100" t="s">
        <v>5</v>
      </c>
      <c r="B38" s="1102" t="s">
        <v>5</v>
      </c>
      <c r="C38" s="1086" t="s">
        <v>7</v>
      </c>
      <c r="D38" s="1688" t="s">
        <v>50</v>
      </c>
      <c r="E38" s="1690" t="s">
        <v>94</v>
      </c>
      <c r="F38" s="1104" t="s">
        <v>43</v>
      </c>
      <c r="G38" s="426" t="s">
        <v>25</v>
      </c>
      <c r="H38" s="263">
        <v>744.6</v>
      </c>
      <c r="I38" s="214">
        <v>744.6</v>
      </c>
      <c r="J38" s="263"/>
      <c r="K38" s="262">
        <v>1130</v>
      </c>
      <c r="L38" s="214">
        <v>1130</v>
      </c>
      <c r="M38" s="263"/>
      <c r="N38" s="262">
        <v>1442.6</v>
      </c>
      <c r="O38" s="214">
        <v>1442.6</v>
      </c>
      <c r="P38" s="445"/>
      <c r="Q38" s="107"/>
      <c r="R38" s="324"/>
      <c r="S38" s="324"/>
      <c r="T38" s="1131"/>
      <c r="U38" s="1169"/>
    </row>
    <row r="39" spans="1:21" ht="16.5" customHeight="1" x14ac:dyDescent="0.2">
      <c r="A39" s="1066"/>
      <c r="B39" s="1058"/>
      <c r="C39" s="1060"/>
      <c r="D39" s="1689"/>
      <c r="E39" s="1686"/>
      <c r="F39" s="1062"/>
      <c r="G39" s="282" t="s">
        <v>107</v>
      </c>
      <c r="H39" s="108">
        <v>1500</v>
      </c>
      <c r="I39" s="272">
        <v>1500</v>
      </c>
      <c r="J39" s="108"/>
      <c r="K39" s="92">
        <v>2500</v>
      </c>
      <c r="L39" s="272">
        <v>2500</v>
      </c>
      <c r="M39" s="108"/>
      <c r="N39" s="92">
        <v>1700</v>
      </c>
      <c r="O39" s="272">
        <v>1700</v>
      </c>
      <c r="P39" s="66"/>
      <c r="Q39" s="774"/>
      <c r="R39" s="330"/>
      <c r="S39" s="330"/>
      <c r="T39" s="384"/>
      <c r="U39" s="308"/>
    </row>
    <row r="40" spans="1:21" ht="14.25" customHeight="1" x14ac:dyDescent="0.2">
      <c r="A40" s="1066"/>
      <c r="B40" s="1058"/>
      <c r="C40" s="1060"/>
      <c r="D40" s="926"/>
      <c r="E40" s="1686"/>
      <c r="F40" s="1062"/>
      <c r="G40" s="80" t="s">
        <v>106</v>
      </c>
      <c r="H40" s="170">
        <v>366.6</v>
      </c>
      <c r="I40" s="45">
        <v>366.6</v>
      </c>
      <c r="J40" s="170"/>
      <c r="K40" s="95"/>
      <c r="L40" s="45"/>
      <c r="M40" s="170"/>
      <c r="N40" s="95"/>
      <c r="O40" s="45"/>
      <c r="P40" s="204"/>
      <c r="Q40" s="1191"/>
      <c r="R40" s="22"/>
      <c r="S40" s="22"/>
      <c r="T40" s="387"/>
      <c r="U40" s="308"/>
    </row>
    <row r="41" spans="1:21" ht="39.75" customHeight="1" x14ac:dyDescent="0.2">
      <c r="A41" s="1842"/>
      <c r="B41" s="1731"/>
      <c r="C41" s="1732"/>
      <c r="D41" s="1726" t="s">
        <v>296</v>
      </c>
      <c r="E41" s="1071" t="s">
        <v>47</v>
      </c>
      <c r="F41" s="1732"/>
      <c r="G41" s="68"/>
      <c r="H41" s="108"/>
      <c r="I41" s="272"/>
      <c r="J41" s="108"/>
      <c r="K41" s="92"/>
      <c r="L41" s="272"/>
      <c r="M41" s="108"/>
      <c r="N41" s="92"/>
      <c r="O41" s="272"/>
      <c r="P41" s="66"/>
      <c r="Q41" s="1192" t="s">
        <v>204</v>
      </c>
      <c r="R41" s="1096">
        <v>1</v>
      </c>
      <c r="S41" s="1096"/>
      <c r="T41" s="1132"/>
      <c r="U41" s="413"/>
    </row>
    <row r="42" spans="1:21" ht="42" customHeight="1" x14ac:dyDescent="0.2">
      <c r="A42" s="1842"/>
      <c r="B42" s="1731"/>
      <c r="C42" s="1732"/>
      <c r="D42" s="1726"/>
      <c r="E42" s="1071"/>
      <c r="F42" s="1732"/>
      <c r="G42" s="68"/>
      <c r="H42" s="108"/>
      <c r="I42" s="272"/>
      <c r="J42" s="108"/>
      <c r="K42" s="92"/>
      <c r="L42" s="272"/>
      <c r="M42" s="108"/>
      <c r="N42" s="92"/>
      <c r="O42" s="272"/>
      <c r="P42" s="66"/>
      <c r="Q42" s="1193" t="s">
        <v>273</v>
      </c>
      <c r="R42" s="52">
        <v>100</v>
      </c>
      <c r="S42" s="52"/>
      <c r="T42" s="1133"/>
      <c r="U42" s="413"/>
    </row>
    <row r="43" spans="1:21" ht="39" customHeight="1" x14ac:dyDescent="0.2">
      <c r="A43" s="1842"/>
      <c r="B43" s="1731"/>
      <c r="C43" s="1732"/>
      <c r="D43" s="1726"/>
      <c r="E43" s="1071"/>
      <c r="F43" s="1732"/>
      <c r="G43" s="68"/>
      <c r="H43" s="108"/>
      <c r="I43" s="272"/>
      <c r="J43" s="108"/>
      <c r="K43" s="92"/>
      <c r="L43" s="272"/>
      <c r="M43" s="108"/>
      <c r="N43" s="92"/>
      <c r="O43" s="272"/>
      <c r="P43" s="66"/>
      <c r="Q43" s="1193" t="s">
        <v>274</v>
      </c>
      <c r="R43" s="52">
        <v>40</v>
      </c>
      <c r="S43" s="52">
        <v>100</v>
      </c>
      <c r="T43" s="1133"/>
      <c r="U43" s="413"/>
    </row>
    <row r="44" spans="1:21" ht="55.5" customHeight="1" x14ac:dyDescent="0.2">
      <c r="A44" s="1842"/>
      <c r="B44" s="1731"/>
      <c r="C44" s="1732"/>
      <c r="D44" s="1726"/>
      <c r="E44" s="1071"/>
      <c r="F44" s="1732"/>
      <c r="G44" s="68"/>
      <c r="H44" s="108"/>
      <c r="I44" s="272"/>
      <c r="J44" s="108"/>
      <c r="K44" s="92"/>
      <c r="L44" s="272"/>
      <c r="M44" s="108"/>
      <c r="N44" s="92"/>
      <c r="O44" s="272"/>
      <c r="P44" s="66"/>
      <c r="Q44" s="1340" t="s">
        <v>365</v>
      </c>
      <c r="R44" s="52"/>
      <c r="S44" s="52">
        <v>30</v>
      </c>
      <c r="T44" s="1133">
        <v>60</v>
      </c>
      <c r="U44" s="413"/>
    </row>
    <row r="45" spans="1:21" ht="24.75" customHeight="1" x14ac:dyDescent="0.2">
      <c r="A45" s="1842"/>
      <c r="B45" s="1731"/>
      <c r="C45" s="1732"/>
      <c r="D45" s="1725" t="s">
        <v>59</v>
      </c>
      <c r="E45" s="120" t="s">
        <v>47</v>
      </c>
      <c r="F45" s="1778"/>
      <c r="G45" s="60" t="s">
        <v>107</v>
      </c>
      <c r="H45" s="141"/>
      <c r="I45" s="1317">
        <v>-1400</v>
      </c>
      <c r="J45" s="1319">
        <f>I45-H45</f>
        <v>-1400</v>
      </c>
      <c r="K45" s="96"/>
      <c r="L45" s="1317">
        <v>650</v>
      </c>
      <c r="M45" s="1319">
        <f>L45-K45</f>
        <v>650</v>
      </c>
      <c r="N45" s="1359"/>
      <c r="O45" s="1317">
        <v>750</v>
      </c>
      <c r="P45" s="1318">
        <f>O45-N45</f>
        <v>750</v>
      </c>
      <c r="Q45" s="1341" t="s">
        <v>198</v>
      </c>
      <c r="R45" s="1344" t="s">
        <v>390</v>
      </c>
      <c r="S45" s="1095">
        <v>70</v>
      </c>
      <c r="T45" s="1134">
        <v>100</v>
      </c>
      <c r="U45" s="1924" t="s">
        <v>391</v>
      </c>
    </row>
    <row r="46" spans="1:21" ht="159" customHeight="1" x14ac:dyDescent="0.2">
      <c r="A46" s="1842"/>
      <c r="B46" s="1731"/>
      <c r="C46" s="1732"/>
      <c r="D46" s="1727"/>
      <c r="E46" s="121"/>
      <c r="F46" s="1778"/>
      <c r="G46" s="63"/>
      <c r="H46" s="170"/>
      <c r="I46" s="45"/>
      <c r="J46" s="170"/>
      <c r="K46" s="95"/>
      <c r="L46" s="45"/>
      <c r="M46" s="170"/>
      <c r="N46" s="95"/>
      <c r="O46" s="45"/>
      <c r="P46" s="204"/>
      <c r="Q46" s="1194"/>
      <c r="R46" s="48"/>
      <c r="S46" s="48"/>
      <c r="T46" s="1135"/>
      <c r="U46" s="1925"/>
    </row>
    <row r="47" spans="1:21" ht="17.25" customHeight="1" x14ac:dyDescent="0.2">
      <c r="A47" s="1057"/>
      <c r="B47" s="1058"/>
      <c r="C47" s="97"/>
      <c r="D47" s="1725" t="s">
        <v>301</v>
      </c>
      <c r="E47" s="1841" t="s">
        <v>47</v>
      </c>
      <c r="F47" s="1838"/>
      <c r="G47" s="60" t="s">
        <v>62</v>
      </c>
      <c r="H47" s="482"/>
      <c r="I47" s="1365">
        <v>5.9</v>
      </c>
      <c r="J47" s="1366">
        <f>I47-H47</f>
        <v>5.9</v>
      </c>
      <c r="K47" s="489"/>
      <c r="L47" s="1363"/>
      <c r="M47" s="482"/>
      <c r="N47" s="489"/>
      <c r="O47" s="1363"/>
      <c r="P47" s="1364"/>
      <c r="Q47" s="1367" t="s">
        <v>99</v>
      </c>
      <c r="R47" s="608">
        <v>1</v>
      </c>
      <c r="S47" s="576"/>
      <c r="T47" s="1137"/>
      <c r="U47" s="1924" t="s">
        <v>404</v>
      </c>
    </row>
    <row r="48" spans="1:21" ht="50.25" customHeight="1" x14ac:dyDescent="0.2">
      <c r="A48" s="1057"/>
      <c r="B48" s="1058"/>
      <c r="C48" s="97"/>
      <c r="D48" s="1726"/>
      <c r="E48" s="1832"/>
      <c r="F48" s="1838"/>
      <c r="G48" s="67"/>
      <c r="H48" s="1368"/>
      <c r="I48" s="1369"/>
      <c r="J48" s="1368"/>
      <c r="K48" s="1370"/>
      <c r="L48" s="1369"/>
      <c r="M48" s="1368"/>
      <c r="N48" s="1370"/>
      <c r="O48" s="1369"/>
      <c r="P48" s="1371"/>
      <c r="Q48" s="1372"/>
      <c r="R48" s="595"/>
      <c r="S48" s="598"/>
      <c r="T48" s="384"/>
      <c r="U48" s="1925"/>
    </row>
    <row r="49" spans="1:23" ht="17.25" customHeight="1" x14ac:dyDescent="0.2">
      <c r="A49" s="1057"/>
      <c r="B49" s="1058"/>
      <c r="C49" s="97"/>
      <c r="D49" s="1737" t="s">
        <v>338</v>
      </c>
      <c r="E49" s="1067"/>
      <c r="F49" s="1068"/>
      <c r="G49" s="70"/>
      <c r="H49" s="108"/>
      <c r="I49" s="272"/>
      <c r="J49" s="108"/>
      <c r="K49" s="92"/>
      <c r="L49" s="272"/>
      <c r="M49" s="108"/>
      <c r="N49" s="92"/>
      <c r="O49" s="272"/>
      <c r="P49" s="66"/>
      <c r="Q49" s="1197" t="s">
        <v>317</v>
      </c>
      <c r="R49" s="662">
        <v>1</v>
      </c>
      <c r="S49" s="576"/>
      <c r="T49" s="1137"/>
      <c r="U49" s="308"/>
    </row>
    <row r="50" spans="1:23" ht="17.25" customHeight="1" x14ac:dyDescent="0.2">
      <c r="A50" s="1057"/>
      <c r="B50" s="1058"/>
      <c r="C50" s="97"/>
      <c r="D50" s="1847"/>
      <c r="E50" s="1067"/>
      <c r="F50" s="1068"/>
      <c r="G50" s="430"/>
      <c r="H50" s="108"/>
      <c r="I50" s="272"/>
      <c r="J50" s="108"/>
      <c r="K50" s="92"/>
      <c r="L50" s="272"/>
      <c r="M50" s="108"/>
      <c r="N50" s="92"/>
      <c r="O50" s="272"/>
      <c r="P50" s="66"/>
      <c r="Q50" s="1196" t="s">
        <v>46</v>
      </c>
      <c r="R50" s="664"/>
      <c r="S50" s="610"/>
      <c r="T50" s="387">
        <v>1</v>
      </c>
      <c r="U50" s="308"/>
    </row>
    <row r="51" spans="1:23" ht="14.25" customHeight="1" x14ac:dyDescent="0.2">
      <c r="A51" s="1057"/>
      <c r="B51" s="1058"/>
      <c r="C51" s="97"/>
      <c r="D51" s="1725" t="s">
        <v>339</v>
      </c>
      <c r="E51" s="1841" t="s">
        <v>47</v>
      </c>
      <c r="F51" s="1835"/>
      <c r="G51" s="68" t="s">
        <v>45</v>
      </c>
      <c r="H51" s="429"/>
      <c r="I51" s="484"/>
      <c r="J51" s="429"/>
      <c r="K51" s="423"/>
      <c r="L51" s="484"/>
      <c r="M51" s="429"/>
      <c r="N51" s="423">
        <v>95</v>
      </c>
      <c r="O51" s="484">
        <v>95</v>
      </c>
      <c r="P51" s="424"/>
      <c r="Q51" s="1195" t="s">
        <v>99</v>
      </c>
      <c r="R51" s="595"/>
      <c r="S51" s="598"/>
      <c r="T51" s="384">
        <v>1</v>
      </c>
      <c r="U51" s="308"/>
    </row>
    <row r="52" spans="1:23" ht="17.25" customHeight="1" x14ac:dyDescent="0.2">
      <c r="A52" s="1057"/>
      <c r="B52" s="1058"/>
      <c r="C52" s="97"/>
      <c r="D52" s="1726"/>
      <c r="E52" s="1832"/>
      <c r="F52" s="1835"/>
      <c r="G52" s="74"/>
      <c r="H52" s="170"/>
      <c r="I52" s="45"/>
      <c r="J52" s="170"/>
      <c r="K52" s="95"/>
      <c r="L52" s="45"/>
      <c r="M52" s="170"/>
      <c r="N52" s="95"/>
      <c r="O52" s="45"/>
      <c r="P52" s="204"/>
      <c r="Q52" s="1197"/>
      <c r="R52" s="595"/>
      <c r="S52" s="598"/>
      <c r="T52" s="384"/>
      <c r="U52" s="308"/>
    </row>
    <row r="53" spans="1:23" ht="17.25" customHeight="1" thickBot="1" x14ac:dyDescent="0.25">
      <c r="A53" s="75"/>
      <c r="B53" s="1103"/>
      <c r="C53" s="104"/>
      <c r="D53" s="914"/>
      <c r="E53" s="915"/>
      <c r="F53" s="916"/>
      <c r="G53" s="156" t="s">
        <v>6</v>
      </c>
      <c r="H53" s="216">
        <f t="shared" ref="H53:P53" si="0">SUM(H38:H52)</f>
        <v>2611.1999999999998</v>
      </c>
      <c r="I53" s="1173">
        <f t="shared" si="0"/>
        <v>1217.0999999999999</v>
      </c>
      <c r="J53" s="261">
        <f t="shared" si="0"/>
        <v>-1394.1</v>
      </c>
      <c r="K53" s="216">
        <f t="shared" si="0"/>
        <v>3630</v>
      </c>
      <c r="L53" s="1173">
        <f t="shared" si="0"/>
        <v>4280</v>
      </c>
      <c r="M53" s="1173">
        <f t="shared" si="0"/>
        <v>650</v>
      </c>
      <c r="N53" s="246">
        <f t="shared" si="0"/>
        <v>3237.6</v>
      </c>
      <c r="O53" s="1173">
        <f>SUM(O38:O52)</f>
        <v>3987.6</v>
      </c>
      <c r="P53" s="261">
        <f t="shared" si="0"/>
        <v>750</v>
      </c>
      <c r="Q53" s="1190"/>
      <c r="R53" s="918"/>
      <c r="S53" s="919"/>
      <c r="T53" s="1130"/>
      <c r="U53" s="920"/>
      <c r="V53" s="54"/>
    </row>
    <row r="54" spans="1:23" ht="15" customHeight="1" x14ac:dyDescent="0.2">
      <c r="A54" s="1057" t="s">
        <v>5</v>
      </c>
      <c r="B54" s="1069" t="s">
        <v>5</v>
      </c>
      <c r="C54" s="1060" t="s">
        <v>28</v>
      </c>
      <c r="D54" s="1848" t="s">
        <v>102</v>
      </c>
      <c r="E54" s="1850" t="s">
        <v>96</v>
      </c>
      <c r="F54" s="1104" t="s">
        <v>43</v>
      </c>
      <c r="G54" s="217" t="s">
        <v>25</v>
      </c>
      <c r="H54" s="263">
        <v>326</v>
      </c>
      <c r="I54" s="214">
        <v>326</v>
      </c>
      <c r="J54" s="263"/>
      <c r="K54" s="262">
        <v>633.9</v>
      </c>
      <c r="L54" s="214">
        <v>633.9</v>
      </c>
      <c r="M54" s="445"/>
      <c r="N54" s="262">
        <v>2792.4</v>
      </c>
      <c r="O54" s="214">
        <f>2792.4</f>
        <v>2792.4</v>
      </c>
      <c r="P54" s="1315"/>
      <c r="Q54" s="1198"/>
      <c r="R54" s="432"/>
      <c r="S54" s="792"/>
      <c r="T54" s="792"/>
      <c r="U54" s="793"/>
    </row>
    <row r="55" spans="1:23" ht="16.5" customHeight="1" x14ac:dyDescent="0.2">
      <c r="A55" s="1057"/>
      <c r="B55" s="1069"/>
      <c r="C55" s="1060"/>
      <c r="D55" s="1849"/>
      <c r="E55" s="1851"/>
      <c r="F55" s="1062"/>
      <c r="G55" s="68" t="s">
        <v>107</v>
      </c>
      <c r="H55" s="108">
        <v>860</v>
      </c>
      <c r="I55" s="272">
        <f>860</f>
        <v>860</v>
      </c>
      <c r="J55" s="108"/>
      <c r="K55" s="92">
        <v>1000</v>
      </c>
      <c r="L55" s="272">
        <v>1000</v>
      </c>
      <c r="M55" s="66"/>
      <c r="N55" s="92"/>
      <c r="O55" s="272"/>
      <c r="P55" s="66"/>
      <c r="Q55" s="774"/>
      <c r="R55" s="496"/>
      <c r="S55" s="497"/>
      <c r="T55" s="497"/>
      <c r="U55" s="413"/>
    </row>
    <row r="56" spans="1:23" ht="14.25" customHeight="1" x14ac:dyDescent="0.2">
      <c r="A56" s="1057"/>
      <c r="B56" s="1069"/>
      <c r="C56" s="1060"/>
      <c r="D56" s="1849"/>
      <c r="E56" s="1851"/>
      <c r="F56" s="1062"/>
      <c r="G56" s="68" t="s">
        <v>106</v>
      </c>
      <c r="H56" s="108">
        <v>198.4</v>
      </c>
      <c r="I56" s="272">
        <v>198.4</v>
      </c>
      <c r="J56" s="108"/>
      <c r="K56" s="92"/>
      <c r="L56" s="272"/>
      <c r="M56" s="66"/>
      <c r="N56" s="92"/>
      <c r="O56" s="272"/>
      <c r="P56" s="66"/>
      <c r="Q56" s="774"/>
      <c r="R56" s="496"/>
      <c r="S56" s="497"/>
      <c r="T56" s="497"/>
      <c r="U56" s="413"/>
    </row>
    <row r="57" spans="1:23" ht="15.75" customHeight="1" x14ac:dyDescent="0.2">
      <c r="A57" s="1057"/>
      <c r="B57" s="1069"/>
      <c r="C57" s="1060"/>
      <c r="D57" s="1834"/>
      <c r="E57" s="1686"/>
      <c r="F57" s="1062"/>
      <c r="G57" s="67" t="s">
        <v>62</v>
      </c>
      <c r="H57" s="170">
        <v>420</v>
      </c>
      <c r="I57" s="45">
        <f>420</f>
        <v>420</v>
      </c>
      <c r="J57" s="1262"/>
      <c r="K57" s="95"/>
      <c r="L57" s="45"/>
      <c r="M57" s="204"/>
      <c r="N57" s="95"/>
      <c r="O57" s="45"/>
      <c r="P57" s="204"/>
      <c r="Q57" s="774"/>
      <c r="R57" s="496"/>
      <c r="S57" s="497"/>
      <c r="T57" s="497"/>
      <c r="U57" s="413"/>
      <c r="V57" s="1301"/>
      <c r="W57" s="1301"/>
    </row>
    <row r="58" spans="1:23" ht="14.1" customHeight="1" x14ac:dyDescent="0.2">
      <c r="A58" s="1736"/>
      <c r="B58" s="1788"/>
      <c r="C58" s="1732"/>
      <c r="D58" s="1843" t="s">
        <v>178</v>
      </c>
      <c r="E58" s="1961" t="s">
        <v>47</v>
      </c>
      <c r="F58" s="1964"/>
      <c r="G58" s="1534" t="s">
        <v>44</v>
      </c>
      <c r="H58" s="1535">
        <v>984.5</v>
      </c>
      <c r="I58" s="1536">
        <v>984.5</v>
      </c>
      <c r="J58" s="1535"/>
      <c r="K58" s="1537">
        <v>846.2</v>
      </c>
      <c r="L58" s="1536">
        <v>846.2</v>
      </c>
      <c r="M58" s="1538"/>
      <c r="N58" s="1539">
        <v>149.9</v>
      </c>
      <c r="O58" s="1540">
        <v>149.9</v>
      </c>
      <c r="P58" s="1541"/>
      <c r="Q58" s="2005"/>
      <c r="R58" s="1542"/>
      <c r="S58" s="1543"/>
      <c r="T58" s="1543"/>
      <c r="U58" s="1922" t="s">
        <v>392</v>
      </c>
    </row>
    <row r="59" spans="1:23" ht="19.5" customHeight="1" x14ac:dyDescent="0.2">
      <c r="A59" s="1736"/>
      <c r="B59" s="1788"/>
      <c r="C59" s="1732"/>
      <c r="D59" s="1844"/>
      <c r="E59" s="1962"/>
      <c r="F59" s="1964"/>
      <c r="G59" s="1544" t="s">
        <v>48</v>
      </c>
      <c r="H59" s="1545">
        <v>300</v>
      </c>
      <c r="I59" s="1546">
        <v>300</v>
      </c>
      <c r="J59" s="1545"/>
      <c r="K59" s="1547">
        <v>322.10000000000002</v>
      </c>
      <c r="L59" s="1548">
        <v>0</v>
      </c>
      <c r="M59" s="1549">
        <f>L59-K59</f>
        <v>-322.10000000000002</v>
      </c>
      <c r="N59" s="1547">
        <v>378</v>
      </c>
      <c r="O59" s="1548">
        <v>0</v>
      </c>
      <c r="P59" s="1549">
        <f>O59-N59</f>
        <v>-378</v>
      </c>
      <c r="Q59" s="2006"/>
      <c r="R59" s="1550"/>
      <c r="S59" s="1550"/>
      <c r="T59" s="1550"/>
      <c r="U59" s="2003"/>
    </row>
    <row r="60" spans="1:23" ht="19.5" customHeight="1" x14ac:dyDescent="0.2">
      <c r="A60" s="1736"/>
      <c r="B60" s="1788"/>
      <c r="C60" s="1732"/>
      <c r="D60" s="1844"/>
      <c r="E60" s="1962"/>
      <c r="F60" s="1964"/>
      <c r="G60" s="1544" t="s">
        <v>62</v>
      </c>
      <c r="H60" s="1545"/>
      <c r="I60" s="1548">
        <v>-260</v>
      </c>
      <c r="J60" s="1551">
        <f>I60-H60</f>
        <v>-260</v>
      </c>
      <c r="K60" s="1547"/>
      <c r="L60" s="1546"/>
      <c r="M60" s="1552"/>
      <c r="N60" s="1547"/>
      <c r="O60" s="1546"/>
      <c r="P60" s="1552"/>
      <c r="Q60" s="1553"/>
      <c r="R60" s="1550"/>
      <c r="S60" s="1550"/>
      <c r="T60" s="1550"/>
      <c r="U60" s="2003"/>
    </row>
    <row r="61" spans="1:23" ht="14.1" customHeight="1" x14ac:dyDescent="0.2">
      <c r="A61" s="1736"/>
      <c r="B61" s="1788"/>
      <c r="C61" s="1732"/>
      <c r="D61" s="2016"/>
      <c r="E61" s="1962"/>
      <c r="F61" s="1964"/>
      <c r="G61" s="1544" t="s">
        <v>45</v>
      </c>
      <c r="H61" s="1554"/>
      <c r="I61" s="1555"/>
      <c r="J61" s="1554"/>
      <c r="K61" s="1556">
        <v>150</v>
      </c>
      <c r="L61" s="1555">
        <v>150</v>
      </c>
      <c r="M61" s="1557"/>
      <c r="N61" s="1556"/>
      <c r="O61" s="1555"/>
      <c r="P61" s="1557"/>
      <c r="Q61" s="1553"/>
      <c r="R61" s="1550"/>
      <c r="S61" s="1550"/>
      <c r="T61" s="1550"/>
      <c r="U61" s="2003"/>
    </row>
    <row r="62" spans="1:23" ht="26.25" customHeight="1" x14ac:dyDescent="0.2">
      <c r="A62" s="1736"/>
      <c r="B62" s="1788"/>
      <c r="C62" s="1732"/>
      <c r="D62" s="1558" t="s">
        <v>202</v>
      </c>
      <c r="E62" s="1962"/>
      <c r="F62" s="1964"/>
      <c r="G62" s="1544" t="s">
        <v>107</v>
      </c>
      <c r="H62" s="1554"/>
      <c r="I62" s="1559">
        <v>-300</v>
      </c>
      <c r="J62" s="1560">
        <f>I62-H62</f>
        <v>-300</v>
      </c>
      <c r="K62" s="1556"/>
      <c r="L62" s="1555"/>
      <c r="M62" s="1557"/>
      <c r="N62" s="1556"/>
      <c r="O62" s="1555"/>
      <c r="P62" s="1557"/>
      <c r="Q62" s="1561" t="s">
        <v>276</v>
      </c>
      <c r="R62" s="1562">
        <v>80</v>
      </c>
      <c r="S62" s="1563">
        <v>100</v>
      </c>
      <c r="T62" s="1563"/>
      <c r="U62" s="2003"/>
    </row>
    <row r="63" spans="1:23" ht="37.5" customHeight="1" x14ac:dyDescent="0.2">
      <c r="A63" s="1736"/>
      <c r="B63" s="1788"/>
      <c r="C63" s="1732"/>
      <c r="D63" s="1564" t="s">
        <v>166</v>
      </c>
      <c r="E63" s="1963"/>
      <c r="F63" s="1964"/>
      <c r="G63" s="1565" t="s">
        <v>25</v>
      </c>
      <c r="H63" s="1566"/>
      <c r="I63" s="1567"/>
      <c r="J63" s="1566"/>
      <c r="K63" s="1568"/>
      <c r="L63" s="1569">
        <v>875.5</v>
      </c>
      <c r="M63" s="1570">
        <f>L63-K63</f>
        <v>875.5</v>
      </c>
      <c r="N63" s="1568"/>
      <c r="O63" s="1569">
        <v>-328.6</v>
      </c>
      <c r="P63" s="1570">
        <f>O63-N63</f>
        <v>-328.6</v>
      </c>
      <c r="Q63" s="1571" t="s">
        <v>277</v>
      </c>
      <c r="R63" s="1572"/>
      <c r="S63" s="1573">
        <v>80</v>
      </c>
      <c r="T63" s="1573">
        <v>100</v>
      </c>
      <c r="U63" s="2004"/>
    </row>
    <row r="64" spans="1:23" ht="17.25" customHeight="1" x14ac:dyDescent="0.2">
      <c r="A64" s="1057"/>
      <c r="B64" s="1069"/>
      <c r="C64" s="1062"/>
      <c r="D64" s="1725" t="s">
        <v>124</v>
      </c>
      <c r="E64" s="1832" t="s">
        <v>47</v>
      </c>
      <c r="F64" s="1838"/>
      <c r="G64" s="60" t="s">
        <v>62</v>
      </c>
      <c r="H64" s="141"/>
      <c r="I64" s="1317">
        <v>295</v>
      </c>
      <c r="J64" s="1319">
        <f>I64-H64</f>
        <v>295</v>
      </c>
      <c r="K64" s="96"/>
      <c r="L64" s="53"/>
      <c r="M64" s="232"/>
      <c r="N64" s="96"/>
      <c r="O64" s="53"/>
      <c r="P64" s="232"/>
      <c r="Q64" s="1341" t="s">
        <v>46</v>
      </c>
      <c r="R64" s="330">
        <v>1</v>
      </c>
      <c r="S64" s="330"/>
      <c r="T64" s="384"/>
      <c r="U64" s="1924" t="s">
        <v>399</v>
      </c>
    </row>
    <row r="65" spans="1:22" ht="15.75" customHeight="1" x14ac:dyDescent="0.2">
      <c r="A65" s="1057"/>
      <c r="B65" s="1069"/>
      <c r="C65" s="1062"/>
      <c r="D65" s="1726"/>
      <c r="E65" s="1832"/>
      <c r="F65" s="1838"/>
      <c r="G65" s="68" t="s">
        <v>25</v>
      </c>
      <c r="H65" s="108"/>
      <c r="I65" s="272"/>
      <c r="J65" s="108"/>
      <c r="K65" s="92"/>
      <c r="L65" s="843">
        <v>-263.39999999999998</v>
      </c>
      <c r="M65" s="1314">
        <f>L65-K65</f>
        <v>-263.39999999999998</v>
      </c>
      <c r="N65" s="92"/>
      <c r="O65" s="272"/>
      <c r="P65" s="66"/>
      <c r="Q65" s="2013" t="s">
        <v>199</v>
      </c>
      <c r="R65" s="1926" t="s">
        <v>384</v>
      </c>
      <c r="S65" s="330">
        <v>100</v>
      </c>
      <c r="T65" s="384"/>
      <c r="U65" s="1928"/>
    </row>
    <row r="66" spans="1:22" ht="57.75" customHeight="1" x14ac:dyDescent="0.2">
      <c r="A66" s="1057"/>
      <c r="B66" s="1069"/>
      <c r="C66" s="1062"/>
      <c r="D66" s="1727"/>
      <c r="E66" s="1840"/>
      <c r="F66" s="1838"/>
      <c r="G66" s="63"/>
      <c r="H66" s="170"/>
      <c r="I66" s="45"/>
      <c r="J66" s="170"/>
      <c r="K66" s="95"/>
      <c r="L66" s="45"/>
      <c r="M66" s="204"/>
      <c r="N66" s="95"/>
      <c r="O66" s="45"/>
      <c r="P66" s="204"/>
      <c r="Q66" s="2008"/>
      <c r="R66" s="1927"/>
      <c r="S66" s="22"/>
      <c r="T66" s="387"/>
      <c r="U66" s="1925"/>
    </row>
    <row r="67" spans="1:22" ht="15" customHeight="1" x14ac:dyDescent="0.2">
      <c r="A67" s="1057"/>
      <c r="B67" s="1069"/>
      <c r="C67" s="1062"/>
      <c r="D67" s="1725" t="s">
        <v>60</v>
      </c>
      <c r="E67" s="1836" t="s">
        <v>47</v>
      </c>
      <c r="F67" s="1838"/>
      <c r="G67" s="68"/>
      <c r="H67" s="108"/>
      <c r="I67" s="272"/>
      <c r="J67" s="108"/>
      <c r="K67" s="92"/>
      <c r="L67" s="272"/>
      <c r="M67" s="66"/>
      <c r="N67" s="92"/>
      <c r="O67" s="272"/>
      <c r="P67" s="66"/>
      <c r="Q67" s="1343" t="s">
        <v>46</v>
      </c>
      <c r="R67" s="1093"/>
      <c r="S67" s="1093"/>
      <c r="T67" s="1137">
        <v>1</v>
      </c>
      <c r="U67" s="308"/>
    </row>
    <row r="68" spans="1:22" ht="12.75" customHeight="1" x14ac:dyDescent="0.2">
      <c r="A68" s="1057"/>
      <c r="B68" s="1069"/>
      <c r="C68" s="1062"/>
      <c r="D68" s="1727"/>
      <c r="E68" s="1837"/>
      <c r="F68" s="1838"/>
      <c r="G68" s="70"/>
      <c r="H68" s="108"/>
      <c r="I68" s="272"/>
      <c r="J68" s="108"/>
      <c r="K68" s="92"/>
      <c r="L68" s="272"/>
      <c r="M68" s="66"/>
      <c r="N68" s="92"/>
      <c r="O68" s="272"/>
      <c r="P68" s="66"/>
      <c r="Q68" s="1191"/>
      <c r="R68" s="1122"/>
      <c r="S68" s="1122"/>
      <c r="T68" s="1138"/>
      <c r="U68" s="404"/>
    </row>
    <row r="69" spans="1:22" ht="19.5" customHeight="1" x14ac:dyDescent="0.2">
      <c r="A69" s="1057"/>
      <c r="B69" s="1069"/>
      <c r="C69" s="1062"/>
      <c r="D69" s="1737" t="s">
        <v>340</v>
      </c>
      <c r="E69" s="1073" t="s">
        <v>47</v>
      </c>
      <c r="F69" s="1835"/>
      <c r="G69" s="68"/>
      <c r="H69" s="108"/>
      <c r="I69" s="272"/>
      <c r="J69" s="108"/>
      <c r="K69" s="92"/>
      <c r="L69" s="272"/>
      <c r="M69" s="66"/>
      <c r="N69" s="92"/>
      <c r="O69" s="272"/>
      <c r="P69" s="66"/>
      <c r="Q69" s="1183" t="s">
        <v>46</v>
      </c>
      <c r="R69" s="576">
        <v>1</v>
      </c>
      <c r="S69" s="576"/>
      <c r="T69" s="1136"/>
      <c r="U69" s="930"/>
    </row>
    <row r="70" spans="1:22" ht="27" customHeight="1" x14ac:dyDescent="0.2">
      <c r="A70" s="1057"/>
      <c r="B70" s="1069"/>
      <c r="C70" s="1062"/>
      <c r="D70" s="1834"/>
      <c r="E70" s="777"/>
      <c r="F70" s="1835"/>
      <c r="G70" s="63" t="s">
        <v>45</v>
      </c>
      <c r="H70" s="170">
        <v>40</v>
      </c>
      <c r="I70" s="45">
        <v>40</v>
      </c>
      <c r="J70" s="170"/>
      <c r="K70" s="95"/>
      <c r="L70" s="45"/>
      <c r="M70" s="204"/>
      <c r="N70" s="95"/>
      <c r="O70" s="45"/>
      <c r="P70" s="204"/>
      <c r="Q70" s="1187" t="s">
        <v>341</v>
      </c>
      <c r="R70" s="598"/>
      <c r="S70" s="598"/>
      <c r="T70" s="611">
        <v>100</v>
      </c>
      <c r="U70" s="930"/>
    </row>
    <row r="71" spans="1:22" ht="15.75" customHeight="1" thickBot="1" x14ac:dyDescent="0.25">
      <c r="A71" s="75"/>
      <c r="B71" s="1103"/>
      <c r="C71" s="104"/>
      <c r="D71" s="914"/>
      <c r="E71" s="915"/>
      <c r="F71" s="916"/>
      <c r="G71" s="156" t="s">
        <v>6</v>
      </c>
      <c r="H71" s="216">
        <f t="shared" ref="H71:P71" si="1">SUM(H54:H70)</f>
        <v>3128.9</v>
      </c>
      <c r="I71" s="1173">
        <f t="shared" si="1"/>
        <v>2863.9</v>
      </c>
      <c r="J71" s="459">
        <f t="shared" si="1"/>
        <v>-265</v>
      </c>
      <c r="K71" s="246">
        <f t="shared" si="1"/>
        <v>2952.2</v>
      </c>
      <c r="L71" s="1173">
        <f t="shared" si="1"/>
        <v>3242.2</v>
      </c>
      <c r="M71" s="1173">
        <f t="shared" si="1"/>
        <v>290</v>
      </c>
      <c r="N71" s="246">
        <f t="shared" si="1"/>
        <v>3320.3</v>
      </c>
      <c r="O71" s="1173">
        <f>SUM(O54:O70)</f>
        <v>2613.6999999999998</v>
      </c>
      <c r="P71" s="846">
        <f t="shared" si="1"/>
        <v>-706.6</v>
      </c>
      <c r="Q71" s="1190"/>
      <c r="R71" s="918"/>
      <c r="S71" s="919"/>
      <c r="T71" s="1130"/>
      <c r="U71" s="920"/>
      <c r="V71" s="54"/>
    </row>
    <row r="72" spans="1:22" ht="33" customHeight="1" x14ac:dyDescent="0.2">
      <c r="A72" s="1100" t="s">
        <v>5</v>
      </c>
      <c r="B72" s="328" t="s">
        <v>5</v>
      </c>
      <c r="C72" s="1086" t="s">
        <v>33</v>
      </c>
      <c r="D72" s="119" t="s">
        <v>51</v>
      </c>
      <c r="E72" s="123" t="s">
        <v>93</v>
      </c>
      <c r="F72" s="794"/>
      <c r="G72" s="71"/>
      <c r="H72" s="436"/>
      <c r="I72" s="488"/>
      <c r="J72" s="436"/>
      <c r="K72" s="487"/>
      <c r="L72" s="488"/>
      <c r="M72" s="1174"/>
      <c r="N72" s="487"/>
      <c r="O72" s="488"/>
      <c r="P72" s="1174"/>
      <c r="Q72" s="1200"/>
      <c r="R72" s="30"/>
      <c r="S72" s="30"/>
      <c r="T72" s="1139"/>
      <c r="U72" s="1169"/>
    </row>
    <row r="73" spans="1:22" ht="15" customHeight="1" x14ac:dyDescent="0.2">
      <c r="A73" s="1057"/>
      <c r="B73" s="1069"/>
      <c r="C73" s="1060"/>
      <c r="D73" s="1813" t="s">
        <v>61</v>
      </c>
      <c r="E73" s="1962" t="s">
        <v>47</v>
      </c>
      <c r="F73" s="2033">
        <v>5</v>
      </c>
      <c r="G73" s="1534" t="s">
        <v>107</v>
      </c>
      <c r="H73" s="1574">
        <v>500</v>
      </c>
      <c r="I73" s="1575">
        <f>500+617.1</f>
        <v>1117.0999999999999</v>
      </c>
      <c r="J73" s="1576">
        <f>I73-H73</f>
        <v>617.1</v>
      </c>
      <c r="K73" s="1539">
        <v>200</v>
      </c>
      <c r="L73" s="1540">
        <v>200</v>
      </c>
      <c r="M73" s="1541"/>
      <c r="N73" s="1539">
        <v>700</v>
      </c>
      <c r="O73" s="1575">
        <v>0</v>
      </c>
      <c r="P73" s="1577">
        <f>O73-N73</f>
        <v>-700</v>
      </c>
      <c r="Q73" s="2009" t="s">
        <v>342</v>
      </c>
      <c r="R73" s="2018" t="s">
        <v>380</v>
      </c>
      <c r="S73" s="2018" t="s">
        <v>379</v>
      </c>
      <c r="T73" s="1578" t="s">
        <v>117</v>
      </c>
      <c r="U73" s="1922" t="s">
        <v>418</v>
      </c>
    </row>
    <row r="74" spans="1:22" ht="14.25" customHeight="1" x14ac:dyDescent="0.2">
      <c r="A74" s="1057"/>
      <c r="B74" s="1069"/>
      <c r="C74" s="1060"/>
      <c r="D74" s="1813"/>
      <c r="E74" s="1962"/>
      <c r="F74" s="2033"/>
      <c r="G74" s="1544" t="s">
        <v>25</v>
      </c>
      <c r="H74" s="1554">
        <v>400</v>
      </c>
      <c r="I74" s="1555">
        <v>400</v>
      </c>
      <c r="J74" s="1554"/>
      <c r="K74" s="1556">
        <v>1500</v>
      </c>
      <c r="L74" s="1559">
        <f>1500+635.7</f>
        <v>2135.6999999999998</v>
      </c>
      <c r="M74" s="1579">
        <f>L74-K74</f>
        <v>635.70000000000005</v>
      </c>
      <c r="N74" s="1556">
        <v>2602.8000000000002</v>
      </c>
      <c r="O74" s="1559">
        <v>0</v>
      </c>
      <c r="P74" s="1579">
        <f>O74-N74</f>
        <v>-2602.8000000000002</v>
      </c>
      <c r="Q74" s="2010"/>
      <c r="R74" s="2030"/>
      <c r="S74" s="2030"/>
      <c r="T74" s="1580"/>
      <c r="U74" s="2028"/>
    </row>
    <row r="75" spans="1:22" ht="14.25" customHeight="1" x14ac:dyDescent="0.2">
      <c r="A75" s="1057"/>
      <c r="B75" s="1069"/>
      <c r="C75" s="1060"/>
      <c r="D75" s="1813"/>
      <c r="E75" s="1962"/>
      <c r="F75" s="2033"/>
      <c r="G75" s="1544" t="s">
        <v>48</v>
      </c>
      <c r="H75" s="1554">
        <v>993.4</v>
      </c>
      <c r="I75" s="1555">
        <v>993.4</v>
      </c>
      <c r="J75" s="1554"/>
      <c r="K75" s="1556">
        <v>1000</v>
      </c>
      <c r="L75" s="1559">
        <v>1500</v>
      </c>
      <c r="M75" s="1579">
        <f>L75-K75</f>
        <v>500</v>
      </c>
      <c r="N75" s="1556"/>
      <c r="O75" s="1555"/>
      <c r="P75" s="1557"/>
      <c r="Q75" s="2011"/>
      <c r="R75" s="1581"/>
      <c r="S75" s="1581"/>
      <c r="T75" s="1582"/>
      <c r="U75" s="2028"/>
    </row>
    <row r="76" spans="1:22" ht="127.5" customHeight="1" x14ac:dyDescent="0.2">
      <c r="A76" s="1057"/>
      <c r="B76" s="1069"/>
      <c r="C76" s="1060"/>
      <c r="D76" s="1813"/>
      <c r="E76" s="1962"/>
      <c r="F76" s="2033"/>
      <c r="G76" s="1565" t="s">
        <v>45</v>
      </c>
      <c r="H76" s="1566">
        <v>3.3</v>
      </c>
      <c r="I76" s="1569">
        <v>3.2</v>
      </c>
      <c r="J76" s="1583">
        <f>I76-H76</f>
        <v>-0.1</v>
      </c>
      <c r="K76" s="1568"/>
      <c r="L76" s="1567"/>
      <c r="M76" s="1584"/>
      <c r="N76" s="1568"/>
      <c r="O76" s="1567"/>
      <c r="P76" s="1584"/>
      <c r="Q76" s="2012"/>
      <c r="R76" s="1572"/>
      <c r="S76" s="1572"/>
      <c r="T76" s="1585"/>
      <c r="U76" s="2029"/>
    </row>
    <row r="77" spans="1:22" ht="18" customHeight="1" x14ac:dyDescent="0.2">
      <c r="A77" s="1736"/>
      <c r="B77" s="1788"/>
      <c r="C77" s="1732"/>
      <c r="D77" s="1725" t="s">
        <v>302</v>
      </c>
      <c r="E77" s="1823" t="s">
        <v>47</v>
      </c>
      <c r="F77" s="1789"/>
      <c r="G77" s="68" t="s">
        <v>107</v>
      </c>
      <c r="H77" s="108"/>
      <c r="I77" s="272"/>
      <c r="J77" s="108"/>
      <c r="K77" s="92"/>
      <c r="L77" s="272"/>
      <c r="M77" s="66"/>
      <c r="N77" s="92">
        <v>400</v>
      </c>
      <c r="O77" s="272">
        <v>400</v>
      </c>
      <c r="P77" s="66"/>
      <c r="Q77" s="1959" t="s">
        <v>343</v>
      </c>
      <c r="R77" s="330"/>
      <c r="S77" s="330"/>
      <c r="T77" s="384">
        <v>35</v>
      </c>
      <c r="U77" s="308"/>
    </row>
    <row r="78" spans="1:22" ht="13.5" customHeight="1" x14ac:dyDescent="0.2">
      <c r="A78" s="1736"/>
      <c r="B78" s="1788"/>
      <c r="C78" s="1732"/>
      <c r="D78" s="1726"/>
      <c r="E78" s="1795"/>
      <c r="F78" s="1831"/>
      <c r="G78" s="63"/>
      <c r="H78" s="170"/>
      <c r="I78" s="45"/>
      <c r="J78" s="170"/>
      <c r="K78" s="95"/>
      <c r="L78" s="45"/>
      <c r="M78" s="204"/>
      <c r="N78" s="95"/>
      <c r="O78" s="45"/>
      <c r="P78" s="204"/>
      <c r="Q78" s="2008"/>
      <c r="R78" s="330"/>
      <c r="S78" s="330"/>
      <c r="T78" s="384"/>
      <c r="U78" s="308"/>
    </row>
    <row r="79" spans="1:22" ht="14.25" customHeight="1" x14ac:dyDescent="0.2">
      <c r="A79" s="1736"/>
      <c r="B79" s="1788"/>
      <c r="C79" s="1732"/>
      <c r="D79" s="1725" t="s">
        <v>304</v>
      </c>
      <c r="E79" s="1823" t="s">
        <v>47</v>
      </c>
      <c r="F79" s="1824">
        <v>6</v>
      </c>
      <c r="G79" s="39" t="s">
        <v>25</v>
      </c>
      <c r="H79" s="108"/>
      <c r="I79" s="272"/>
      <c r="J79" s="108"/>
      <c r="K79" s="92">
        <v>10</v>
      </c>
      <c r="L79" s="272">
        <v>10</v>
      </c>
      <c r="M79" s="66"/>
      <c r="N79" s="92">
        <v>12</v>
      </c>
      <c r="O79" s="272">
        <v>12</v>
      </c>
      <c r="P79" s="66"/>
      <c r="Q79" s="1199" t="s">
        <v>46</v>
      </c>
      <c r="R79" s="1093"/>
      <c r="S79" s="1093">
        <v>1</v>
      </c>
      <c r="T79" s="1137"/>
      <c r="U79" s="308"/>
    </row>
    <row r="80" spans="1:22" ht="21" customHeight="1" x14ac:dyDescent="0.2">
      <c r="A80" s="1736"/>
      <c r="B80" s="1788"/>
      <c r="C80" s="1732"/>
      <c r="D80" s="1726"/>
      <c r="E80" s="1795"/>
      <c r="F80" s="1824"/>
      <c r="G80" s="68"/>
      <c r="H80" s="108"/>
      <c r="I80" s="272"/>
      <c r="J80" s="108"/>
      <c r="K80" s="92"/>
      <c r="L80" s="272"/>
      <c r="M80" s="66"/>
      <c r="N80" s="92"/>
      <c r="O80" s="272"/>
      <c r="P80" s="66"/>
      <c r="Q80" s="1965" t="s">
        <v>188</v>
      </c>
      <c r="R80" s="330"/>
      <c r="S80" s="330">
        <v>50</v>
      </c>
      <c r="T80" s="384">
        <v>100</v>
      </c>
      <c r="U80" s="308"/>
      <c r="V80" s="54"/>
    </row>
    <row r="81" spans="1:24" ht="18.75" customHeight="1" x14ac:dyDescent="0.2">
      <c r="A81" s="1736"/>
      <c r="B81" s="1788"/>
      <c r="C81" s="1732"/>
      <c r="D81" s="1726"/>
      <c r="E81" s="1795"/>
      <c r="F81" s="1824"/>
      <c r="G81" s="63"/>
      <c r="H81" s="170"/>
      <c r="I81" s="45"/>
      <c r="J81" s="170"/>
      <c r="K81" s="95"/>
      <c r="L81" s="45"/>
      <c r="M81" s="204"/>
      <c r="N81" s="95"/>
      <c r="O81" s="45"/>
      <c r="P81" s="204"/>
      <c r="Q81" s="1966"/>
      <c r="R81" s="330"/>
      <c r="S81" s="330"/>
      <c r="T81" s="384"/>
      <c r="U81" s="308"/>
      <c r="V81" s="54"/>
    </row>
    <row r="82" spans="1:24" ht="13.5" customHeight="1" thickBot="1" x14ac:dyDescent="0.25">
      <c r="A82" s="75"/>
      <c r="B82" s="1103"/>
      <c r="C82" s="104"/>
      <c r="D82" s="914"/>
      <c r="E82" s="915"/>
      <c r="F82" s="916"/>
      <c r="G82" s="1373" t="s">
        <v>6</v>
      </c>
      <c r="H82" s="216">
        <f>SUM(H73:H81)</f>
        <v>1896.7</v>
      </c>
      <c r="I82" s="1173">
        <f>SUM(I73:I81)</f>
        <v>2513.6999999999998</v>
      </c>
      <c r="J82" s="459">
        <f>SUM(J73:J81)</f>
        <v>617</v>
      </c>
      <c r="K82" s="246">
        <f t="shared" ref="K82" si="2">SUM(K73:K81)</f>
        <v>2710</v>
      </c>
      <c r="L82" s="1173">
        <f t="shared" ref="L82:M82" si="3">SUM(L73:L81)</f>
        <v>3845.7</v>
      </c>
      <c r="M82" s="846">
        <f t="shared" si="3"/>
        <v>1135.7</v>
      </c>
      <c r="N82" s="246">
        <f>SUM(N73:N81)</f>
        <v>3714.8</v>
      </c>
      <c r="O82" s="1173">
        <f>SUM(O73:O81)</f>
        <v>412</v>
      </c>
      <c r="P82" s="846">
        <f>SUM(P73:P81)</f>
        <v>-3302.8</v>
      </c>
      <c r="Q82" s="1190"/>
      <c r="R82" s="918"/>
      <c r="S82" s="919"/>
      <c r="T82" s="1130"/>
      <c r="U82" s="920"/>
    </row>
    <row r="83" spans="1:24" ht="13.5" customHeight="1" x14ac:dyDescent="0.2">
      <c r="A83" s="1307" t="s">
        <v>5</v>
      </c>
      <c r="B83" s="328" t="s">
        <v>5</v>
      </c>
      <c r="C83" s="1310" t="s">
        <v>34</v>
      </c>
      <c r="D83" s="1688" t="s">
        <v>101</v>
      </c>
      <c r="E83" s="1825" t="s">
        <v>90</v>
      </c>
      <c r="F83" s="1309" t="s">
        <v>43</v>
      </c>
      <c r="G83" s="217" t="s">
        <v>25</v>
      </c>
      <c r="H83" s="263">
        <f>678.6+123.9</f>
        <v>802.5</v>
      </c>
      <c r="I83" s="214">
        <f>678.6+123.9</f>
        <v>802.5</v>
      </c>
      <c r="J83" s="263"/>
      <c r="K83" s="262">
        <v>3201.4</v>
      </c>
      <c r="L83" s="214">
        <v>3201.4</v>
      </c>
      <c r="M83" s="445"/>
      <c r="N83" s="262">
        <f>5442.8-250</f>
        <v>5192.8</v>
      </c>
      <c r="O83" s="214">
        <f>5442.8-250</f>
        <v>5192.8</v>
      </c>
      <c r="P83" s="1315"/>
      <c r="Q83" s="1201"/>
      <c r="R83" s="432"/>
      <c r="S83" s="432"/>
      <c r="T83" s="1140"/>
      <c r="U83" s="1969" t="s">
        <v>378</v>
      </c>
    </row>
    <row r="84" spans="1:24" ht="13.5" customHeight="1" x14ac:dyDescent="0.2">
      <c r="A84" s="1303"/>
      <c r="B84" s="1306"/>
      <c r="C84" s="1304"/>
      <c r="D84" s="1822"/>
      <c r="E84" s="1826"/>
      <c r="F84" s="1305"/>
      <c r="G84" s="68" t="s">
        <v>62</v>
      </c>
      <c r="H84" s="1316">
        <f>577+1360.5</f>
        <v>1937.5</v>
      </c>
      <c r="I84" s="1275">
        <v>1533.9</v>
      </c>
      <c r="J84" s="1374">
        <f t="shared" ref="J84:J86" si="4">I84-H84</f>
        <v>-403.6</v>
      </c>
      <c r="K84" s="92"/>
      <c r="L84" s="272"/>
      <c r="M84" s="66"/>
      <c r="N84" s="92"/>
      <c r="O84" s="272"/>
      <c r="P84" s="66"/>
      <c r="Q84" s="1109"/>
      <c r="R84" s="496"/>
      <c r="S84" s="496"/>
      <c r="T84" s="1141"/>
      <c r="U84" s="1970"/>
    </row>
    <row r="85" spans="1:24" ht="15" customHeight="1" x14ac:dyDescent="0.2">
      <c r="A85" s="1303"/>
      <c r="B85" s="1306"/>
      <c r="C85" s="1304"/>
      <c r="D85" s="1689"/>
      <c r="E85" s="1686"/>
      <c r="F85" s="1305"/>
      <c r="G85" s="68" t="s">
        <v>107</v>
      </c>
      <c r="H85" s="108">
        <v>700</v>
      </c>
      <c r="I85" s="843">
        <f>700-7.7</f>
        <v>692.3</v>
      </c>
      <c r="J85" s="1374">
        <f>I85-H85</f>
        <v>-7.7</v>
      </c>
      <c r="K85" s="92">
        <v>1900</v>
      </c>
      <c r="L85" s="272">
        <v>1900</v>
      </c>
      <c r="M85" s="66"/>
      <c r="N85" s="92">
        <v>2000</v>
      </c>
      <c r="O85" s="272">
        <v>2000</v>
      </c>
      <c r="P85" s="66"/>
      <c r="Q85" s="1109"/>
      <c r="R85" s="496"/>
      <c r="S85" s="496"/>
      <c r="T85" s="1141"/>
      <c r="U85" s="1970"/>
    </row>
    <row r="86" spans="1:24" ht="14.25" customHeight="1" x14ac:dyDescent="0.2">
      <c r="A86" s="1303"/>
      <c r="B86" s="1306"/>
      <c r="C86" s="1304"/>
      <c r="D86" s="790"/>
      <c r="E86" s="1686"/>
      <c r="F86" s="1305"/>
      <c r="G86" s="67" t="s">
        <v>106</v>
      </c>
      <c r="H86" s="170"/>
      <c r="I86" s="1259">
        <v>403.6</v>
      </c>
      <c r="J86" s="1375">
        <f t="shared" si="4"/>
        <v>403.6</v>
      </c>
      <c r="K86" s="95"/>
      <c r="L86" s="45"/>
      <c r="M86" s="204"/>
      <c r="N86" s="95"/>
      <c r="O86" s="45"/>
      <c r="P86" s="204"/>
      <c r="Q86" s="1189"/>
      <c r="R86" s="496"/>
      <c r="S86" s="496"/>
      <c r="T86" s="1141"/>
      <c r="U86" s="1970"/>
      <c r="X86" s="54"/>
    </row>
    <row r="87" spans="1:24" ht="18" customHeight="1" x14ac:dyDescent="0.2">
      <c r="A87" s="1303"/>
      <c r="B87" s="1306"/>
      <c r="C87" s="1304"/>
      <c r="D87" s="1812" t="s">
        <v>177</v>
      </c>
      <c r="E87" s="1586" t="s">
        <v>47</v>
      </c>
      <c r="F87" s="1587"/>
      <c r="G87" s="1534" t="s">
        <v>48</v>
      </c>
      <c r="H87" s="1574">
        <v>300</v>
      </c>
      <c r="I87" s="1540">
        <v>300</v>
      </c>
      <c r="J87" s="1574"/>
      <c r="K87" s="1539"/>
      <c r="L87" s="1540"/>
      <c r="M87" s="1541"/>
      <c r="N87" s="1539">
        <v>1000</v>
      </c>
      <c r="O87" s="1575">
        <v>1500</v>
      </c>
      <c r="P87" s="1577">
        <f>O87-N87</f>
        <v>500</v>
      </c>
      <c r="Q87" s="2007" t="s">
        <v>158</v>
      </c>
      <c r="R87" s="1542">
        <v>10</v>
      </c>
      <c r="S87" s="1542">
        <v>40</v>
      </c>
      <c r="T87" s="1588">
        <v>100</v>
      </c>
      <c r="U87" s="1922" t="s">
        <v>393</v>
      </c>
      <c r="X87" s="54"/>
    </row>
    <row r="88" spans="1:24" ht="18.75" customHeight="1" x14ac:dyDescent="0.2">
      <c r="A88" s="1303"/>
      <c r="B88" s="1306"/>
      <c r="C88" s="1305"/>
      <c r="D88" s="1813"/>
      <c r="E88" s="1589"/>
      <c r="F88" s="1587"/>
      <c r="G88" s="1544" t="s">
        <v>25</v>
      </c>
      <c r="H88" s="1554"/>
      <c r="I88" s="1555"/>
      <c r="J88" s="1554"/>
      <c r="K88" s="1556"/>
      <c r="L88" s="1555"/>
      <c r="M88" s="1557"/>
      <c r="N88" s="1556"/>
      <c r="O88" s="1559">
        <v>-798.1</v>
      </c>
      <c r="P88" s="1579">
        <f>O88-N88</f>
        <v>-798.1</v>
      </c>
      <c r="Q88" s="2006"/>
      <c r="R88" s="1581"/>
      <c r="S88" s="1581"/>
      <c r="T88" s="1582"/>
      <c r="U88" s="2003"/>
      <c r="X88" s="54"/>
    </row>
    <row r="89" spans="1:24" ht="16.5" customHeight="1" x14ac:dyDescent="0.2">
      <c r="A89" s="1303"/>
      <c r="B89" s="1306"/>
      <c r="C89" s="1305"/>
      <c r="D89" s="1814"/>
      <c r="E89" s="1590"/>
      <c r="F89" s="1587"/>
      <c r="G89" s="1565"/>
      <c r="H89" s="1566"/>
      <c r="I89" s="1567"/>
      <c r="J89" s="1566"/>
      <c r="K89" s="1568"/>
      <c r="L89" s="1567"/>
      <c r="M89" s="1584"/>
      <c r="N89" s="1568"/>
      <c r="O89" s="1567"/>
      <c r="P89" s="1584"/>
      <c r="Q89" s="1591"/>
      <c r="R89" s="1572"/>
      <c r="S89" s="1572"/>
      <c r="T89" s="1585"/>
      <c r="U89" s="2027"/>
      <c r="X89" s="54"/>
    </row>
    <row r="90" spans="1:24" ht="42" customHeight="1" x14ac:dyDescent="0.2">
      <c r="A90" s="1303"/>
      <c r="B90" s="1306"/>
      <c r="C90" s="1304"/>
      <c r="D90" s="1812" t="s">
        <v>411</v>
      </c>
      <c r="E90" s="1586" t="s">
        <v>47</v>
      </c>
      <c r="F90" s="1587"/>
      <c r="G90" s="1534" t="s">
        <v>25</v>
      </c>
      <c r="H90" s="1574"/>
      <c r="I90" s="1540"/>
      <c r="J90" s="1574"/>
      <c r="K90" s="1539"/>
      <c r="L90" s="1575">
        <v>916.8</v>
      </c>
      <c r="M90" s="1577">
        <f>L90-K90</f>
        <v>916.8</v>
      </c>
      <c r="N90" s="1539"/>
      <c r="O90" s="1540"/>
      <c r="P90" s="1541"/>
      <c r="Q90" s="1592" t="s">
        <v>386</v>
      </c>
      <c r="R90" s="1593" t="s">
        <v>385</v>
      </c>
      <c r="S90" s="1594">
        <v>100</v>
      </c>
      <c r="T90" s="1595"/>
      <c r="U90" s="1922" t="s">
        <v>417</v>
      </c>
    </row>
    <row r="91" spans="1:24" ht="89.25" customHeight="1" x14ac:dyDescent="0.2">
      <c r="A91" s="1303"/>
      <c r="B91" s="1306"/>
      <c r="C91" s="1304"/>
      <c r="D91" s="1817"/>
      <c r="E91" s="1596"/>
      <c r="F91" s="1587"/>
      <c r="G91" s="1597"/>
      <c r="H91" s="1598"/>
      <c r="I91" s="1599"/>
      <c r="J91" s="1598"/>
      <c r="K91" s="1568"/>
      <c r="L91" s="1567"/>
      <c r="M91" s="1584"/>
      <c r="N91" s="1568"/>
      <c r="O91" s="1567"/>
      <c r="P91" s="1584"/>
      <c r="Q91" s="1591"/>
      <c r="R91" s="1572"/>
      <c r="S91" s="1572"/>
      <c r="T91" s="1573"/>
      <c r="U91" s="2004"/>
      <c r="V91" s="1493"/>
    </row>
    <row r="92" spans="1:24" ht="29.25" customHeight="1" x14ac:dyDescent="0.2">
      <c r="A92" s="1303"/>
      <c r="B92" s="1306"/>
      <c r="C92" s="1304"/>
      <c r="D92" s="1812" t="s">
        <v>305</v>
      </c>
      <c r="E92" s="1586" t="s">
        <v>47</v>
      </c>
      <c r="F92" s="1614"/>
      <c r="G92" s="1544" t="s">
        <v>25</v>
      </c>
      <c r="H92" s="1545"/>
      <c r="I92" s="1546"/>
      <c r="J92" s="1545"/>
      <c r="K92" s="1556"/>
      <c r="L92" s="1555"/>
      <c r="M92" s="1557"/>
      <c r="N92" s="1615"/>
      <c r="O92" s="1559">
        <v>380</v>
      </c>
      <c r="P92" s="1579">
        <f>N92+O92</f>
        <v>380</v>
      </c>
      <c r="Q92" s="2005" t="s">
        <v>272</v>
      </c>
      <c r="R92" s="1616">
        <v>90</v>
      </c>
      <c r="S92" s="1616">
        <v>100</v>
      </c>
      <c r="T92" s="2018">
        <v>30</v>
      </c>
      <c r="U92" s="1922" t="s">
        <v>422</v>
      </c>
    </row>
    <row r="93" spans="1:24" ht="21.75" customHeight="1" x14ac:dyDescent="0.2">
      <c r="A93" s="1303"/>
      <c r="B93" s="1306"/>
      <c r="C93" s="1304"/>
      <c r="D93" s="1817"/>
      <c r="E93" s="1617"/>
      <c r="F93" s="1614"/>
      <c r="G93" s="1618" t="s">
        <v>25</v>
      </c>
      <c r="H93" s="1619"/>
      <c r="I93" s="1620"/>
      <c r="J93" s="1619"/>
      <c r="K93" s="1568"/>
      <c r="L93" s="1567"/>
      <c r="M93" s="1584"/>
      <c r="N93" s="1568">
        <v>250</v>
      </c>
      <c r="O93" s="1567">
        <v>250</v>
      </c>
      <c r="P93" s="1584"/>
      <c r="Q93" s="2006"/>
      <c r="R93" s="1594"/>
      <c r="S93" s="1594"/>
      <c r="T93" s="2019"/>
      <c r="U93" s="1923"/>
    </row>
    <row r="94" spans="1:24" ht="17.25" customHeight="1" x14ac:dyDescent="0.2">
      <c r="A94" s="1346"/>
      <c r="B94" s="1348"/>
      <c r="C94" s="1347"/>
      <c r="D94" s="2020" t="s">
        <v>387</v>
      </c>
      <c r="E94" s="1621" t="s">
        <v>47</v>
      </c>
      <c r="F94" s="1614"/>
      <c r="G94" s="1622" t="s">
        <v>25</v>
      </c>
      <c r="H94" s="1545"/>
      <c r="I94" s="1546"/>
      <c r="J94" s="1545"/>
      <c r="K94" s="1556"/>
      <c r="L94" s="1559"/>
      <c r="M94" s="1579"/>
      <c r="N94" s="1556"/>
      <c r="O94" s="1559">
        <v>82</v>
      </c>
      <c r="P94" s="1579">
        <f>O94-N94</f>
        <v>82</v>
      </c>
      <c r="Q94" s="1623" t="s">
        <v>46</v>
      </c>
      <c r="R94" s="1624"/>
      <c r="S94" s="1624"/>
      <c r="T94" s="2018">
        <v>1</v>
      </c>
      <c r="U94" s="1922" t="s">
        <v>423</v>
      </c>
    </row>
    <row r="95" spans="1:24" ht="111.75" customHeight="1" x14ac:dyDescent="0.2">
      <c r="A95" s="1346"/>
      <c r="B95" s="1348"/>
      <c r="C95" s="1347"/>
      <c r="D95" s="2021"/>
      <c r="E95" s="1625"/>
      <c r="F95" s="1614"/>
      <c r="G95" s="1618"/>
      <c r="H95" s="1619"/>
      <c r="I95" s="1620"/>
      <c r="J95" s="1619"/>
      <c r="K95" s="1568"/>
      <c r="L95" s="1567"/>
      <c r="M95" s="1584"/>
      <c r="N95" s="1568"/>
      <c r="O95" s="1567"/>
      <c r="P95" s="1584"/>
      <c r="Q95" s="1626"/>
      <c r="R95" s="1594"/>
      <c r="S95" s="1594"/>
      <c r="T95" s="2019"/>
      <c r="U95" s="2026"/>
    </row>
    <row r="96" spans="1:24" ht="18" customHeight="1" x14ac:dyDescent="0.2">
      <c r="A96" s="1346"/>
      <c r="B96" s="1348"/>
      <c r="C96" s="1347"/>
      <c r="D96" s="2022" t="s">
        <v>388</v>
      </c>
      <c r="E96" s="1380" t="s">
        <v>47</v>
      </c>
      <c r="F96" s="1349"/>
      <c r="G96" s="1359" t="s">
        <v>25</v>
      </c>
      <c r="H96" s="1359"/>
      <c r="I96" s="1317"/>
      <c r="J96" s="1318"/>
      <c r="K96" s="1359"/>
      <c r="L96" s="1317">
        <v>50</v>
      </c>
      <c r="M96" s="1318">
        <f t="shared" ref="M96" si="5">+L96-K96</f>
        <v>50</v>
      </c>
      <c r="N96" s="1359"/>
      <c r="O96" s="1317">
        <v>65</v>
      </c>
      <c r="P96" s="1318">
        <f>O96-N96</f>
        <v>65</v>
      </c>
      <c r="Q96" s="1384" t="s">
        <v>46</v>
      </c>
      <c r="R96" s="1377"/>
      <c r="S96" s="1377"/>
      <c r="T96" s="1265">
        <v>1</v>
      </c>
      <c r="U96" s="2024" t="s">
        <v>394</v>
      </c>
    </row>
    <row r="97" spans="1:21" ht="63.75" customHeight="1" x14ac:dyDescent="0.2">
      <c r="A97" s="1346"/>
      <c r="B97" s="1348"/>
      <c r="C97" s="1347"/>
      <c r="D97" s="2023"/>
      <c r="E97" s="1381"/>
      <c r="F97" s="1349"/>
      <c r="G97" s="1376"/>
      <c r="H97" s="1376"/>
      <c r="I97" s="1259"/>
      <c r="J97" s="1322"/>
      <c r="K97" s="1376"/>
      <c r="L97" s="1259"/>
      <c r="M97" s="1322"/>
      <c r="N97" s="1376"/>
      <c r="O97" s="1259"/>
      <c r="P97" s="1322"/>
      <c r="Q97" s="1386"/>
      <c r="R97" s="48"/>
      <c r="S97" s="48"/>
      <c r="T97" s="1382"/>
      <c r="U97" s="2025"/>
    </row>
    <row r="98" spans="1:21" ht="21.75" customHeight="1" thickBot="1" x14ac:dyDescent="0.25">
      <c r="A98" s="75"/>
      <c r="B98" s="1308"/>
      <c r="C98" s="104"/>
      <c r="D98" s="914"/>
      <c r="E98" s="915"/>
      <c r="F98" s="916"/>
      <c r="G98" s="156" t="s">
        <v>6</v>
      </c>
      <c r="H98" s="216">
        <f>SUM(H83:H93)</f>
        <v>3740</v>
      </c>
      <c r="I98" s="1173">
        <f>SUM(I83:I97)</f>
        <v>3732.3</v>
      </c>
      <c r="J98" s="459">
        <f>SUM(J83:J97)</f>
        <v>-7.7</v>
      </c>
      <c r="K98" s="246">
        <f>SUM(K83:K93)</f>
        <v>5101.3999999999996</v>
      </c>
      <c r="L98" s="1173">
        <f>SUM(L83:L97)</f>
        <v>6068.2</v>
      </c>
      <c r="M98" s="846">
        <f>SUM(M83:M97)</f>
        <v>966.8</v>
      </c>
      <c r="N98" s="246">
        <f>SUM(N83:N93)</f>
        <v>8442.7999999999993</v>
      </c>
      <c r="O98" s="1173">
        <f>SUM(O83:O97)</f>
        <v>8671.7000000000007</v>
      </c>
      <c r="P98" s="846">
        <f>SUM(P83:P97)</f>
        <v>228.9</v>
      </c>
      <c r="Q98" s="1190"/>
      <c r="R98" s="918"/>
      <c r="S98" s="919"/>
      <c r="T98" s="1130"/>
      <c r="U98" s="920"/>
    </row>
    <row r="99" spans="1:21" ht="30" customHeight="1" x14ac:dyDescent="0.2">
      <c r="A99" s="1057" t="s">
        <v>5</v>
      </c>
      <c r="B99" s="1069" t="s">
        <v>5</v>
      </c>
      <c r="C99" s="1060" t="s">
        <v>35</v>
      </c>
      <c r="D99" s="251" t="s">
        <v>74</v>
      </c>
      <c r="E99" s="509" t="s">
        <v>95</v>
      </c>
      <c r="F99" s="1078" t="s">
        <v>43</v>
      </c>
      <c r="G99" s="83"/>
      <c r="H99" s="485"/>
      <c r="I99" s="486"/>
      <c r="J99" s="485"/>
      <c r="K99" s="490"/>
      <c r="L99" s="486"/>
      <c r="M99" s="485"/>
      <c r="N99" s="490"/>
      <c r="O99" s="486"/>
      <c r="P99" s="724"/>
      <c r="Q99" s="1202"/>
      <c r="R99" s="7"/>
      <c r="S99" s="57"/>
      <c r="T99" s="184"/>
      <c r="U99" s="1213"/>
    </row>
    <row r="100" spans="1:21" ht="15.75" customHeight="1" x14ac:dyDescent="0.2">
      <c r="A100" s="1057"/>
      <c r="B100" s="1069"/>
      <c r="C100" s="1060"/>
      <c r="D100" s="1725" t="s">
        <v>175</v>
      </c>
      <c r="E100" s="777" t="s">
        <v>47</v>
      </c>
      <c r="F100" s="1062"/>
      <c r="G100" s="70" t="s">
        <v>25</v>
      </c>
      <c r="H100" s="108">
        <v>50</v>
      </c>
      <c r="I100" s="272">
        <v>50</v>
      </c>
      <c r="J100" s="108"/>
      <c r="K100" s="92"/>
      <c r="L100" s="272"/>
      <c r="M100" s="108"/>
      <c r="N100" s="92"/>
      <c r="O100" s="272"/>
      <c r="P100" s="66"/>
      <c r="Q100" s="1203" t="s">
        <v>46</v>
      </c>
      <c r="R100" s="598"/>
      <c r="S100" s="611">
        <v>1</v>
      </c>
      <c r="T100" s="1098"/>
      <c r="U100" s="308"/>
    </row>
    <row r="101" spans="1:21" ht="15.75" customHeight="1" x14ac:dyDescent="0.2">
      <c r="A101" s="1057"/>
      <c r="B101" s="1069"/>
      <c r="C101" s="1060"/>
      <c r="D101" s="1726"/>
      <c r="E101" s="1074"/>
      <c r="F101" s="1062"/>
      <c r="G101" s="63" t="s">
        <v>107</v>
      </c>
      <c r="H101" s="170"/>
      <c r="I101" s="45"/>
      <c r="J101" s="170"/>
      <c r="K101" s="95">
        <v>780</v>
      </c>
      <c r="L101" s="45">
        <v>780</v>
      </c>
      <c r="M101" s="170"/>
      <c r="N101" s="95"/>
      <c r="O101" s="272"/>
      <c r="P101" s="66"/>
      <c r="Q101" s="1109"/>
      <c r="R101" s="330"/>
      <c r="S101" s="384"/>
      <c r="T101" s="51"/>
      <c r="U101" s="308"/>
    </row>
    <row r="102" spans="1:21" ht="15" customHeight="1" x14ac:dyDescent="0.2">
      <c r="A102" s="1057"/>
      <c r="B102" s="1069"/>
      <c r="C102" s="1060"/>
      <c r="D102" s="1725" t="s">
        <v>313</v>
      </c>
      <c r="E102" s="777" t="s">
        <v>47</v>
      </c>
      <c r="F102" s="1120"/>
      <c r="G102" s="70" t="s">
        <v>45</v>
      </c>
      <c r="H102" s="108">
        <v>30</v>
      </c>
      <c r="I102" s="272">
        <v>30</v>
      </c>
      <c r="J102" s="108"/>
      <c r="K102" s="92">
        <v>72.5</v>
      </c>
      <c r="L102" s="272">
        <v>72.5</v>
      </c>
      <c r="M102" s="108"/>
      <c r="N102" s="92"/>
      <c r="O102" s="53"/>
      <c r="P102" s="232"/>
      <c r="Q102" s="1204" t="s">
        <v>165</v>
      </c>
      <c r="R102" s="576">
        <v>1</v>
      </c>
      <c r="S102" s="626"/>
      <c r="T102" s="1166"/>
      <c r="U102" s="628"/>
    </row>
    <row r="103" spans="1:21" ht="15" customHeight="1" x14ac:dyDescent="0.2">
      <c r="A103" s="1057"/>
      <c r="B103" s="1069"/>
      <c r="C103" s="1060"/>
      <c r="D103" s="1726"/>
      <c r="E103" s="777"/>
      <c r="F103" s="1120"/>
      <c r="G103" s="70"/>
      <c r="H103" s="108"/>
      <c r="I103" s="272"/>
      <c r="J103" s="108"/>
      <c r="K103" s="92"/>
      <c r="L103" s="272"/>
      <c r="M103" s="108"/>
      <c r="N103" s="92"/>
      <c r="O103" s="272"/>
      <c r="P103" s="66"/>
      <c r="Q103" s="1203" t="s">
        <v>46</v>
      </c>
      <c r="R103" s="598"/>
      <c r="S103" s="611">
        <v>1</v>
      </c>
      <c r="T103" s="1167"/>
      <c r="U103" s="628"/>
    </row>
    <row r="104" spans="1:21" ht="11.25" customHeight="1" x14ac:dyDescent="0.2">
      <c r="A104" s="1057"/>
      <c r="B104" s="1069"/>
      <c r="C104" s="1060"/>
      <c r="D104" s="1811"/>
      <c r="E104" s="777"/>
      <c r="F104" s="1120"/>
      <c r="G104" s="63"/>
      <c r="H104" s="170"/>
      <c r="I104" s="45"/>
      <c r="J104" s="170"/>
      <c r="K104" s="95"/>
      <c r="L104" s="45"/>
      <c r="M104" s="170"/>
      <c r="N104" s="95"/>
      <c r="O104" s="45"/>
      <c r="P104" s="204"/>
      <c r="Q104" s="1203"/>
      <c r="R104" s="598"/>
      <c r="S104" s="611"/>
      <c r="T104" s="600"/>
      <c r="U104" s="930"/>
    </row>
    <row r="105" spans="1:21" ht="15.75" customHeight="1" thickBot="1" x14ac:dyDescent="0.25">
      <c r="A105" s="75"/>
      <c r="B105" s="1103"/>
      <c r="C105" s="104"/>
      <c r="D105" s="914"/>
      <c r="E105" s="915"/>
      <c r="F105" s="916"/>
      <c r="G105" s="156" t="s">
        <v>6</v>
      </c>
      <c r="H105" s="216">
        <f>SUM(H100:H104)</f>
        <v>80</v>
      </c>
      <c r="I105" s="1173">
        <f>SUM(I100:I104)</f>
        <v>80</v>
      </c>
      <c r="J105" s="446"/>
      <c r="K105" s="216">
        <f t="shared" ref="K105:O105" si="6">SUM(K100:K104)</f>
        <v>852.5</v>
      </c>
      <c r="L105" s="1173">
        <f t="shared" ref="L105" si="7">SUM(L100:L104)</f>
        <v>852.5</v>
      </c>
      <c r="M105" s="216"/>
      <c r="N105" s="246">
        <f t="shared" ref="N105" si="8">SUM(N100:N104)</f>
        <v>0</v>
      </c>
      <c r="O105" s="1173">
        <f t="shared" si="6"/>
        <v>0</v>
      </c>
      <c r="P105" s="446"/>
      <c r="Q105" s="1190"/>
      <c r="R105" s="918"/>
      <c r="S105" s="919"/>
      <c r="T105" s="1130"/>
      <c r="U105" s="920"/>
    </row>
    <row r="106" spans="1:21" ht="16.5" customHeight="1" x14ac:dyDescent="0.2">
      <c r="A106" s="1057" t="s">
        <v>5</v>
      </c>
      <c r="B106" s="1069" t="s">
        <v>5</v>
      </c>
      <c r="C106" s="265" t="s">
        <v>36</v>
      </c>
      <c r="D106" s="1818" t="s">
        <v>318</v>
      </c>
      <c r="E106" s="448"/>
      <c r="F106" s="1104" t="s">
        <v>43</v>
      </c>
      <c r="G106" s="217" t="s">
        <v>25</v>
      </c>
      <c r="H106" s="108">
        <v>28</v>
      </c>
      <c r="I106" s="272">
        <v>28</v>
      </c>
      <c r="J106" s="108"/>
      <c r="K106" s="262">
        <v>28</v>
      </c>
      <c r="L106" s="214">
        <v>28</v>
      </c>
      <c r="M106" s="263"/>
      <c r="N106" s="262">
        <v>28</v>
      </c>
      <c r="O106" s="214">
        <v>28</v>
      </c>
      <c r="P106" s="445"/>
      <c r="Q106" s="1198"/>
      <c r="R106" s="331"/>
      <c r="S106" s="331"/>
      <c r="T106" s="995"/>
      <c r="U106" s="932"/>
    </row>
    <row r="107" spans="1:21" ht="19.5" customHeight="1" x14ac:dyDescent="0.2">
      <c r="A107" s="1057"/>
      <c r="B107" s="1069"/>
      <c r="C107" s="265"/>
      <c r="D107" s="1639"/>
      <c r="E107" s="1108"/>
      <c r="F107" s="1062"/>
      <c r="G107" s="67" t="s">
        <v>107</v>
      </c>
      <c r="H107" s="170">
        <v>3</v>
      </c>
      <c r="I107" s="1259">
        <v>0</v>
      </c>
      <c r="J107" s="1262">
        <f>I107-H107</f>
        <v>-3</v>
      </c>
      <c r="K107" s="95">
        <v>3</v>
      </c>
      <c r="L107" s="45">
        <v>3</v>
      </c>
      <c r="M107" s="170"/>
      <c r="N107" s="95">
        <v>3</v>
      </c>
      <c r="O107" s="272">
        <v>3</v>
      </c>
      <c r="P107" s="66"/>
      <c r="Q107" s="1191"/>
      <c r="R107" s="22"/>
      <c r="S107" s="22"/>
      <c r="T107" s="51"/>
      <c r="U107" s="23"/>
    </row>
    <row r="108" spans="1:21" ht="11.25" customHeight="1" x14ac:dyDescent="0.2">
      <c r="A108" s="1057"/>
      <c r="B108" s="1069"/>
      <c r="C108" s="102"/>
      <c r="D108" s="1739" t="s">
        <v>89</v>
      </c>
      <c r="E108" s="1108"/>
      <c r="F108" s="1062"/>
      <c r="G108" s="68"/>
      <c r="H108" s="108"/>
      <c r="I108" s="272"/>
      <c r="J108" s="108"/>
      <c r="K108" s="92"/>
      <c r="L108" s="272"/>
      <c r="M108" s="108"/>
      <c r="N108" s="92"/>
      <c r="O108" s="53"/>
      <c r="P108" s="232"/>
      <c r="Q108" s="2013" t="s">
        <v>183</v>
      </c>
      <c r="R108" s="598">
        <v>100</v>
      </c>
      <c r="S108" s="598">
        <v>100</v>
      </c>
      <c r="T108" s="611">
        <v>100</v>
      </c>
      <c r="U108" s="930"/>
    </row>
    <row r="109" spans="1:21" ht="15" customHeight="1" x14ac:dyDescent="0.2">
      <c r="A109" s="1057"/>
      <c r="B109" s="1069"/>
      <c r="C109" s="102"/>
      <c r="D109" s="1639"/>
      <c r="E109" s="1108"/>
      <c r="F109" s="1062"/>
      <c r="G109" s="68"/>
      <c r="H109" s="108"/>
      <c r="I109" s="272"/>
      <c r="J109" s="108"/>
      <c r="K109" s="92"/>
      <c r="L109" s="272"/>
      <c r="M109" s="108"/>
      <c r="N109" s="92"/>
      <c r="O109" s="272"/>
      <c r="P109" s="66"/>
      <c r="Q109" s="2013"/>
      <c r="R109" s="598"/>
      <c r="S109" s="598"/>
      <c r="T109" s="611"/>
      <c r="U109" s="930"/>
    </row>
    <row r="110" spans="1:21" s="9" customFormat="1" ht="48" customHeight="1" x14ac:dyDescent="0.2">
      <c r="A110" s="1057"/>
      <c r="B110" s="1069"/>
      <c r="C110" s="1060"/>
      <c r="D110" s="670" t="s">
        <v>81</v>
      </c>
      <c r="E110" s="300"/>
      <c r="F110" s="1078"/>
      <c r="G110" s="205"/>
      <c r="H110" s="437"/>
      <c r="I110" s="495"/>
      <c r="J110" s="437"/>
      <c r="K110" s="1180"/>
      <c r="L110" s="495"/>
      <c r="M110" s="437"/>
      <c r="N110" s="1180"/>
      <c r="O110" s="495"/>
      <c r="P110" s="494"/>
      <c r="Q110" s="2014"/>
      <c r="R110" s="578"/>
      <c r="S110" s="578"/>
      <c r="T110" s="1142"/>
      <c r="U110" s="1170"/>
    </row>
    <row r="111" spans="1:21" ht="15" customHeight="1" thickBot="1" x14ac:dyDescent="0.25">
      <c r="A111" s="1101"/>
      <c r="B111" s="327"/>
      <c r="C111" s="1105"/>
      <c r="D111" s="931"/>
      <c r="E111" s="915"/>
      <c r="F111" s="916"/>
      <c r="G111" s="98" t="s">
        <v>6</v>
      </c>
      <c r="H111" s="216">
        <f>SUM(H106:H110)</f>
        <v>31</v>
      </c>
      <c r="I111" s="1173">
        <f>SUM(I106:I110)</f>
        <v>28</v>
      </c>
      <c r="J111" s="1173">
        <f>SUM(J106:J110)</f>
        <v>-3</v>
      </c>
      <c r="K111" s="246">
        <f t="shared" ref="K111:O111" si="9">SUM(K106:K110)</f>
        <v>31</v>
      </c>
      <c r="L111" s="1173">
        <f t="shared" ref="L111" si="10">SUM(L106:L110)</f>
        <v>31</v>
      </c>
      <c r="M111" s="216"/>
      <c r="N111" s="246">
        <f t="shared" ref="N111" si="11">SUM(N106:N110)</f>
        <v>31</v>
      </c>
      <c r="O111" s="1173">
        <f t="shared" si="9"/>
        <v>31</v>
      </c>
      <c r="P111" s="446"/>
      <c r="Q111" s="1190"/>
      <c r="R111" s="918"/>
      <c r="S111" s="919"/>
      <c r="T111" s="1130"/>
      <c r="U111" s="920"/>
    </row>
    <row r="112" spans="1:21" ht="14.25" customHeight="1" thickBot="1" x14ac:dyDescent="0.25">
      <c r="A112" s="85" t="s">
        <v>5</v>
      </c>
      <c r="B112" s="329" t="s">
        <v>5</v>
      </c>
      <c r="C112" s="1785" t="s">
        <v>8</v>
      </c>
      <c r="D112" s="1728"/>
      <c r="E112" s="1728"/>
      <c r="F112" s="1728"/>
      <c r="G112" s="1660"/>
      <c r="H112" s="439">
        <f t="shared" ref="H112:N112" si="12">H111+H105+H98+H82+H71+H53+H37</f>
        <v>12502.7</v>
      </c>
      <c r="I112" s="86">
        <f t="shared" si="12"/>
        <v>11451.4</v>
      </c>
      <c r="J112" s="86">
        <f t="shared" si="12"/>
        <v>-1051.3</v>
      </c>
      <c r="K112" s="439">
        <f t="shared" si="12"/>
        <v>17433.7</v>
      </c>
      <c r="L112" s="86">
        <f t="shared" si="12"/>
        <v>20476.2</v>
      </c>
      <c r="M112" s="86">
        <f t="shared" si="12"/>
        <v>3042.5</v>
      </c>
      <c r="N112" s="439">
        <f t="shared" si="12"/>
        <v>19706.400000000001</v>
      </c>
      <c r="O112" s="86">
        <f>O111+O105+O98+O82+O71+O53+O37</f>
        <v>16676.900000000001</v>
      </c>
      <c r="P112" s="86">
        <f>P111+P105+P98+P82+P71+P53+P37</f>
        <v>-3029.5</v>
      </c>
      <c r="Q112" s="1090"/>
      <c r="R112" s="1124"/>
      <c r="S112" s="1124"/>
      <c r="T112" s="1124"/>
      <c r="U112" s="1091"/>
    </row>
    <row r="113" spans="1:24" ht="14.25" customHeight="1" thickBot="1" x14ac:dyDescent="0.25">
      <c r="A113" s="85" t="s">
        <v>5</v>
      </c>
      <c r="B113" s="329" t="s">
        <v>7</v>
      </c>
      <c r="C113" s="1806" t="s">
        <v>32</v>
      </c>
      <c r="D113" s="1806"/>
      <c r="E113" s="1806"/>
      <c r="F113" s="1806"/>
      <c r="G113" s="1806"/>
      <c r="H113" s="1807"/>
      <c r="I113" s="1807"/>
      <c r="J113" s="1807"/>
      <c r="K113" s="1807"/>
      <c r="L113" s="1807"/>
      <c r="M113" s="1807"/>
      <c r="N113" s="1807"/>
      <c r="O113" s="1807"/>
      <c r="P113" s="1807"/>
      <c r="Q113" s="1806"/>
      <c r="R113" s="1645"/>
      <c r="S113" s="1645"/>
      <c r="T113" s="1645"/>
      <c r="U113" s="1808"/>
    </row>
    <row r="114" spans="1:24" ht="12.75" customHeight="1" x14ac:dyDescent="0.2">
      <c r="A114" s="1100" t="s">
        <v>5</v>
      </c>
      <c r="B114" s="328" t="s">
        <v>7</v>
      </c>
      <c r="C114" s="1086" t="s">
        <v>5</v>
      </c>
      <c r="D114" s="266" t="s">
        <v>57</v>
      </c>
      <c r="E114" s="1810" t="s">
        <v>122</v>
      </c>
      <c r="F114" s="947">
        <v>6</v>
      </c>
      <c r="G114" s="262" t="s">
        <v>25</v>
      </c>
      <c r="H114" s="262">
        <v>3973.2</v>
      </c>
      <c r="I114" s="1258">
        <v>2416.6999999999998</v>
      </c>
      <c r="J114" s="1260">
        <f>I114-H114</f>
        <v>-1556.5</v>
      </c>
      <c r="K114" s="262">
        <v>5078.1000000000004</v>
      </c>
      <c r="L114" s="214">
        <v>5078.1000000000004</v>
      </c>
      <c r="M114" s="445"/>
      <c r="N114" s="263">
        <v>5079.6000000000004</v>
      </c>
      <c r="O114" s="214">
        <v>5079.6000000000004</v>
      </c>
      <c r="P114" s="263"/>
      <c r="Q114" s="797"/>
      <c r="R114" s="798"/>
      <c r="S114" s="798"/>
      <c r="T114" s="1143"/>
      <c r="U114" s="1969" t="s">
        <v>378</v>
      </c>
    </row>
    <row r="115" spans="1:24" ht="12.75" customHeight="1" x14ac:dyDescent="0.2">
      <c r="A115" s="1057"/>
      <c r="B115" s="1069"/>
      <c r="C115" s="1060"/>
      <c r="D115" s="449"/>
      <c r="E115" s="1686"/>
      <c r="F115" s="1062"/>
      <c r="G115" s="92" t="s">
        <v>70</v>
      </c>
      <c r="H115" s="92">
        <v>547.4</v>
      </c>
      <c r="I115" s="272">
        <f>547.4</f>
        <v>547.4</v>
      </c>
      <c r="J115" s="1261"/>
      <c r="K115" s="92">
        <v>248.7</v>
      </c>
      <c r="L115" s="272">
        <v>248.7</v>
      </c>
      <c r="M115" s="66"/>
      <c r="N115" s="108">
        <v>248.7</v>
      </c>
      <c r="O115" s="272">
        <v>248.7</v>
      </c>
      <c r="P115" s="108"/>
      <c r="Q115" s="202"/>
      <c r="R115" s="200"/>
      <c r="S115" s="200"/>
      <c r="T115" s="721"/>
      <c r="U115" s="1970"/>
    </row>
    <row r="116" spans="1:24" ht="12.75" customHeight="1" x14ac:dyDescent="0.2">
      <c r="A116" s="1057"/>
      <c r="B116" s="1069"/>
      <c r="C116" s="1060"/>
      <c r="D116" s="449"/>
      <c r="E116" s="1686"/>
      <c r="F116" s="1062"/>
      <c r="G116" s="92" t="s">
        <v>77</v>
      </c>
      <c r="H116" s="92">
        <v>216.1</v>
      </c>
      <c r="I116" s="272">
        <v>216.1</v>
      </c>
      <c r="J116" s="1261"/>
      <c r="K116" s="92">
        <f t="shared" ref="K116:O116" si="13">K124+K135</f>
        <v>0</v>
      </c>
      <c r="L116" s="272">
        <f t="shared" ref="L116" si="14">L124+L135</f>
        <v>0</v>
      </c>
      <c r="M116" s="66"/>
      <c r="N116" s="108">
        <f t="shared" ref="N116" si="15">N124+N135</f>
        <v>0</v>
      </c>
      <c r="O116" s="272">
        <f t="shared" si="13"/>
        <v>0</v>
      </c>
      <c r="P116" s="108"/>
      <c r="Q116" s="202"/>
      <c r="R116" s="200"/>
      <c r="S116" s="200"/>
      <c r="T116" s="721"/>
      <c r="U116" s="1970"/>
    </row>
    <row r="117" spans="1:24" ht="12.75" customHeight="1" x14ac:dyDescent="0.2">
      <c r="A117" s="1057"/>
      <c r="B117" s="1069"/>
      <c r="C117" s="1060"/>
      <c r="D117" s="450"/>
      <c r="E117" s="800"/>
      <c r="F117" s="1120"/>
      <c r="G117" s="95" t="s">
        <v>62</v>
      </c>
      <c r="H117" s="95">
        <v>1150</v>
      </c>
      <c r="I117" s="1259">
        <f>1150+1556.5</f>
        <v>2706.5</v>
      </c>
      <c r="J117" s="1262">
        <f>I117-H117</f>
        <v>1556.5</v>
      </c>
      <c r="K117" s="241"/>
      <c r="L117" s="240"/>
      <c r="M117" s="242"/>
      <c r="N117" s="722"/>
      <c r="O117" s="240"/>
      <c r="P117" s="722"/>
      <c r="Q117" s="241"/>
      <c r="R117" s="240"/>
      <c r="S117" s="240"/>
      <c r="T117" s="722"/>
      <c r="U117" s="1970"/>
    </row>
    <row r="118" spans="1:24" ht="14.25" customHeight="1" x14ac:dyDescent="0.2">
      <c r="A118" s="1057"/>
      <c r="B118" s="1069"/>
      <c r="C118" s="1060"/>
      <c r="D118" s="1079" t="s">
        <v>52</v>
      </c>
      <c r="E118" s="1076"/>
      <c r="F118" s="1059"/>
      <c r="G118" s="91"/>
      <c r="H118" s="796"/>
      <c r="I118" s="1214"/>
      <c r="J118" s="54"/>
      <c r="K118" s="796"/>
      <c r="L118" s="1214"/>
      <c r="M118" s="1208"/>
      <c r="N118" s="54"/>
      <c r="O118" s="1214"/>
      <c r="P118" s="54"/>
      <c r="Q118" s="953"/>
      <c r="R118" s="954"/>
      <c r="S118" s="954"/>
      <c r="T118" s="1144"/>
      <c r="U118" s="393"/>
    </row>
    <row r="119" spans="1:24" ht="15.75" customHeight="1" x14ac:dyDescent="0.2">
      <c r="A119" s="1057"/>
      <c r="B119" s="1069"/>
      <c r="C119" s="1060"/>
      <c r="D119" s="1809" t="s">
        <v>82</v>
      </c>
      <c r="E119" s="1076"/>
      <c r="F119" s="1060"/>
      <c r="G119" s="92"/>
      <c r="H119" s="92"/>
      <c r="I119" s="272"/>
      <c r="J119" s="108"/>
      <c r="K119" s="92"/>
      <c r="L119" s="272"/>
      <c r="M119" s="66"/>
      <c r="N119" s="108"/>
      <c r="O119" s="272"/>
      <c r="P119" s="138"/>
      <c r="Q119" s="1080" t="s">
        <v>41</v>
      </c>
      <c r="R119" s="272">
        <v>5.9</v>
      </c>
      <c r="S119" s="272">
        <v>5.9</v>
      </c>
      <c r="T119" s="108">
        <v>5.9</v>
      </c>
      <c r="U119" s="43"/>
    </row>
    <row r="120" spans="1:24" ht="10.5" customHeight="1" x14ac:dyDescent="0.2">
      <c r="A120" s="1057"/>
      <c r="B120" s="1069"/>
      <c r="C120" s="1060"/>
      <c r="D120" s="1809"/>
      <c r="E120" s="1071"/>
      <c r="F120" s="1060"/>
      <c r="G120" s="92"/>
      <c r="H120" s="92"/>
      <c r="I120" s="272"/>
      <c r="J120" s="108"/>
      <c r="K120" s="92"/>
      <c r="L120" s="272"/>
      <c r="M120" s="66"/>
      <c r="N120" s="108"/>
      <c r="O120" s="272"/>
      <c r="P120" s="138"/>
      <c r="Q120" s="1094"/>
      <c r="R120" s="256"/>
      <c r="S120" s="1123"/>
      <c r="T120" s="397"/>
      <c r="U120" s="308"/>
    </row>
    <row r="121" spans="1:24" ht="14.25" customHeight="1" x14ac:dyDescent="0.2">
      <c r="A121" s="1057"/>
      <c r="B121" s="1069"/>
      <c r="C121" s="1060"/>
      <c r="D121" s="268" t="s">
        <v>83</v>
      </c>
      <c r="E121" s="1071"/>
      <c r="F121" s="1060"/>
      <c r="G121" s="92"/>
      <c r="H121" s="92"/>
      <c r="I121" s="272"/>
      <c r="J121" s="108"/>
      <c r="K121" s="92"/>
      <c r="L121" s="272"/>
      <c r="M121" s="66"/>
      <c r="N121" s="108"/>
      <c r="O121" s="272"/>
      <c r="P121" s="108"/>
      <c r="Q121" s="94" t="s">
        <v>190</v>
      </c>
      <c r="R121" s="226">
        <v>3.7</v>
      </c>
      <c r="S121" s="36">
        <f>+R121</f>
        <v>3.7</v>
      </c>
      <c r="T121" s="1145">
        <f>+R121</f>
        <v>3.7</v>
      </c>
      <c r="U121" s="37"/>
    </row>
    <row r="122" spans="1:24" ht="26.25" customHeight="1" x14ac:dyDescent="0.2">
      <c r="A122" s="1057"/>
      <c r="B122" s="1069"/>
      <c r="C122" s="1060"/>
      <c r="D122" s="366" t="s">
        <v>84</v>
      </c>
      <c r="E122" s="1075"/>
      <c r="F122" s="1060"/>
      <c r="G122" s="91"/>
      <c r="H122" s="92"/>
      <c r="I122" s="272"/>
      <c r="J122" s="108"/>
      <c r="K122" s="92"/>
      <c r="L122" s="272"/>
      <c r="M122" s="66"/>
      <c r="N122" s="108"/>
      <c r="O122" s="272"/>
      <c r="P122" s="108"/>
      <c r="Q122" s="1094" t="s">
        <v>191</v>
      </c>
      <c r="R122" s="453">
        <v>26.7</v>
      </c>
      <c r="S122" s="226">
        <f>+R122</f>
        <v>26.7</v>
      </c>
      <c r="T122" s="561">
        <f>+R122</f>
        <v>26.7</v>
      </c>
      <c r="U122" s="43"/>
    </row>
    <row r="123" spans="1:24" ht="24.75" customHeight="1" x14ac:dyDescent="0.2">
      <c r="A123" s="1057"/>
      <c r="B123" s="1069"/>
      <c r="C123" s="1060"/>
      <c r="D123" s="1638" t="s">
        <v>176</v>
      </c>
      <c r="E123" s="1071"/>
      <c r="F123" s="1060"/>
      <c r="G123" s="1311"/>
      <c r="H123" s="91"/>
      <c r="I123" s="1312"/>
      <c r="J123" s="1313"/>
      <c r="K123" s="92"/>
      <c r="L123" s="272"/>
      <c r="M123" s="66"/>
      <c r="N123" s="108"/>
      <c r="O123" s="272"/>
      <c r="P123" s="108"/>
      <c r="Q123" s="1640" t="s">
        <v>413</v>
      </c>
      <c r="R123" s="1298" t="s">
        <v>381</v>
      </c>
      <c r="S123" s="714">
        <v>3</v>
      </c>
      <c r="T123" s="714">
        <v>3</v>
      </c>
      <c r="U123" s="2015" t="s">
        <v>414</v>
      </c>
    </row>
    <row r="124" spans="1:24" ht="95.25" customHeight="1" x14ac:dyDescent="0.2">
      <c r="A124" s="1057"/>
      <c r="B124" s="1069"/>
      <c r="C124" s="1060"/>
      <c r="D124" s="1639"/>
      <c r="E124" s="1076"/>
      <c r="F124" s="1060"/>
      <c r="G124" s="92"/>
      <c r="H124" s="92"/>
      <c r="I124" s="272"/>
      <c r="J124" s="108"/>
      <c r="K124" s="92"/>
      <c r="L124" s="272"/>
      <c r="M124" s="66"/>
      <c r="N124" s="108"/>
      <c r="O124" s="272"/>
      <c r="P124" s="108"/>
      <c r="Q124" s="2001"/>
      <c r="R124" s="391"/>
      <c r="S124" s="51"/>
      <c r="T124" s="51"/>
      <c r="U124" s="1925"/>
      <c r="X124" s="54"/>
    </row>
    <row r="125" spans="1:24" ht="14.25" customHeight="1" x14ac:dyDescent="0.2">
      <c r="A125" s="1057"/>
      <c r="B125" s="1069"/>
      <c r="C125" s="1060"/>
      <c r="D125" s="346" t="s">
        <v>212</v>
      </c>
      <c r="E125" s="1076"/>
      <c r="F125" s="1060"/>
      <c r="G125" s="91"/>
      <c r="H125" s="796"/>
      <c r="I125" s="1214"/>
      <c r="J125" s="54"/>
      <c r="K125" s="202"/>
      <c r="L125" s="200"/>
      <c r="M125" s="255"/>
      <c r="N125" s="721"/>
      <c r="O125" s="200"/>
      <c r="P125" s="721"/>
      <c r="Q125" s="1080"/>
      <c r="R125" s="40"/>
      <c r="S125" s="233"/>
      <c r="T125" s="683"/>
      <c r="U125" s="844"/>
    </row>
    <row r="126" spans="1:24" ht="52.5" customHeight="1" x14ac:dyDescent="0.2">
      <c r="A126" s="1057"/>
      <c r="B126" s="1069"/>
      <c r="C126" s="1060"/>
      <c r="D126" s="347" t="s">
        <v>213</v>
      </c>
      <c r="E126" s="1076"/>
      <c r="F126" s="1060"/>
      <c r="G126" s="92"/>
      <c r="H126" s="92"/>
      <c r="I126" s="272"/>
      <c r="J126" s="108"/>
      <c r="K126" s="92"/>
      <c r="L126" s="272"/>
      <c r="M126" s="66"/>
      <c r="N126" s="108"/>
      <c r="O126" s="272"/>
      <c r="P126" s="108"/>
      <c r="Q126" s="47" t="s">
        <v>207</v>
      </c>
      <c r="R126" s="395">
        <v>21</v>
      </c>
      <c r="S126" s="395">
        <v>21</v>
      </c>
      <c r="T126" s="447">
        <v>21</v>
      </c>
      <c r="U126" s="308"/>
    </row>
    <row r="127" spans="1:24" ht="22.5" customHeight="1" x14ac:dyDescent="0.2">
      <c r="A127" s="1057"/>
      <c r="B127" s="1069"/>
      <c r="C127" s="1060"/>
      <c r="D127" s="1790" t="s">
        <v>214</v>
      </c>
      <c r="E127" s="1076"/>
      <c r="F127" s="1060"/>
      <c r="G127" s="92"/>
      <c r="H127" s="92"/>
      <c r="I127" s="272"/>
      <c r="J127" s="108"/>
      <c r="K127" s="92"/>
      <c r="L127" s="272"/>
      <c r="M127" s="66"/>
      <c r="N127" s="108"/>
      <c r="O127" s="272"/>
      <c r="P127" s="108"/>
      <c r="Q127" s="1792" t="s">
        <v>319</v>
      </c>
      <c r="R127" s="394">
        <v>12</v>
      </c>
      <c r="S127" s="394">
        <v>12</v>
      </c>
      <c r="T127" s="182">
        <v>12</v>
      </c>
      <c r="U127" s="308"/>
    </row>
    <row r="128" spans="1:24" ht="21" customHeight="1" x14ac:dyDescent="0.2">
      <c r="A128" s="1057"/>
      <c r="B128" s="1069"/>
      <c r="C128" s="1060"/>
      <c r="D128" s="1791"/>
      <c r="E128" s="1076"/>
      <c r="F128" s="1060"/>
      <c r="G128" s="92"/>
      <c r="H128" s="92"/>
      <c r="I128" s="272"/>
      <c r="J128" s="108"/>
      <c r="K128" s="92"/>
      <c r="L128" s="272"/>
      <c r="M128" s="66"/>
      <c r="N128" s="108"/>
      <c r="O128" s="272"/>
      <c r="P128" s="108"/>
      <c r="Q128" s="1793"/>
      <c r="R128" s="391"/>
      <c r="S128" s="392"/>
      <c r="T128" s="51"/>
      <c r="U128" s="23"/>
    </row>
    <row r="129" spans="1:21" ht="18" customHeight="1" x14ac:dyDescent="0.2">
      <c r="A129" s="1736"/>
      <c r="B129" s="1731"/>
      <c r="C129" s="1732"/>
      <c r="D129" s="1754" t="s">
        <v>42</v>
      </c>
      <c r="E129" s="1795"/>
      <c r="F129" s="1789"/>
      <c r="G129" s="92"/>
      <c r="H129" s="92"/>
      <c r="I129" s="272"/>
      <c r="J129" s="108"/>
      <c r="K129" s="92"/>
      <c r="L129" s="272"/>
      <c r="M129" s="66"/>
      <c r="N129" s="108"/>
      <c r="O129" s="272"/>
      <c r="P129" s="108"/>
      <c r="Q129" s="1762" t="s">
        <v>54</v>
      </c>
      <c r="R129" s="1764">
        <v>7</v>
      </c>
      <c r="S129" s="1764">
        <v>7</v>
      </c>
      <c r="T129" s="1992">
        <v>7</v>
      </c>
      <c r="U129" s="1786"/>
    </row>
    <row r="130" spans="1:21" ht="12.75" customHeight="1" x14ac:dyDescent="0.2">
      <c r="A130" s="1736"/>
      <c r="B130" s="1731"/>
      <c r="C130" s="1732"/>
      <c r="D130" s="1794"/>
      <c r="E130" s="1795"/>
      <c r="F130" s="1789"/>
      <c r="G130" s="92"/>
      <c r="H130" s="92"/>
      <c r="I130" s="272"/>
      <c r="J130" s="108"/>
      <c r="K130" s="92"/>
      <c r="L130" s="272"/>
      <c r="M130" s="66"/>
      <c r="N130" s="108"/>
      <c r="O130" s="272"/>
      <c r="P130" s="108"/>
      <c r="Q130" s="1763"/>
      <c r="R130" s="1765"/>
      <c r="S130" s="1765"/>
      <c r="T130" s="1993"/>
      <c r="U130" s="2017"/>
    </row>
    <row r="131" spans="1:21" ht="18" customHeight="1" x14ac:dyDescent="0.2">
      <c r="A131" s="1736"/>
      <c r="B131" s="1788"/>
      <c r="C131" s="1732"/>
      <c r="D131" s="1748" t="s">
        <v>179</v>
      </c>
      <c r="E131" s="1796"/>
      <c r="F131" s="1789"/>
      <c r="G131" s="92"/>
      <c r="H131" s="92"/>
      <c r="I131" s="272"/>
      <c r="J131" s="108"/>
      <c r="K131" s="92"/>
      <c r="L131" s="272"/>
      <c r="M131" s="66"/>
      <c r="N131" s="108"/>
      <c r="O131" s="272"/>
      <c r="P131" s="108"/>
      <c r="Q131" s="284" t="s">
        <v>270</v>
      </c>
      <c r="R131" s="29"/>
      <c r="S131" s="398"/>
      <c r="T131" s="1209"/>
      <c r="U131" s="1299"/>
    </row>
    <row r="132" spans="1:21" ht="16.5" customHeight="1" x14ac:dyDescent="0.2">
      <c r="A132" s="1736"/>
      <c r="B132" s="1788"/>
      <c r="C132" s="1732"/>
      <c r="D132" s="1758"/>
      <c r="E132" s="1796"/>
      <c r="F132" s="1789"/>
      <c r="G132" s="92"/>
      <c r="H132" s="92"/>
      <c r="I132" s="272"/>
      <c r="J132" s="108"/>
      <c r="K132" s="92"/>
      <c r="L132" s="272"/>
      <c r="M132" s="66"/>
      <c r="N132" s="108"/>
      <c r="O132" s="272"/>
      <c r="P132" s="108"/>
      <c r="Q132" s="94" t="s">
        <v>311</v>
      </c>
      <c r="R132" s="34">
        <v>1</v>
      </c>
      <c r="S132" s="549">
        <v>1</v>
      </c>
      <c r="T132" s="574">
        <v>1</v>
      </c>
      <c r="U132" s="1299"/>
    </row>
    <row r="133" spans="1:21" ht="25.5" customHeight="1" x14ac:dyDescent="0.2">
      <c r="A133" s="1736"/>
      <c r="B133" s="1788"/>
      <c r="C133" s="1732"/>
      <c r="D133" s="1758"/>
      <c r="E133" s="1796"/>
      <c r="F133" s="1789"/>
      <c r="G133" s="92"/>
      <c r="H133" s="92"/>
      <c r="I133" s="272"/>
      <c r="J133" s="108"/>
      <c r="K133" s="92"/>
      <c r="L133" s="272"/>
      <c r="M133" s="66"/>
      <c r="N133" s="108"/>
      <c r="O133" s="272"/>
      <c r="P133" s="108"/>
      <c r="Q133" s="94" t="s">
        <v>205</v>
      </c>
      <c r="R133" s="34">
        <v>1</v>
      </c>
      <c r="S133" s="549">
        <v>1</v>
      </c>
      <c r="T133" s="574">
        <v>1</v>
      </c>
      <c r="U133" s="1300"/>
    </row>
    <row r="134" spans="1:21" ht="17.25" customHeight="1" x14ac:dyDescent="0.2">
      <c r="A134" s="1736"/>
      <c r="B134" s="1788"/>
      <c r="C134" s="1732"/>
      <c r="D134" s="1754" t="s">
        <v>174</v>
      </c>
      <c r="E134" s="1797"/>
      <c r="F134" s="1789"/>
      <c r="G134" s="92"/>
      <c r="H134" s="92"/>
      <c r="I134" s="272"/>
      <c r="J134" s="108"/>
      <c r="K134" s="92"/>
      <c r="L134" s="272"/>
      <c r="M134" s="66"/>
      <c r="N134" s="108"/>
      <c r="O134" s="272"/>
      <c r="P134" s="108"/>
      <c r="Q134" s="2002" t="s">
        <v>269</v>
      </c>
      <c r="R134" s="700">
        <v>125</v>
      </c>
      <c r="S134" s="701">
        <v>40</v>
      </c>
      <c r="T134" s="1210">
        <v>40</v>
      </c>
      <c r="U134" s="959"/>
    </row>
    <row r="135" spans="1:21" ht="21.75" customHeight="1" x14ac:dyDescent="0.2">
      <c r="A135" s="1736"/>
      <c r="B135" s="1788"/>
      <c r="C135" s="1732"/>
      <c r="D135" s="1794"/>
      <c r="E135" s="1797"/>
      <c r="F135" s="1789"/>
      <c r="G135" s="92"/>
      <c r="H135" s="92"/>
      <c r="I135" s="272"/>
      <c r="J135" s="108"/>
      <c r="K135" s="92"/>
      <c r="L135" s="272"/>
      <c r="M135" s="66"/>
      <c r="N135" s="108"/>
      <c r="O135" s="272"/>
      <c r="P135" s="108"/>
      <c r="Q135" s="2001"/>
      <c r="R135" s="702"/>
      <c r="S135" s="703"/>
      <c r="T135" s="1211"/>
      <c r="U135" s="1302"/>
    </row>
    <row r="136" spans="1:21" ht="19.5" customHeight="1" x14ac:dyDescent="0.2">
      <c r="A136" s="1066"/>
      <c r="B136" s="1069"/>
      <c r="C136" s="265"/>
      <c r="D136" s="1758" t="s">
        <v>292</v>
      </c>
      <c r="E136" s="1089"/>
      <c r="F136" s="1120"/>
      <c r="G136" s="92"/>
      <c r="H136" s="92"/>
      <c r="I136" s="272"/>
      <c r="J136" s="108"/>
      <c r="K136" s="92"/>
      <c r="L136" s="272"/>
      <c r="M136" s="66"/>
      <c r="N136" s="108"/>
      <c r="O136" s="272"/>
      <c r="P136" s="108"/>
      <c r="Q136" s="1883" t="s">
        <v>293</v>
      </c>
      <c r="R136" s="307">
        <v>1</v>
      </c>
      <c r="S136" s="307"/>
      <c r="T136" s="573"/>
      <c r="U136" s="1299"/>
    </row>
    <row r="137" spans="1:21" ht="12.75" customHeight="1" x14ac:dyDescent="0.2">
      <c r="A137" s="1066"/>
      <c r="B137" s="1069"/>
      <c r="C137" s="265"/>
      <c r="D137" s="1758"/>
      <c r="E137" s="1089"/>
      <c r="F137" s="1062"/>
      <c r="G137" s="92"/>
      <c r="H137" s="92"/>
      <c r="I137" s="272"/>
      <c r="J137" s="108"/>
      <c r="K137" s="92"/>
      <c r="L137" s="272"/>
      <c r="M137" s="66"/>
      <c r="N137" s="108"/>
      <c r="O137" s="272"/>
      <c r="P137" s="108"/>
      <c r="Q137" s="2001"/>
      <c r="R137" s="330"/>
      <c r="S137" s="408"/>
      <c r="T137" s="384"/>
      <c r="U137" s="1299"/>
    </row>
    <row r="138" spans="1:21" ht="27" customHeight="1" x14ac:dyDescent="0.2">
      <c r="A138" s="1066"/>
      <c r="B138" s="1069"/>
      <c r="C138" s="265"/>
      <c r="D138" s="1748" t="s">
        <v>161</v>
      </c>
      <c r="E138" s="229"/>
      <c r="F138" s="1062"/>
      <c r="G138" s="92"/>
      <c r="H138" s="92"/>
      <c r="I138" s="272"/>
      <c r="J138" s="108"/>
      <c r="K138" s="92"/>
      <c r="L138" s="272"/>
      <c r="M138" s="66"/>
      <c r="N138" s="108"/>
      <c r="O138" s="272"/>
      <c r="P138" s="66"/>
      <c r="Q138" s="685" t="s">
        <v>162</v>
      </c>
      <c r="R138" s="434"/>
      <c r="S138" s="434">
        <v>6</v>
      </c>
      <c r="T138" s="1146"/>
      <c r="U138" s="1299"/>
    </row>
    <row r="139" spans="1:21" ht="15.75" customHeight="1" x14ac:dyDescent="0.2">
      <c r="A139" s="1066"/>
      <c r="B139" s="1069"/>
      <c r="C139" s="265"/>
      <c r="D139" s="1758"/>
      <c r="E139" s="1089"/>
      <c r="F139" s="1062"/>
      <c r="G139" s="95"/>
      <c r="H139" s="95"/>
      <c r="I139" s="45"/>
      <c r="J139" s="170"/>
      <c r="K139" s="95"/>
      <c r="L139" s="45"/>
      <c r="M139" s="204"/>
      <c r="N139" s="170"/>
      <c r="O139" s="45"/>
      <c r="P139" s="204"/>
      <c r="Q139" s="203" t="s">
        <v>295</v>
      </c>
      <c r="R139" s="307">
        <v>6</v>
      </c>
      <c r="S139" s="684"/>
      <c r="T139" s="573">
        <v>6</v>
      </c>
      <c r="U139" s="1299"/>
    </row>
    <row r="140" spans="1:21" ht="18" customHeight="1" thickBot="1" x14ac:dyDescent="0.25">
      <c r="A140" s="1101"/>
      <c r="B140" s="327"/>
      <c r="C140" s="1087"/>
      <c r="D140" s="944"/>
      <c r="E140" s="915"/>
      <c r="F140" s="916"/>
      <c r="G140" s="246" t="s">
        <v>6</v>
      </c>
      <c r="H140" s="246">
        <f>SUM(H114:H139)</f>
        <v>5886.7</v>
      </c>
      <c r="I140" s="1173">
        <f>SUM(I114:I139)+I123</f>
        <v>5886.7</v>
      </c>
      <c r="J140" s="1173">
        <f>SUM(J114:J139)</f>
        <v>0</v>
      </c>
      <c r="K140" s="246">
        <f>SUM(K114:K139)</f>
        <v>5326.8</v>
      </c>
      <c r="L140" s="1173">
        <f>SUM(L114:L139)</f>
        <v>5326.8</v>
      </c>
      <c r="M140" s="446"/>
      <c r="N140" s="216">
        <f>SUM(N114:N139)</f>
        <v>5328.3</v>
      </c>
      <c r="O140" s="1173">
        <f>SUM(O114:O139)</f>
        <v>5328.3</v>
      </c>
      <c r="P140" s="216"/>
      <c r="Q140" s="917"/>
      <c r="R140" s="918"/>
      <c r="S140" s="919"/>
      <c r="T140" s="1130"/>
      <c r="U140" s="920"/>
    </row>
    <row r="141" spans="1:21" ht="54" customHeight="1" x14ac:dyDescent="0.2">
      <c r="A141" s="1083" t="s">
        <v>5</v>
      </c>
      <c r="B141" s="1084" t="s">
        <v>7</v>
      </c>
      <c r="C141" s="1059" t="s">
        <v>7</v>
      </c>
      <c r="D141" s="1088" t="s">
        <v>325</v>
      </c>
      <c r="E141" s="1071" t="s">
        <v>47</v>
      </c>
      <c r="F141" s="1062" t="s">
        <v>43</v>
      </c>
      <c r="G141" s="426" t="s">
        <v>70</v>
      </c>
      <c r="H141" s="263">
        <v>150</v>
      </c>
      <c r="I141" s="214">
        <v>150</v>
      </c>
      <c r="J141" s="263"/>
      <c r="K141" s="262">
        <f>391.7+15</f>
        <v>406.7</v>
      </c>
      <c r="L141" s="214">
        <f>391.7+15</f>
        <v>406.7</v>
      </c>
      <c r="M141" s="445"/>
      <c r="N141" s="442">
        <v>558.6</v>
      </c>
      <c r="O141" s="1216">
        <v>558.6</v>
      </c>
      <c r="P141" s="442"/>
      <c r="Q141" s="697" t="s">
        <v>324</v>
      </c>
      <c r="R141" s="238">
        <v>4</v>
      </c>
      <c r="S141" s="637">
        <v>6</v>
      </c>
      <c r="T141" s="1212"/>
      <c r="U141" s="932"/>
    </row>
    <row r="142" spans="1:21" ht="26.25" customHeight="1" x14ac:dyDescent="0.2">
      <c r="A142" s="409"/>
      <c r="B142" s="1084"/>
      <c r="C142" s="1106"/>
      <c r="D142" s="1081"/>
      <c r="E142" s="1071"/>
      <c r="F142" s="1062"/>
      <c r="G142" s="282"/>
      <c r="H142" s="285"/>
      <c r="I142" s="707"/>
      <c r="J142" s="285"/>
      <c r="K142" s="979"/>
      <c r="L142" s="707"/>
      <c r="M142" s="342"/>
      <c r="N142" s="285"/>
      <c r="O142" s="707"/>
      <c r="P142" s="285"/>
      <c r="Q142" s="260" t="s">
        <v>326</v>
      </c>
      <c r="R142" s="227"/>
      <c r="S142" s="945" t="s">
        <v>56</v>
      </c>
      <c r="T142" s="719" t="s">
        <v>281</v>
      </c>
      <c r="U142" s="440"/>
    </row>
    <row r="143" spans="1:21" ht="36.75" customHeight="1" x14ac:dyDescent="0.2">
      <c r="A143" s="409"/>
      <c r="B143" s="1084"/>
      <c r="C143" s="1106"/>
      <c r="D143" s="1065"/>
      <c r="E143" s="1071"/>
      <c r="F143" s="1062"/>
      <c r="G143" s="80" t="s">
        <v>25</v>
      </c>
      <c r="H143" s="178">
        <v>40</v>
      </c>
      <c r="I143" s="181">
        <v>40</v>
      </c>
      <c r="J143" s="178"/>
      <c r="K143" s="144"/>
      <c r="L143" s="181"/>
      <c r="M143" s="210"/>
      <c r="N143" s="178"/>
      <c r="O143" s="181"/>
      <c r="P143" s="210"/>
      <c r="Q143" s="1077" t="s">
        <v>345</v>
      </c>
      <c r="R143" s="40">
        <v>1</v>
      </c>
      <c r="S143" s="705"/>
      <c r="T143" s="233"/>
      <c r="U143" s="440"/>
    </row>
    <row r="144" spans="1:21" ht="18" customHeight="1" thickBot="1" x14ac:dyDescent="0.25">
      <c r="A144" s="1101"/>
      <c r="B144" s="327"/>
      <c r="C144" s="1087"/>
      <c r="D144" s="944"/>
      <c r="E144" s="915"/>
      <c r="F144" s="916"/>
      <c r="G144" s="246" t="s">
        <v>6</v>
      </c>
      <c r="H144" s="246">
        <f>SUM(H141:H143)</f>
        <v>190</v>
      </c>
      <c r="I144" s="1173">
        <f>SUM(I141:I143)</f>
        <v>190</v>
      </c>
      <c r="J144" s="1173">
        <f>SUM(J141:J143)</f>
        <v>0</v>
      </c>
      <c r="K144" s="246">
        <f>SUM(K141:K143)</f>
        <v>406.7</v>
      </c>
      <c r="L144" s="1173">
        <f>SUM(L141:L143)</f>
        <v>406.7</v>
      </c>
      <c r="M144" s="446"/>
      <c r="N144" s="216">
        <f>SUM(N141:N143)</f>
        <v>558.6</v>
      </c>
      <c r="O144" s="1173">
        <f>SUM(O141:O143)</f>
        <v>558.6</v>
      </c>
      <c r="P144" s="216"/>
      <c r="Q144" s="917"/>
      <c r="R144" s="918"/>
      <c r="S144" s="919"/>
      <c r="T144" s="1130"/>
      <c r="U144" s="920"/>
    </row>
    <row r="145" spans="1:21" ht="15" customHeight="1" x14ac:dyDescent="0.2">
      <c r="A145" s="1798" t="s">
        <v>5</v>
      </c>
      <c r="B145" s="1800" t="s">
        <v>7</v>
      </c>
      <c r="C145" s="1770" t="s">
        <v>28</v>
      </c>
      <c r="D145" s="1668" t="s">
        <v>160</v>
      </c>
      <c r="E145" s="1774" t="s">
        <v>47</v>
      </c>
      <c r="F145" s="1770" t="s">
        <v>43</v>
      </c>
      <c r="G145" s="217" t="s">
        <v>25</v>
      </c>
      <c r="H145" s="108">
        <v>113</v>
      </c>
      <c r="I145" s="272">
        <v>113</v>
      </c>
      <c r="J145" s="108"/>
      <c r="K145" s="262">
        <v>639.6</v>
      </c>
      <c r="L145" s="214">
        <v>639.6</v>
      </c>
      <c r="M145" s="66"/>
      <c r="N145" s="108"/>
      <c r="O145" s="272"/>
      <c r="P145" s="138"/>
      <c r="Q145" s="1125" t="s">
        <v>327</v>
      </c>
      <c r="R145" s="331"/>
      <c r="S145" s="324">
        <v>17</v>
      </c>
      <c r="T145" s="1131"/>
      <c r="U145" s="1169"/>
    </row>
    <row r="146" spans="1:21" ht="14.25" customHeight="1" x14ac:dyDescent="0.2">
      <c r="A146" s="1633"/>
      <c r="B146" s="1801"/>
      <c r="C146" s="1635"/>
      <c r="D146" s="1669"/>
      <c r="E146" s="1775"/>
      <c r="F146" s="1635"/>
      <c r="G146" s="67" t="s">
        <v>397</v>
      </c>
      <c r="H146" s="170">
        <v>640</v>
      </c>
      <c r="I146" s="45">
        <v>640</v>
      </c>
      <c r="J146" s="170"/>
      <c r="K146" s="95">
        <v>3624.5</v>
      </c>
      <c r="L146" s="45">
        <v>3624.5</v>
      </c>
      <c r="M146" s="204"/>
      <c r="N146" s="170"/>
      <c r="O146" s="45"/>
      <c r="P146" s="204"/>
      <c r="Q146" s="1092"/>
      <c r="R146" s="330"/>
      <c r="S146" s="330"/>
      <c r="T146" s="384"/>
      <c r="U146" s="308"/>
    </row>
    <row r="147" spans="1:21" ht="15" customHeight="1" thickBot="1" x14ac:dyDescent="0.25">
      <c r="A147" s="1799"/>
      <c r="B147" s="1802"/>
      <c r="C147" s="1771"/>
      <c r="D147" s="1803"/>
      <c r="E147" s="1776"/>
      <c r="F147" s="1771"/>
      <c r="G147" s="98" t="s">
        <v>6</v>
      </c>
      <c r="H147" s="334">
        <f>SUM(H145:H146)</f>
        <v>753</v>
      </c>
      <c r="I147" s="215">
        <f>SUM(I145:I146)</f>
        <v>753</v>
      </c>
      <c r="J147" s="215">
        <f>SUM(J145:J146)</f>
        <v>0</v>
      </c>
      <c r="K147" s="213">
        <f t="shared" ref="K147:O147" si="16">SUM(K145:K146)</f>
        <v>4264.1000000000004</v>
      </c>
      <c r="L147" s="215">
        <f t="shared" ref="L147" si="17">SUM(L145:L146)</f>
        <v>4264.1000000000004</v>
      </c>
      <c r="M147" s="259"/>
      <c r="N147" s="334">
        <f t="shared" ref="N147" si="18">SUM(N145:N146)</f>
        <v>0</v>
      </c>
      <c r="O147" s="1173">
        <f t="shared" si="16"/>
        <v>0</v>
      </c>
      <c r="P147" s="1126"/>
      <c r="Q147" s="280"/>
      <c r="R147" s="221"/>
      <c r="S147" s="221"/>
      <c r="T147" s="1147"/>
      <c r="U147" s="811"/>
    </row>
    <row r="148" spans="1:21" ht="14.25" customHeight="1" thickBot="1" x14ac:dyDescent="0.25">
      <c r="A148" s="99" t="s">
        <v>5</v>
      </c>
      <c r="B148" s="329" t="s">
        <v>7</v>
      </c>
      <c r="C148" s="1785" t="s">
        <v>8</v>
      </c>
      <c r="D148" s="1728"/>
      <c r="E148" s="1728"/>
      <c r="F148" s="1728"/>
      <c r="G148" s="1660"/>
      <c r="H148" s="439">
        <f>H144+H140+H147</f>
        <v>6829.7</v>
      </c>
      <c r="I148" s="86">
        <f>I144+I140+I147</f>
        <v>6829.7</v>
      </c>
      <c r="J148" s="86">
        <f>J144+J140+J147</f>
        <v>0</v>
      </c>
      <c r="K148" s="439">
        <f t="shared" ref="K148:P148" si="19">K144+K140+K147</f>
        <v>9997.6</v>
      </c>
      <c r="L148" s="1175">
        <f t="shared" ref="L148:M148" si="20">L144+L140+L147</f>
        <v>9997.6</v>
      </c>
      <c r="M148" s="1175">
        <f t="shared" si="20"/>
        <v>0</v>
      </c>
      <c r="N148" s="439">
        <f t="shared" ref="N148" si="21">N144+N140+N147</f>
        <v>5886.9</v>
      </c>
      <c r="O148" s="86">
        <f>O144+O140+O147</f>
        <v>5886.9</v>
      </c>
      <c r="P148" s="86">
        <f t="shared" si="19"/>
        <v>0</v>
      </c>
      <c r="Q148" s="1661"/>
      <c r="R148" s="1661"/>
      <c r="S148" s="1661"/>
      <c r="T148" s="1661"/>
      <c r="U148" s="1662"/>
    </row>
    <row r="149" spans="1:21" ht="18" customHeight="1" thickBot="1" x14ac:dyDescent="0.25">
      <c r="A149" s="85" t="s">
        <v>5</v>
      </c>
      <c r="B149" s="329" t="s">
        <v>28</v>
      </c>
      <c r="C149" s="1645" t="s">
        <v>120</v>
      </c>
      <c r="D149" s="1646"/>
      <c r="E149" s="1646"/>
      <c r="F149" s="1646"/>
      <c r="G149" s="1646"/>
      <c r="H149" s="1646"/>
      <c r="I149" s="1646"/>
      <c r="J149" s="1646"/>
      <c r="K149" s="1646"/>
      <c r="L149" s="1646"/>
      <c r="M149" s="1646"/>
      <c r="N149" s="1646"/>
      <c r="O149" s="1646"/>
      <c r="P149" s="1646"/>
      <c r="Q149" s="1646"/>
      <c r="R149" s="1646"/>
      <c r="S149" s="1646"/>
      <c r="T149" s="1646"/>
      <c r="U149" s="1647"/>
    </row>
    <row r="150" spans="1:21" ht="11.25" customHeight="1" x14ac:dyDescent="0.2">
      <c r="A150" s="1100" t="s">
        <v>5</v>
      </c>
      <c r="B150" s="328" t="s">
        <v>28</v>
      </c>
      <c r="C150" s="1086" t="s">
        <v>5</v>
      </c>
      <c r="D150" s="1745" t="s">
        <v>116</v>
      </c>
      <c r="E150" s="129" t="s">
        <v>80</v>
      </c>
      <c r="F150" s="947">
        <v>6</v>
      </c>
      <c r="G150" s="217" t="s">
        <v>25</v>
      </c>
      <c r="H150" s="262">
        <v>306.10000000000002</v>
      </c>
      <c r="I150" s="1258">
        <v>90.1</v>
      </c>
      <c r="J150" s="1260">
        <f>I150-H150</f>
        <v>-216</v>
      </c>
      <c r="K150" s="262">
        <v>360.1</v>
      </c>
      <c r="L150" s="214">
        <v>360.1</v>
      </c>
      <c r="M150" s="1222"/>
      <c r="N150" s="262">
        <v>360.1</v>
      </c>
      <c r="O150" s="214">
        <v>360.1</v>
      </c>
      <c r="P150" s="445"/>
      <c r="Q150" s="1198"/>
      <c r="R150" s="214"/>
      <c r="S150" s="270"/>
      <c r="T150" s="270"/>
      <c r="U150" s="1969" t="s">
        <v>378</v>
      </c>
    </row>
    <row r="151" spans="1:21" ht="12.75" customHeight="1" x14ac:dyDescent="0.2">
      <c r="A151" s="1057"/>
      <c r="B151" s="1069"/>
      <c r="C151" s="1060"/>
      <c r="D151" s="1684"/>
      <c r="E151" s="679"/>
      <c r="F151" s="1062"/>
      <c r="G151" s="68" t="s">
        <v>70</v>
      </c>
      <c r="H151" s="92">
        <v>809</v>
      </c>
      <c r="I151" s="272">
        <f>809</f>
        <v>809</v>
      </c>
      <c r="J151" s="108"/>
      <c r="K151" s="92">
        <v>505</v>
      </c>
      <c r="L151" s="272">
        <v>505</v>
      </c>
      <c r="M151" s="108"/>
      <c r="N151" s="92">
        <v>505</v>
      </c>
      <c r="O151" s="272">
        <v>505</v>
      </c>
      <c r="P151" s="66"/>
      <c r="Q151" s="774"/>
      <c r="R151" s="272"/>
      <c r="S151" s="42"/>
      <c r="T151" s="42"/>
      <c r="U151" s="1970"/>
    </row>
    <row r="152" spans="1:21" ht="12.75" customHeight="1" x14ac:dyDescent="0.2">
      <c r="A152" s="1057"/>
      <c r="B152" s="1069"/>
      <c r="C152" s="1060"/>
      <c r="D152" s="1684"/>
      <c r="E152" s="679"/>
      <c r="F152" s="1062"/>
      <c r="G152" s="68" t="s">
        <v>77</v>
      </c>
      <c r="H152" s="92">
        <v>8.6</v>
      </c>
      <c r="I152" s="843">
        <v>224.6</v>
      </c>
      <c r="J152" s="1261">
        <f>I152-H152</f>
        <v>216</v>
      </c>
      <c r="K152" s="92"/>
      <c r="L152" s="272"/>
      <c r="M152" s="108"/>
      <c r="N152" s="92"/>
      <c r="O152" s="272"/>
      <c r="P152" s="66"/>
      <c r="Q152" s="774"/>
      <c r="R152" s="272"/>
      <c r="S152" s="42"/>
      <c r="T152" s="42"/>
      <c r="U152" s="1970"/>
    </row>
    <row r="153" spans="1:21" ht="12.75" customHeight="1" x14ac:dyDescent="0.2">
      <c r="A153" s="1057"/>
      <c r="B153" s="1069"/>
      <c r="C153" s="1060"/>
      <c r="D153" s="802"/>
      <c r="E153" s="679"/>
      <c r="F153" s="1062"/>
      <c r="G153" s="68" t="s">
        <v>62</v>
      </c>
      <c r="H153" s="92">
        <f>49+150</f>
        <v>199</v>
      </c>
      <c r="I153" s="272">
        <f>49+150</f>
        <v>199</v>
      </c>
      <c r="J153" s="108"/>
      <c r="K153" s="92"/>
      <c r="L153" s="272"/>
      <c r="M153" s="108"/>
      <c r="N153" s="92"/>
      <c r="O153" s="272"/>
      <c r="P153" s="66"/>
      <c r="Q153" s="774"/>
      <c r="R153" s="272"/>
      <c r="S153" s="42"/>
      <c r="T153" s="42"/>
      <c r="U153" s="1970"/>
    </row>
    <row r="154" spans="1:21" ht="15.75" customHeight="1" x14ac:dyDescent="0.2">
      <c r="A154" s="1057"/>
      <c r="B154" s="1069"/>
      <c r="C154" s="1060"/>
      <c r="D154" s="449"/>
      <c r="E154" s="679"/>
      <c r="F154" s="1062"/>
      <c r="G154" s="67" t="s">
        <v>107</v>
      </c>
      <c r="H154" s="95">
        <v>250</v>
      </c>
      <c r="I154" s="45">
        <v>250</v>
      </c>
      <c r="J154" s="170"/>
      <c r="K154" s="95">
        <v>250</v>
      </c>
      <c r="L154" s="45">
        <v>250</v>
      </c>
      <c r="M154" s="170"/>
      <c r="N154" s="95">
        <v>250</v>
      </c>
      <c r="O154" s="45">
        <v>250</v>
      </c>
      <c r="P154" s="204"/>
      <c r="Q154" s="1191"/>
      <c r="R154" s="45"/>
      <c r="S154" s="44"/>
      <c r="T154" s="44"/>
      <c r="U154" s="46"/>
    </row>
    <row r="155" spans="1:21" ht="13.5" customHeight="1" x14ac:dyDescent="0.2">
      <c r="A155" s="1057"/>
      <c r="B155" s="1069"/>
      <c r="C155" s="1060"/>
      <c r="D155" s="1737" t="s">
        <v>114</v>
      </c>
      <c r="E155" s="1751" t="s">
        <v>79</v>
      </c>
      <c r="F155" s="1120"/>
      <c r="G155" s="68"/>
      <c r="H155" s="92"/>
      <c r="I155" s="272"/>
      <c r="J155" s="108"/>
      <c r="K155" s="92"/>
      <c r="L155" s="272"/>
      <c r="M155" s="108"/>
      <c r="N155" s="92"/>
      <c r="O155" s="272"/>
      <c r="P155" s="66"/>
      <c r="Q155" s="1109" t="s">
        <v>121</v>
      </c>
      <c r="R155" s="272">
        <v>13.8</v>
      </c>
      <c r="S155" s="42">
        <v>13.8</v>
      </c>
      <c r="T155" s="42">
        <v>13.8</v>
      </c>
      <c r="U155" s="43"/>
    </row>
    <row r="156" spans="1:21" ht="14.25" customHeight="1" x14ac:dyDescent="0.2">
      <c r="A156" s="1057"/>
      <c r="B156" s="1069"/>
      <c r="C156" s="1060"/>
      <c r="D156" s="1669"/>
      <c r="E156" s="1784"/>
      <c r="F156" s="1120"/>
      <c r="G156" s="68"/>
      <c r="H156" s="92"/>
      <c r="I156" s="272"/>
      <c r="J156" s="108"/>
      <c r="K156" s="92"/>
      <c r="L156" s="272"/>
      <c r="M156" s="108"/>
      <c r="N156" s="92"/>
      <c r="O156" s="272"/>
      <c r="P156" s="66"/>
      <c r="Q156" s="1109" t="s">
        <v>38</v>
      </c>
      <c r="R156" s="330">
        <v>67</v>
      </c>
      <c r="S156" s="384">
        <v>67</v>
      </c>
      <c r="T156" s="182">
        <v>67</v>
      </c>
      <c r="U156" s="308"/>
    </row>
    <row r="157" spans="1:21" ht="15" customHeight="1" x14ac:dyDescent="0.2">
      <c r="A157" s="1057"/>
      <c r="B157" s="1069"/>
      <c r="C157" s="1060"/>
      <c r="D157" s="1669"/>
      <c r="E157" s="1686"/>
      <c r="F157" s="1120"/>
      <c r="G157" s="68"/>
      <c r="H157" s="92"/>
      <c r="I157" s="272"/>
      <c r="J157" s="108"/>
      <c r="K157" s="92"/>
      <c r="L157" s="272"/>
      <c r="M157" s="108"/>
      <c r="N157" s="92"/>
      <c r="O157" s="272"/>
      <c r="P157" s="66"/>
      <c r="Q157" s="1109" t="s">
        <v>85</v>
      </c>
      <c r="R157" s="949">
        <v>1.8</v>
      </c>
      <c r="S157" s="950">
        <v>1.8</v>
      </c>
      <c r="T157" s="42">
        <v>1.8</v>
      </c>
      <c r="U157" s="43"/>
    </row>
    <row r="158" spans="1:21" ht="15" customHeight="1" x14ac:dyDescent="0.2">
      <c r="A158" s="1057"/>
      <c r="B158" s="1069"/>
      <c r="C158" s="1060"/>
      <c r="D158" s="1669"/>
      <c r="E158" s="1089"/>
      <c r="F158" s="1120"/>
      <c r="G158" s="68"/>
      <c r="H158" s="92"/>
      <c r="I158" s="272"/>
      <c r="J158" s="138"/>
      <c r="K158" s="92"/>
      <c r="L158" s="272"/>
      <c r="M158" s="108"/>
      <c r="N158" s="92"/>
      <c r="O158" s="272"/>
      <c r="P158" s="66"/>
      <c r="Q158" s="1109" t="s">
        <v>314</v>
      </c>
      <c r="R158" s="330">
        <v>100</v>
      </c>
      <c r="S158" s="384"/>
      <c r="T158" s="1217"/>
      <c r="U158" s="952"/>
    </row>
    <row r="159" spans="1:21" ht="15" customHeight="1" x14ac:dyDescent="0.2">
      <c r="A159" s="1057"/>
      <c r="B159" s="1069"/>
      <c r="C159" s="1060"/>
      <c r="D159" s="1669"/>
      <c r="E159" s="1089"/>
      <c r="F159" s="1120"/>
      <c r="G159" s="68"/>
      <c r="H159" s="92"/>
      <c r="I159" s="272"/>
      <c r="J159" s="138"/>
      <c r="K159" s="92"/>
      <c r="L159" s="272"/>
      <c r="M159" s="108"/>
      <c r="N159" s="92"/>
      <c r="O159" s="272"/>
      <c r="P159" s="66"/>
      <c r="Q159" s="1109" t="s">
        <v>184</v>
      </c>
      <c r="R159" s="330">
        <v>165</v>
      </c>
      <c r="S159" s="384"/>
      <c r="T159" s="1217"/>
      <c r="U159" s="952"/>
    </row>
    <row r="160" spans="1:21" ht="15.75" customHeight="1" x14ac:dyDescent="0.2">
      <c r="A160" s="1057"/>
      <c r="B160" s="1069"/>
      <c r="C160" s="1060"/>
      <c r="D160" s="1669"/>
      <c r="E160" s="1089"/>
      <c r="F160" s="1120"/>
      <c r="G160" s="68"/>
      <c r="H160" s="92"/>
      <c r="I160" s="272"/>
      <c r="J160" s="138"/>
      <c r="K160" s="92"/>
      <c r="L160" s="272"/>
      <c r="M160" s="108"/>
      <c r="N160" s="92"/>
      <c r="O160" s="272"/>
      <c r="P160" s="66"/>
      <c r="Q160" s="1109" t="s">
        <v>364</v>
      </c>
      <c r="R160" s="330">
        <v>4</v>
      </c>
      <c r="S160" s="384"/>
      <c r="T160" s="1218"/>
      <c r="U160" s="952"/>
    </row>
    <row r="161" spans="1:21" ht="17.25" customHeight="1" x14ac:dyDescent="0.2">
      <c r="A161" s="1057"/>
      <c r="B161" s="1069"/>
      <c r="C161" s="1060"/>
      <c r="D161" s="946" t="s">
        <v>66</v>
      </c>
      <c r="E161" s="1089"/>
      <c r="F161" s="1120"/>
      <c r="G161" s="64"/>
      <c r="H161" s="92"/>
      <c r="I161" s="272"/>
      <c r="J161" s="108"/>
      <c r="K161" s="92"/>
      <c r="L161" s="272"/>
      <c r="M161" s="108"/>
      <c r="N161" s="92"/>
      <c r="O161" s="272"/>
      <c r="P161" s="66"/>
      <c r="Q161" s="1223" t="s">
        <v>86</v>
      </c>
      <c r="R161" s="26">
        <v>1</v>
      </c>
      <c r="S161" s="26">
        <v>1</v>
      </c>
      <c r="T161" s="1148">
        <v>1</v>
      </c>
      <c r="U161" s="308"/>
    </row>
    <row r="162" spans="1:21" ht="15.75" customHeight="1" x14ac:dyDescent="0.2">
      <c r="A162" s="1057"/>
      <c r="B162" s="1069"/>
      <c r="C162" s="1060"/>
      <c r="D162" s="1882" t="s">
        <v>123</v>
      </c>
      <c r="E162" s="158"/>
      <c r="F162" s="1062"/>
      <c r="G162" s="68"/>
      <c r="H162" s="92"/>
      <c r="I162" s="272"/>
      <c r="J162" s="108"/>
      <c r="K162" s="92"/>
      <c r="L162" s="272"/>
      <c r="M162" s="138"/>
      <c r="N162" s="92"/>
      <c r="O162" s="272"/>
      <c r="P162" s="66"/>
      <c r="Q162" s="1967" t="s">
        <v>334</v>
      </c>
      <c r="R162" s="1885">
        <v>14</v>
      </c>
      <c r="S162" s="1887"/>
      <c r="T162" s="1994"/>
      <c r="U162" s="1971"/>
    </row>
    <row r="163" spans="1:21" ht="12.75" customHeight="1" x14ac:dyDescent="0.2">
      <c r="A163" s="1057"/>
      <c r="B163" s="1069"/>
      <c r="C163" s="1060"/>
      <c r="D163" s="1882"/>
      <c r="E163" s="158"/>
      <c r="F163" s="1062"/>
      <c r="G163" s="68"/>
      <c r="H163" s="92"/>
      <c r="I163" s="272"/>
      <c r="J163" s="108"/>
      <c r="K163" s="92"/>
      <c r="L163" s="272"/>
      <c r="M163" s="108"/>
      <c r="N163" s="92"/>
      <c r="O163" s="272"/>
      <c r="P163" s="66"/>
      <c r="Q163" s="1968"/>
      <c r="R163" s="1886"/>
      <c r="S163" s="1888"/>
      <c r="T163" s="1995"/>
      <c r="U163" s="1972"/>
    </row>
    <row r="164" spans="1:21" ht="16.5" customHeight="1" x14ac:dyDescent="0.2">
      <c r="A164" s="1057"/>
      <c r="B164" s="1069"/>
      <c r="C164" s="1060"/>
      <c r="D164" s="1754" t="s">
        <v>115</v>
      </c>
      <c r="E164" s="1108"/>
      <c r="F164" s="948"/>
      <c r="G164" s="68"/>
      <c r="H164" s="91"/>
      <c r="I164" s="36"/>
      <c r="J164" s="111"/>
      <c r="K164" s="92"/>
      <c r="L164" s="272"/>
      <c r="M164" s="108"/>
      <c r="N164" s="92"/>
      <c r="O164" s="272"/>
      <c r="P164" s="66"/>
      <c r="Q164" s="1224" t="s">
        <v>185</v>
      </c>
      <c r="R164" s="984">
        <v>170</v>
      </c>
      <c r="S164" s="984">
        <v>170</v>
      </c>
      <c r="T164" s="984">
        <v>170</v>
      </c>
      <c r="U164" s="413"/>
    </row>
    <row r="165" spans="1:21" ht="41.25" customHeight="1" x14ac:dyDescent="0.2">
      <c r="A165" s="1057"/>
      <c r="B165" s="1069"/>
      <c r="C165" s="1060"/>
      <c r="D165" s="1783"/>
      <c r="E165" s="1108"/>
      <c r="F165" s="948"/>
      <c r="G165" s="68"/>
      <c r="H165" s="92"/>
      <c r="I165" s="272"/>
      <c r="J165" s="108"/>
      <c r="K165" s="92"/>
      <c r="L165" s="272"/>
      <c r="M165" s="108"/>
      <c r="N165" s="92"/>
      <c r="O165" s="272"/>
      <c r="P165" s="66"/>
      <c r="Q165" s="1225" t="s">
        <v>180</v>
      </c>
      <c r="R165" s="803" t="s">
        <v>117</v>
      </c>
      <c r="S165" s="803"/>
      <c r="T165" s="1219"/>
      <c r="U165" s="1220"/>
    </row>
    <row r="166" spans="1:21" ht="24" customHeight="1" x14ac:dyDescent="0.2">
      <c r="A166" s="1066"/>
      <c r="B166" s="1069"/>
      <c r="C166" s="265"/>
      <c r="D166" s="1758" t="s">
        <v>203</v>
      </c>
      <c r="E166" s="1067"/>
      <c r="F166" s="1120"/>
      <c r="G166" s="67"/>
      <c r="H166" s="95"/>
      <c r="I166" s="45"/>
      <c r="J166" s="170"/>
      <c r="K166" s="95"/>
      <c r="L166" s="45"/>
      <c r="M166" s="170"/>
      <c r="N166" s="95"/>
      <c r="O166" s="45"/>
      <c r="P166" s="204"/>
      <c r="Q166" s="1657" t="s">
        <v>181</v>
      </c>
      <c r="R166" s="631">
        <v>19</v>
      </c>
      <c r="S166" s="631">
        <v>19</v>
      </c>
      <c r="T166" s="665">
        <v>19</v>
      </c>
      <c r="U166" s="248"/>
    </row>
    <row r="167" spans="1:21" ht="15.75" customHeight="1" thickBot="1" x14ac:dyDescent="0.25">
      <c r="A167" s="75"/>
      <c r="B167" s="1103"/>
      <c r="C167" s="104"/>
      <c r="D167" s="1780"/>
      <c r="E167" s="915"/>
      <c r="F167" s="104"/>
      <c r="G167" s="156" t="s">
        <v>6</v>
      </c>
      <c r="H167" s="246">
        <f>SUM(H150:H166)</f>
        <v>1572.7</v>
      </c>
      <c r="I167" s="1173">
        <f>SUM(I150:I166)</f>
        <v>1572.7</v>
      </c>
      <c r="J167" s="1173">
        <f>SUM(J150:J166)</f>
        <v>0</v>
      </c>
      <c r="K167" s="246">
        <f>SUM(K150:K166)</f>
        <v>1115.0999999999999</v>
      </c>
      <c r="L167" s="1173">
        <f>SUM(L150:L166)</f>
        <v>1115.0999999999999</v>
      </c>
      <c r="M167" s="446"/>
      <c r="N167" s="246">
        <f>SUM(N150:N166)</f>
        <v>1115.0999999999999</v>
      </c>
      <c r="O167" s="1173">
        <f>SUM(O150:O166)</f>
        <v>1115.0999999999999</v>
      </c>
      <c r="P167" s="1228"/>
      <c r="Q167" s="1973"/>
      <c r="R167" s="918"/>
      <c r="S167" s="919"/>
      <c r="T167" s="1130"/>
      <c r="U167" s="920"/>
    </row>
    <row r="168" spans="1:21" ht="15" customHeight="1" x14ac:dyDescent="0.2">
      <c r="A168" s="1766" t="s">
        <v>5</v>
      </c>
      <c r="B168" s="1768" t="s">
        <v>28</v>
      </c>
      <c r="C168" s="1770" t="s">
        <v>7</v>
      </c>
      <c r="D168" s="1772" t="s">
        <v>307</v>
      </c>
      <c r="E168" s="1774" t="s">
        <v>78</v>
      </c>
      <c r="F168" s="1777" t="s">
        <v>56</v>
      </c>
      <c r="G168" s="105" t="s">
        <v>25</v>
      </c>
      <c r="H168" s="262">
        <v>112.6</v>
      </c>
      <c r="I168" s="214">
        <v>112.6</v>
      </c>
      <c r="J168" s="263"/>
      <c r="K168" s="262">
        <v>112.6</v>
      </c>
      <c r="L168" s="214">
        <v>112.6</v>
      </c>
      <c r="M168" s="263"/>
      <c r="N168" s="262">
        <v>112.6</v>
      </c>
      <c r="O168" s="214">
        <v>112.6</v>
      </c>
      <c r="P168" s="445"/>
      <c r="Q168" s="1226" t="s">
        <v>69</v>
      </c>
      <c r="R168" s="324">
        <v>18</v>
      </c>
      <c r="S168" s="324">
        <v>18</v>
      </c>
      <c r="T168" s="1131">
        <v>18</v>
      </c>
      <c r="U168" s="1169"/>
    </row>
    <row r="169" spans="1:21" ht="16.5" customHeight="1" x14ac:dyDescent="0.2">
      <c r="A169" s="1736"/>
      <c r="B169" s="1731"/>
      <c r="C169" s="1635"/>
      <c r="D169" s="1758"/>
      <c r="E169" s="1775"/>
      <c r="F169" s="1778"/>
      <c r="G169" s="80" t="s">
        <v>62</v>
      </c>
      <c r="H169" s="166">
        <v>93</v>
      </c>
      <c r="I169" s="179">
        <v>93</v>
      </c>
      <c r="J169" s="143"/>
      <c r="K169" s="166"/>
      <c r="L169" s="179"/>
      <c r="M169" s="143"/>
      <c r="N169" s="166"/>
      <c r="O169" s="179"/>
      <c r="P169" s="493"/>
      <c r="Q169" s="1109" t="s">
        <v>87</v>
      </c>
      <c r="R169" s="330">
        <v>7</v>
      </c>
      <c r="S169" s="330">
        <v>7</v>
      </c>
      <c r="T169" s="384">
        <v>7</v>
      </c>
      <c r="U169" s="308"/>
    </row>
    <row r="170" spans="1:21" ht="15" customHeight="1" thickBot="1" x14ac:dyDescent="0.25">
      <c r="A170" s="1767"/>
      <c r="B170" s="1769"/>
      <c r="C170" s="1771"/>
      <c r="D170" s="1773"/>
      <c r="E170" s="1776"/>
      <c r="F170" s="1779"/>
      <c r="G170" s="98" t="s">
        <v>6</v>
      </c>
      <c r="H170" s="246">
        <f>SUM(H168:H169)</f>
        <v>205.6</v>
      </c>
      <c r="I170" s="1173">
        <f>SUM(I168:I169)</f>
        <v>205.6</v>
      </c>
      <c r="J170" s="1126"/>
      <c r="K170" s="246">
        <f t="shared" ref="K170:O170" si="22">SUM(K168:K169)</f>
        <v>112.6</v>
      </c>
      <c r="L170" s="1173">
        <f t="shared" ref="L170" si="23">SUM(L168:L169)</f>
        <v>112.6</v>
      </c>
      <c r="M170" s="216"/>
      <c r="N170" s="246">
        <f t="shared" ref="N170" si="24">SUM(N168:N169)</f>
        <v>112.6</v>
      </c>
      <c r="O170" s="1173">
        <f t="shared" si="22"/>
        <v>112.6</v>
      </c>
      <c r="P170" s="446"/>
      <c r="Q170" s="944"/>
      <c r="R170" s="221"/>
      <c r="S170" s="221"/>
      <c r="T170" s="1147"/>
      <c r="U170" s="811"/>
    </row>
    <row r="171" spans="1:21" ht="11.25" customHeight="1" x14ac:dyDescent="0.2">
      <c r="A171" s="1082" t="s">
        <v>5</v>
      </c>
      <c r="B171" s="961" t="s">
        <v>28</v>
      </c>
      <c r="C171" s="1085" t="s">
        <v>28</v>
      </c>
      <c r="D171" s="1745" t="s">
        <v>226</v>
      </c>
      <c r="E171" s="129" t="s">
        <v>47</v>
      </c>
      <c r="F171" s="947">
        <v>5</v>
      </c>
      <c r="G171" s="217" t="s">
        <v>25</v>
      </c>
      <c r="H171" s="262">
        <v>197.1</v>
      </c>
      <c r="I171" s="214">
        <v>197.1</v>
      </c>
      <c r="J171" s="263"/>
      <c r="K171" s="262">
        <v>412.5</v>
      </c>
      <c r="L171" s="214">
        <v>412.5</v>
      </c>
      <c r="M171" s="445"/>
      <c r="N171" s="262">
        <v>155</v>
      </c>
      <c r="O171" s="214">
        <v>155</v>
      </c>
      <c r="P171" s="445"/>
      <c r="Q171" s="969"/>
      <c r="R171" s="272"/>
      <c r="S171" s="272"/>
      <c r="T171" s="108"/>
      <c r="U171" s="43"/>
    </row>
    <row r="172" spans="1:21" ht="12" customHeight="1" x14ac:dyDescent="0.2">
      <c r="A172" s="1083"/>
      <c r="B172" s="1099"/>
      <c r="C172" s="1059"/>
      <c r="D172" s="1746"/>
      <c r="E172" s="679"/>
      <c r="F172" s="1062"/>
      <c r="G172" s="68" t="s">
        <v>107</v>
      </c>
      <c r="H172" s="92"/>
      <c r="I172" s="272"/>
      <c r="J172" s="108"/>
      <c r="K172" s="92"/>
      <c r="L172" s="272"/>
      <c r="M172" s="66"/>
      <c r="N172" s="92"/>
      <c r="O172" s="272"/>
      <c r="P172" s="66"/>
      <c r="Q172" s="969"/>
      <c r="R172" s="42"/>
      <c r="S172" s="272"/>
      <c r="T172" s="108"/>
      <c r="U172" s="43"/>
    </row>
    <row r="173" spans="1:21" ht="12" customHeight="1" x14ac:dyDescent="0.2">
      <c r="A173" s="1083"/>
      <c r="B173" s="1099"/>
      <c r="C173" s="1059"/>
      <c r="D173" s="1746"/>
      <c r="E173" s="679"/>
      <c r="F173" s="1062"/>
      <c r="G173" s="68" t="s">
        <v>62</v>
      </c>
      <c r="H173" s="92">
        <v>150</v>
      </c>
      <c r="I173" s="272">
        <v>150</v>
      </c>
      <c r="J173" s="108"/>
      <c r="K173" s="92"/>
      <c r="L173" s="272"/>
      <c r="M173" s="66"/>
      <c r="N173" s="92"/>
      <c r="O173" s="272"/>
      <c r="P173" s="66"/>
      <c r="Q173" s="969"/>
      <c r="R173" s="42"/>
      <c r="S173" s="272"/>
      <c r="T173" s="108"/>
      <c r="U173" s="43"/>
    </row>
    <row r="174" spans="1:21" ht="15" customHeight="1" x14ac:dyDescent="0.2">
      <c r="A174" s="1083"/>
      <c r="B174" s="1099"/>
      <c r="C174" s="1059"/>
      <c r="D174" s="1747"/>
      <c r="E174" s="674"/>
      <c r="F174" s="1120"/>
      <c r="G174" s="67" t="s">
        <v>44</v>
      </c>
      <c r="H174" s="95">
        <v>579.5</v>
      </c>
      <c r="I174" s="45">
        <v>579.5</v>
      </c>
      <c r="J174" s="170"/>
      <c r="K174" s="95">
        <v>634.1</v>
      </c>
      <c r="L174" s="45">
        <v>634.1</v>
      </c>
      <c r="M174" s="204"/>
      <c r="N174" s="95">
        <f>279+850</f>
        <v>1129</v>
      </c>
      <c r="O174" s="45">
        <f>279+850</f>
        <v>1129</v>
      </c>
      <c r="P174" s="204"/>
      <c r="Q174" s="970"/>
      <c r="R174" s="44"/>
      <c r="S174" s="45"/>
      <c r="T174" s="170"/>
      <c r="U174" s="43"/>
    </row>
    <row r="175" spans="1:21" ht="24.75" customHeight="1" x14ac:dyDescent="0.2">
      <c r="A175" s="1633"/>
      <c r="B175" s="1634"/>
      <c r="C175" s="1635"/>
      <c r="D175" s="1748" t="s">
        <v>347</v>
      </c>
      <c r="E175" s="1751" t="s">
        <v>97</v>
      </c>
      <c r="F175" s="1106"/>
      <c r="G175" s="230"/>
      <c r="H175" s="96"/>
      <c r="I175" s="53"/>
      <c r="J175" s="141"/>
      <c r="K175" s="96"/>
      <c r="L175" s="53"/>
      <c r="M175" s="232"/>
      <c r="N175" s="96"/>
      <c r="O175" s="53"/>
      <c r="P175" s="232"/>
      <c r="Q175" s="971" t="s">
        <v>171</v>
      </c>
      <c r="R175" s="805" t="s">
        <v>172</v>
      </c>
      <c r="S175" s="1121">
        <v>100</v>
      </c>
      <c r="T175" s="1149"/>
      <c r="U175" s="308"/>
    </row>
    <row r="176" spans="1:21" ht="26.25" customHeight="1" x14ac:dyDescent="0.2">
      <c r="A176" s="1633"/>
      <c r="B176" s="1634"/>
      <c r="C176" s="1635"/>
      <c r="D176" s="1749"/>
      <c r="E176" s="1752"/>
      <c r="F176" s="1062"/>
      <c r="G176" s="68"/>
      <c r="H176" s="108"/>
      <c r="I176" s="272"/>
      <c r="J176" s="108"/>
      <c r="K176" s="92"/>
      <c r="L176" s="272"/>
      <c r="M176" s="66"/>
      <c r="N176" s="92"/>
      <c r="O176" s="272"/>
      <c r="P176" s="66"/>
      <c r="Q176" s="972" t="s">
        <v>346</v>
      </c>
      <c r="R176" s="195">
        <v>1</v>
      </c>
      <c r="S176" s="34"/>
      <c r="T176" s="549"/>
      <c r="U176" s="308"/>
    </row>
    <row r="177" spans="1:23" ht="15.75" customHeight="1" x14ac:dyDescent="0.2">
      <c r="A177" s="1633"/>
      <c r="B177" s="1634"/>
      <c r="C177" s="1635"/>
      <c r="D177" s="1750"/>
      <c r="E177" s="1753"/>
      <c r="F177" s="1062"/>
      <c r="G177" s="68"/>
      <c r="H177" s="108"/>
      <c r="I177" s="272"/>
      <c r="J177" s="108"/>
      <c r="K177" s="92"/>
      <c r="L177" s="272"/>
      <c r="M177" s="66"/>
      <c r="N177" s="92"/>
      <c r="O177" s="272"/>
      <c r="P177" s="66"/>
      <c r="Q177" s="973" t="s">
        <v>163</v>
      </c>
      <c r="R177" s="806" t="s">
        <v>271</v>
      </c>
      <c r="S177" s="807">
        <v>2</v>
      </c>
      <c r="T177" s="807"/>
      <c r="U177" s="308"/>
    </row>
    <row r="178" spans="1:23" ht="15" customHeight="1" x14ac:dyDescent="0.2">
      <c r="A178" s="1633"/>
      <c r="B178" s="1634"/>
      <c r="C178" s="1635"/>
      <c r="D178" s="1636" t="s">
        <v>285</v>
      </c>
      <c r="E178" s="1733" t="s">
        <v>164</v>
      </c>
      <c r="F178" s="1106"/>
      <c r="G178" s="64"/>
      <c r="H178" s="92"/>
      <c r="I178" s="272"/>
      <c r="J178" s="108"/>
      <c r="K178" s="92"/>
      <c r="L178" s="272"/>
      <c r="M178" s="66"/>
      <c r="N178" s="92"/>
      <c r="O178" s="272"/>
      <c r="P178" s="66"/>
      <c r="Q178" s="972" t="s">
        <v>216</v>
      </c>
      <c r="R178" s="195">
        <v>1</v>
      </c>
      <c r="S178" s="195"/>
      <c r="T178" s="182"/>
      <c r="U178" s="308"/>
    </row>
    <row r="179" spans="1:23" ht="29.25" customHeight="1" x14ac:dyDescent="0.2">
      <c r="A179" s="1633"/>
      <c r="B179" s="1634"/>
      <c r="C179" s="1635"/>
      <c r="D179" s="1637"/>
      <c r="E179" s="1744"/>
      <c r="F179" s="1062"/>
      <c r="G179" s="68"/>
      <c r="H179" s="92"/>
      <c r="I179" s="272"/>
      <c r="J179" s="108"/>
      <c r="K179" s="92"/>
      <c r="L179" s="272"/>
      <c r="M179" s="66"/>
      <c r="N179" s="92"/>
      <c r="O179" s="272"/>
      <c r="P179" s="66"/>
      <c r="Q179" s="972" t="s">
        <v>286</v>
      </c>
      <c r="R179" s="195"/>
      <c r="S179" s="195">
        <v>1</v>
      </c>
      <c r="T179" s="195"/>
      <c r="U179" s="308"/>
    </row>
    <row r="180" spans="1:23" ht="14.25" customHeight="1" x14ac:dyDescent="0.2">
      <c r="A180" s="1736"/>
      <c r="B180" s="1731"/>
      <c r="C180" s="1635"/>
      <c r="D180" s="1754" t="s">
        <v>211</v>
      </c>
      <c r="E180" s="1733"/>
      <c r="F180" s="1743"/>
      <c r="G180" s="64"/>
      <c r="H180" s="92"/>
      <c r="I180" s="272"/>
      <c r="J180" s="108"/>
      <c r="K180" s="92"/>
      <c r="L180" s="272"/>
      <c r="M180" s="66"/>
      <c r="N180" s="92"/>
      <c r="O180" s="272"/>
      <c r="P180" s="66"/>
      <c r="Q180" s="974" t="s">
        <v>186</v>
      </c>
      <c r="R180" s="1095">
        <v>1</v>
      </c>
      <c r="S180" s="1097"/>
      <c r="T180" s="405"/>
      <c r="U180" s="308"/>
    </row>
    <row r="181" spans="1:23" ht="15" customHeight="1" x14ac:dyDescent="0.2">
      <c r="A181" s="1736"/>
      <c r="B181" s="1731"/>
      <c r="C181" s="1635"/>
      <c r="D181" s="1755"/>
      <c r="E181" s="1753"/>
      <c r="F181" s="1743"/>
      <c r="G181" s="68"/>
      <c r="H181" s="92"/>
      <c r="I181" s="272"/>
      <c r="J181" s="108"/>
      <c r="K181" s="92"/>
      <c r="L181" s="272"/>
      <c r="M181" s="66"/>
      <c r="N181" s="92"/>
      <c r="O181" s="272"/>
      <c r="P181" s="66"/>
      <c r="Q181" s="1227" t="s">
        <v>287</v>
      </c>
      <c r="R181" s="48">
        <v>6</v>
      </c>
      <c r="S181" s="183"/>
      <c r="T181" s="51"/>
      <c r="U181" s="23"/>
    </row>
    <row r="182" spans="1:23" ht="26.25" customHeight="1" x14ac:dyDescent="0.2">
      <c r="A182" s="1633"/>
      <c r="B182" s="1634"/>
      <c r="C182" s="1635"/>
      <c r="D182" s="1636" t="s">
        <v>331</v>
      </c>
      <c r="E182" s="1729" t="s">
        <v>367</v>
      </c>
      <c r="F182" s="1106"/>
      <c r="G182" s="60" t="s">
        <v>25</v>
      </c>
      <c r="H182" s="96"/>
      <c r="I182" s="53"/>
      <c r="J182" s="141"/>
      <c r="K182" s="96"/>
      <c r="L182" s="1317">
        <v>50</v>
      </c>
      <c r="M182" s="1318">
        <f>L182-K182</f>
        <v>50</v>
      </c>
      <c r="N182" s="96"/>
      <c r="O182" s="53"/>
      <c r="P182" s="232"/>
      <c r="Q182" s="1416" t="s">
        <v>333</v>
      </c>
      <c r="R182" s="1414">
        <v>1</v>
      </c>
      <c r="S182" s="1413"/>
      <c r="T182" s="1413"/>
      <c r="U182" s="1924" t="s">
        <v>398</v>
      </c>
      <c r="W182" s="1035"/>
    </row>
    <row r="183" spans="1:23" ht="15.75" customHeight="1" x14ac:dyDescent="0.2">
      <c r="A183" s="1633"/>
      <c r="B183" s="1634"/>
      <c r="C183" s="1635"/>
      <c r="D183" s="1636"/>
      <c r="E183" s="1730"/>
      <c r="F183" s="1106"/>
      <c r="G183" s="68"/>
      <c r="H183" s="108"/>
      <c r="I183" s="272"/>
      <c r="J183" s="108"/>
      <c r="K183" s="92"/>
      <c r="L183" s="272"/>
      <c r="M183" s="66"/>
      <c r="N183" s="92"/>
      <c r="O183" s="272"/>
      <c r="P183" s="66"/>
      <c r="Q183" s="260" t="s">
        <v>99</v>
      </c>
      <c r="R183" s="27"/>
      <c r="S183" s="195">
        <v>1</v>
      </c>
      <c r="T183" s="195"/>
      <c r="U183" s="1970"/>
      <c r="W183" s="1035"/>
    </row>
    <row r="184" spans="1:23" ht="26.25" customHeight="1" x14ac:dyDescent="0.2">
      <c r="A184" s="1633"/>
      <c r="B184" s="1634"/>
      <c r="C184" s="1635"/>
      <c r="D184" s="1637"/>
      <c r="E184" s="1033"/>
      <c r="F184" s="1106"/>
      <c r="G184" s="67"/>
      <c r="H184" s="170"/>
      <c r="I184" s="45"/>
      <c r="J184" s="170"/>
      <c r="K184" s="95"/>
      <c r="L184" s="45"/>
      <c r="M184" s="204"/>
      <c r="N184" s="95"/>
      <c r="O184" s="45"/>
      <c r="P184" s="204"/>
      <c r="Q184" s="252" t="s">
        <v>332</v>
      </c>
      <c r="R184" s="22"/>
      <c r="S184" s="51"/>
      <c r="T184" s="1415">
        <v>30</v>
      </c>
      <c r="U184" s="1974"/>
    </row>
    <row r="185" spans="1:23" ht="38.25" customHeight="1" x14ac:dyDescent="0.2">
      <c r="A185" s="1057"/>
      <c r="B185" s="1058"/>
      <c r="C185" s="1060"/>
      <c r="D185" s="1002" t="s">
        <v>348</v>
      </c>
      <c r="E185" s="1003" t="s">
        <v>221</v>
      </c>
      <c r="F185" s="1004" t="s">
        <v>37</v>
      </c>
      <c r="G185" s="67" t="s">
        <v>77</v>
      </c>
      <c r="H185" s="95">
        <f>24.2+4</f>
        <v>28.2</v>
      </c>
      <c r="I185" s="45">
        <f>24.2+4</f>
        <v>28.2</v>
      </c>
      <c r="J185" s="170"/>
      <c r="K185" s="95"/>
      <c r="L185" s="45"/>
      <c r="M185" s="204"/>
      <c r="N185" s="95"/>
      <c r="O185" s="45"/>
      <c r="P185" s="204"/>
      <c r="Q185" s="1191" t="s">
        <v>88</v>
      </c>
      <c r="R185" s="1412">
        <v>1</v>
      </c>
      <c r="S185" s="1412"/>
      <c r="T185" s="1138"/>
      <c r="U185" s="23"/>
    </row>
    <row r="186" spans="1:23" ht="129" customHeight="1" x14ac:dyDescent="0.2">
      <c r="A186" s="1066"/>
      <c r="B186" s="1058"/>
      <c r="C186" s="97"/>
      <c r="D186" s="1079" t="s">
        <v>329</v>
      </c>
      <c r="E186" s="1107" t="s">
        <v>164</v>
      </c>
      <c r="F186" s="1062"/>
      <c r="G186" s="67" t="s">
        <v>25</v>
      </c>
      <c r="H186" s="95"/>
      <c r="I186" s="1259">
        <v>6</v>
      </c>
      <c r="J186" s="1262">
        <f>I186-H186</f>
        <v>6</v>
      </c>
      <c r="K186" s="95"/>
      <c r="L186" s="1259">
        <v>6.2</v>
      </c>
      <c r="M186" s="1262">
        <f>L186-K186</f>
        <v>6.2</v>
      </c>
      <c r="N186" s="95"/>
      <c r="O186" s="1259">
        <v>6.2</v>
      </c>
      <c r="P186" s="1322">
        <f>O186-N186</f>
        <v>6.2</v>
      </c>
      <c r="Q186" s="774" t="s">
        <v>412</v>
      </c>
      <c r="R186" s="1324" t="s">
        <v>382</v>
      </c>
      <c r="S186" s="1326">
        <v>6</v>
      </c>
      <c r="T186" s="1327">
        <v>6</v>
      </c>
      <c r="U186" s="1325" t="s">
        <v>395</v>
      </c>
    </row>
    <row r="187" spans="1:23" ht="14.25" customHeight="1" thickBot="1" x14ac:dyDescent="0.25">
      <c r="A187" s="75"/>
      <c r="B187" s="1103"/>
      <c r="C187" s="56"/>
      <c r="D187" s="775"/>
      <c r="E187" s="810"/>
      <c r="F187" s="968"/>
      <c r="G187" s="156" t="s">
        <v>6</v>
      </c>
      <c r="H187" s="246">
        <f>SUM(H171:H185)</f>
        <v>954.8</v>
      </c>
      <c r="I187" s="1173">
        <f>SUM(I171:I186)</f>
        <v>960.8</v>
      </c>
      <c r="J187" s="1173">
        <f>SUM(J171:J186)</f>
        <v>6</v>
      </c>
      <c r="K187" s="246">
        <f>SUM(K171:K185)</f>
        <v>1046.5999999999999</v>
      </c>
      <c r="L187" s="1173">
        <f>SUM(L171:L186)</f>
        <v>1102.8</v>
      </c>
      <c r="M187" s="1173">
        <f>SUM(M171:M186)</f>
        <v>56.2</v>
      </c>
      <c r="N187" s="246">
        <f>SUM(N171:N185)</f>
        <v>1284</v>
      </c>
      <c r="O187" s="1173">
        <f>SUM(O171:O186)</f>
        <v>1290.2</v>
      </c>
      <c r="P187" s="846">
        <f>SUM(P171:P186)</f>
        <v>6.2</v>
      </c>
      <c r="Q187" s="944"/>
      <c r="R187" s="1323"/>
      <c r="S187" s="221"/>
      <c r="T187" s="218"/>
      <c r="U187" s="811"/>
    </row>
    <row r="188" spans="1:23" ht="14.25" customHeight="1" thickBot="1" x14ac:dyDescent="0.25">
      <c r="A188" s="99" t="s">
        <v>5</v>
      </c>
      <c r="B188" s="86" t="s">
        <v>28</v>
      </c>
      <c r="C188" s="1728" t="s">
        <v>8</v>
      </c>
      <c r="D188" s="1728"/>
      <c r="E188" s="1728"/>
      <c r="F188" s="1728"/>
      <c r="G188" s="1660"/>
      <c r="H188" s="1221">
        <f t="shared" ref="H188:P188" si="25">H187+H170+H167</f>
        <v>2733.1</v>
      </c>
      <c r="I188" s="1103">
        <f t="shared" si="25"/>
        <v>2739.1</v>
      </c>
      <c r="J188" s="1321">
        <f t="shared" ref="J188" si="26">J187+J170+J167</f>
        <v>6</v>
      </c>
      <c r="K188" s="1221">
        <f t="shared" si="25"/>
        <v>2274.3000000000002</v>
      </c>
      <c r="L188" s="1103">
        <f t="shared" si="25"/>
        <v>2330.5</v>
      </c>
      <c r="M188" s="1320">
        <f t="shared" si="25"/>
        <v>56.2</v>
      </c>
      <c r="N188" s="1221">
        <f t="shared" si="25"/>
        <v>2511.6999999999998</v>
      </c>
      <c r="O188" s="1328">
        <f>O187+O170+O167</f>
        <v>2517.9</v>
      </c>
      <c r="P188" s="1333">
        <f t="shared" si="25"/>
        <v>6.2</v>
      </c>
      <c r="Q188" s="1661"/>
      <c r="R188" s="1661"/>
      <c r="S188" s="1661"/>
      <c r="T188" s="1661"/>
      <c r="U188" s="1662"/>
    </row>
    <row r="189" spans="1:23" ht="14.25" customHeight="1" thickBot="1" x14ac:dyDescent="0.25">
      <c r="A189" s="85" t="s">
        <v>5</v>
      </c>
      <c r="B189" s="86" t="s">
        <v>33</v>
      </c>
      <c r="C189" s="1645" t="s">
        <v>225</v>
      </c>
      <c r="D189" s="1646"/>
      <c r="E189" s="1646"/>
      <c r="F189" s="1646"/>
      <c r="G189" s="1646"/>
      <c r="H189" s="1646"/>
      <c r="I189" s="1646"/>
      <c r="J189" s="1646"/>
      <c r="K189" s="1646"/>
      <c r="L189" s="1646"/>
      <c r="M189" s="1646"/>
      <c r="N189" s="1646"/>
      <c r="O189" s="1646"/>
      <c r="P189" s="1646"/>
      <c r="Q189" s="1646"/>
      <c r="R189" s="1646"/>
      <c r="S189" s="1646"/>
      <c r="T189" s="1646"/>
      <c r="U189" s="1647"/>
    </row>
    <row r="190" spans="1:23" ht="12" customHeight="1" x14ac:dyDescent="0.2">
      <c r="A190" s="1100" t="s">
        <v>5</v>
      </c>
      <c r="B190" s="1102" t="s">
        <v>33</v>
      </c>
      <c r="C190" s="301" t="s">
        <v>5</v>
      </c>
      <c r="D190" s="266" t="s">
        <v>113</v>
      </c>
      <c r="E190" s="448"/>
      <c r="F190" s="947">
        <v>6</v>
      </c>
      <c r="G190" s="68" t="s">
        <v>25</v>
      </c>
      <c r="H190" s="262">
        <v>4300.5</v>
      </c>
      <c r="I190" s="1258">
        <v>4289.3</v>
      </c>
      <c r="J190" s="1260">
        <f>I190-H190</f>
        <v>-11.2</v>
      </c>
      <c r="K190" s="262">
        <v>3279.6</v>
      </c>
      <c r="L190" s="214">
        <v>3279.6</v>
      </c>
      <c r="M190" s="445"/>
      <c r="N190" s="262">
        <v>3388</v>
      </c>
      <c r="O190" s="214">
        <v>3388</v>
      </c>
      <c r="P190" s="271"/>
      <c r="Q190" s="107"/>
      <c r="R190" s="6"/>
      <c r="S190" s="6"/>
      <c r="T190" s="1150"/>
      <c r="U190" s="1969" t="s">
        <v>378</v>
      </c>
    </row>
    <row r="191" spans="1:23" ht="12" customHeight="1" x14ac:dyDescent="0.2">
      <c r="A191" s="1057"/>
      <c r="B191" s="1058"/>
      <c r="C191" s="265"/>
      <c r="D191" s="449"/>
      <c r="E191" s="1108"/>
      <c r="F191" s="1062"/>
      <c r="G191" s="68" t="s">
        <v>77</v>
      </c>
      <c r="H191" s="92">
        <v>300</v>
      </c>
      <c r="I191" s="272">
        <v>300</v>
      </c>
      <c r="J191" s="108"/>
      <c r="K191" s="92"/>
      <c r="L191" s="272"/>
      <c r="M191" s="66"/>
      <c r="N191" s="92"/>
      <c r="O191" s="272"/>
      <c r="P191" s="43"/>
      <c r="Q191" s="774"/>
      <c r="R191" s="272"/>
      <c r="S191" s="272"/>
      <c r="T191" s="108"/>
      <c r="U191" s="1970"/>
    </row>
    <row r="192" spans="1:23" ht="12.75" customHeight="1" x14ac:dyDescent="0.2">
      <c r="A192" s="1057"/>
      <c r="B192" s="1058"/>
      <c r="C192" s="265"/>
      <c r="D192" s="449"/>
      <c r="E192" s="1108"/>
      <c r="F192" s="1062"/>
      <c r="G192" s="68" t="s">
        <v>107</v>
      </c>
      <c r="H192" s="92">
        <f>1271.8+0.2</f>
        <v>1272</v>
      </c>
      <c r="I192" s="272">
        <f>1271.8+0.2</f>
        <v>1272</v>
      </c>
      <c r="J192" s="108"/>
      <c r="K192" s="92">
        <v>1272</v>
      </c>
      <c r="L192" s="272">
        <v>1272</v>
      </c>
      <c r="M192" s="66"/>
      <c r="N192" s="92">
        <v>1272</v>
      </c>
      <c r="O192" s="272">
        <v>1272</v>
      </c>
      <c r="P192" s="43"/>
      <c r="Q192" s="774"/>
      <c r="R192" s="272"/>
      <c r="S192" s="272"/>
      <c r="T192" s="108"/>
      <c r="U192" s="1970"/>
    </row>
    <row r="193" spans="1:21" ht="13.5" customHeight="1" x14ac:dyDescent="0.2">
      <c r="A193" s="1057"/>
      <c r="B193" s="1058"/>
      <c r="C193" s="265"/>
      <c r="D193" s="450"/>
      <c r="E193" s="1108"/>
      <c r="F193" s="1062"/>
      <c r="G193" s="67" t="s">
        <v>62</v>
      </c>
      <c r="H193" s="95">
        <v>73</v>
      </c>
      <c r="I193" s="1259">
        <v>84.2</v>
      </c>
      <c r="J193" s="1262">
        <f>I193-H193</f>
        <v>11.2</v>
      </c>
      <c r="K193" s="95"/>
      <c r="L193" s="45"/>
      <c r="M193" s="204"/>
      <c r="N193" s="95"/>
      <c r="O193" s="45"/>
      <c r="P193" s="46"/>
      <c r="Q193" s="812"/>
      <c r="R193" s="795"/>
      <c r="S193" s="795"/>
      <c r="T193" s="1151"/>
      <c r="U193" s="1974"/>
    </row>
    <row r="194" spans="1:21" ht="15.75" customHeight="1" x14ac:dyDescent="0.2">
      <c r="A194" s="1057"/>
      <c r="B194" s="1058"/>
      <c r="C194" s="103"/>
      <c r="D194" s="1064" t="s">
        <v>110</v>
      </c>
      <c r="E194" s="1108"/>
      <c r="F194" s="1106"/>
      <c r="G194" s="68"/>
      <c r="H194" s="92"/>
      <c r="I194" s="272"/>
      <c r="J194" s="108"/>
      <c r="K194" s="92"/>
      <c r="L194" s="272"/>
      <c r="M194" s="66"/>
      <c r="N194" s="92"/>
      <c r="O194" s="272"/>
      <c r="P194" s="43"/>
      <c r="Q194" s="774" t="s">
        <v>68</v>
      </c>
      <c r="R194" s="36">
        <v>11</v>
      </c>
      <c r="S194" s="272"/>
      <c r="T194" s="108"/>
      <c r="U194" s="43"/>
    </row>
    <row r="195" spans="1:21" ht="26.25" customHeight="1" x14ac:dyDescent="0.2">
      <c r="A195" s="1057"/>
      <c r="B195" s="1058"/>
      <c r="C195" s="1648" t="s">
        <v>245</v>
      </c>
      <c r="D195" s="565" t="s">
        <v>246</v>
      </c>
      <c r="E195" s="1108"/>
      <c r="F195" s="1062"/>
      <c r="G195" s="68"/>
      <c r="H195" s="92"/>
      <c r="I195" s="272"/>
      <c r="J195" s="108"/>
      <c r="K195" s="92"/>
      <c r="L195" s="272"/>
      <c r="M195" s="66"/>
      <c r="N195" s="92"/>
      <c r="O195" s="272"/>
      <c r="P195" s="43"/>
      <c r="Q195" s="774"/>
      <c r="R195" s="272"/>
      <c r="S195" s="272"/>
      <c r="T195" s="108"/>
      <c r="U195" s="43"/>
    </row>
    <row r="196" spans="1:21" ht="27.75" customHeight="1" x14ac:dyDescent="0.2">
      <c r="A196" s="1057"/>
      <c r="B196" s="1058"/>
      <c r="C196" s="1648"/>
      <c r="D196" s="279" t="s">
        <v>349</v>
      </c>
      <c r="E196" s="1108"/>
      <c r="F196" s="1062"/>
      <c r="G196" s="68"/>
      <c r="H196" s="92"/>
      <c r="I196" s="272"/>
      <c r="J196" s="108"/>
      <c r="K196" s="92"/>
      <c r="L196" s="272"/>
      <c r="M196" s="66"/>
      <c r="N196" s="92"/>
      <c r="O196" s="272"/>
      <c r="P196" s="43"/>
      <c r="Q196" s="774"/>
      <c r="R196" s="272"/>
      <c r="S196" s="272"/>
      <c r="T196" s="108"/>
      <c r="U196" s="43"/>
    </row>
    <row r="197" spans="1:21" ht="24.75" customHeight="1" x14ac:dyDescent="0.2">
      <c r="A197" s="1057"/>
      <c r="B197" s="1058"/>
      <c r="C197" s="1648"/>
      <c r="D197" s="279" t="s">
        <v>350</v>
      </c>
      <c r="E197" s="1108"/>
      <c r="F197" s="1062"/>
      <c r="G197" s="68"/>
      <c r="H197" s="92"/>
      <c r="I197" s="272"/>
      <c r="J197" s="108"/>
      <c r="K197" s="92"/>
      <c r="L197" s="272"/>
      <c r="M197" s="66"/>
      <c r="N197" s="92"/>
      <c r="O197" s="272"/>
      <c r="P197" s="43"/>
      <c r="Q197" s="774"/>
      <c r="R197" s="272"/>
      <c r="S197" s="272"/>
      <c r="T197" s="108"/>
      <c r="U197" s="43"/>
    </row>
    <row r="198" spans="1:21" ht="12.75" customHeight="1" x14ac:dyDescent="0.2">
      <c r="A198" s="1057"/>
      <c r="B198" s="1058"/>
      <c r="C198" s="1648"/>
      <c r="D198" s="279" t="s">
        <v>250</v>
      </c>
      <c r="E198" s="1108"/>
      <c r="F198" s="1062"/>
      <c r="G198" s="68"/>
      <c r="H198" s="92"/>
      <c r="I198" s="272"/>
      <c r="J198" s="108"/>
      <c r="K198" s="92"/>
      <c r="L198" s="272"/>
      <c r="M198" s="66"/>
      <c r="N198" s="92"/>
      <c r="O198" s="272"/>
      <c r="P198" s="43"/>
      <c r="Q198" s="774"/>
      <c r="R198" s="272"/>
      <c r="S198" s="272"/>
      <c r="T198" s="108"/>
      <c r="U198" s="43"/>
    </row>
    <row r="199" spans="1:21" ht="13.5" customHeight="1" x14ac:dyDescent="0.2">
      <c r="A199" s="1057"/>
      <c r="B199" s="1058"/>
      <c r="C199" s="1648"/>
      <c r="D199" s="279" t="s">
        <v>351</v>
      </c>
      <c r="E199" s="1108"/>
      <c r="F199" s="1062"/>
      <c r="G199" s="68"/>
      <c r="H199" s="92"/>
      <c r="I199" s="272"/>
      <c r="J199" s="108"/>
      <c r="K199" s="92"/>
      <c r="L199" s="272"/>
      <c r="M199" s="66"/>
      <c r="N199" s="92"/>
      <c r="O199" s="272"/>
      <c r="P199" s="43"/>
      <c r="Q199" s="774"/>
      <c r="R199" s="272"/>
      <c r="S199" s="272"/>
      <c r="T199" s="108"/>
      <c r="U199" s="43"/>
    </row>
    <row r="200" spans="1:21" ht="13.5" customHeight="1" x14ac:dyDescent="0.2">
      <c r="A200" s="1057"/>
      <c r="B200" s="1058"/>
      <c r="C200" s="1648"/>
      <c r="D200" s="279" t="s">
        <v>254</v>
      </c>
      <c r="E200" s="1108"/>
      <c r="F200" s="1062"/>
      <c r="G200" s="68"/>
      <c r="H200" s="92"/>
      <c r="I200" s="272"/>
      <c r="J200" s="108"/>
      <c r="K200" s="92"/>
      <c r="L200" s="272"/>
      <c r="M200" s="66"/>
      <c r="N200" s="92"/>
      <c r="O200" s="272"/>
      <c r="P200" s="43"/>
      <c r="Q200" s="774"/>
      <c r="R200" s="272"/>
      <c r="S200" s="272"/>
      <c r="T200" s="108"/>
      <c r="U200" s="43"/>
    </row>
    <row r="201" spans="1:21" ht="25.5" customHeight="1" x14ac:dyDescent="0.2">
      <c r="A201" s="1057"/>
      <c r="B201" s="1058"/>
      <c r="C201" s="1648"/>
      <c r="D201" s="564" t="s">
        <v>255</v>
      </c>
      <c r="E201" s="1108"/>
      <c r="F201" s="1062"/>
      <c r="G201" s="68"/>
      <c r="H201" s="92"/>
      <c r="I201" s="272"/>
      <c r="J201" s="108"/>
      <c r="K201" s="92"/>
      <c r="L201" s="272"/>
      <c r="M201" s="66"/>
      <c r="N201" s="92"/>
      <c r="O201" s="272"/>
      <c r="P201" s="43"/>
      <c r="Q201" s="774"/>
      <c r="R201" s="272"/>
      <c r="S201" s="272"/>
      <c r="T201" s="108"/>
      <c r="U201" s="43"/>
    </row>
    <row r="202" spans="1:21" ht="25.5" customHeight="1" x14ac:dyDescent="0.2">
      <c r="A202" s="1057"/>
      <c r="B202" s="1058"/>
      <c r="C202" s="1649"/>
      <c r="D202" s="562" t="s">
        <v>352</v>
      </c>
      <c r="E202" s="1108"/>
      <c r="F202" s="1060"/>
      <c r="G202" s="68"/>
      <c r="H202" s="92"/>
      <c r="I202" s="272"/>
      <c r="J202" s="108"/>
      <c r="K202" s="92"/>
      <c r="L202" s="272"/>
      <c r="M202" s="66"/>
      <c r="N202" s="92"/>
      <c r="O202" s="272"/>
      <c r="P202" s="43"/>
      <c r="Q202" s="1191"/>
      <c r="R202" s="45"/>
      <c r="S202" s="45"/>
      <c r="T202" s="170"/>
      <c r="U202" s="46"/>
    </row>
    <row r="203" spans="1:21" ht="27.75" customHeight="1" x14ac:dyDescent="0.2">
      <c r="A203" s="1057"/>
      <c r="B203" s="1058"/>
      <c r="C203" s="1650" t="s">
        <v>251</v>
      </c>
      <c r="D203" s="1079" t="s">
        <v>353</v>
      </c>
      <c r="E203" s="1108"/>
      <c r="F203" s="1062"/>
      <c r="G203" s="68"/>
      <c r="H203" s="92"/>
      <c r="I203" s="272"/>
      <c r="J203" s="108"/>
      <c r="K203" s="92"/>
      <c r="L203" s="272"/>
      <c r="M203" s="66"/>
      <c r="N203" s="92"/>
      <c r="O203" s="272"/>
      <c r="P203" s="43"/>
      <c r="Q203" s="1199" t="s">
        <v>68</v>
      </c>
      <c r="R203" s="272"/>
      <c r="S203" s="272">
        <v>5.7</v>
      </c>
      <c r="T203" s="108"/>
      <c r="U203" s="43"/>
    </row>
    <row r="204" spans="1:21" ht="13.5" customHeight="1" x14ac:dyDescent="0.2">
      <c r="A204" s="1057"/>
      <c r="B204" s="1058"/>
      <c r="C204" s="1648"/>
      <c r="D204" s="279" t="s">
        <v>258</v>
      </c>
      <c r="E204" s="1108"/>
      <c r="F204" s="1062"/>
      <c r="G204" s="68"/>
      <c r="H204" s="92"/>
      <c r="I204" s="272"/>
      <c r="J204" s="108"/>
      <c r="K204" s="92"/>
      <c r="L204" s="272"/>
      <c r="M204" s="66"/>
      <c r="N204" s="92"/>
      <c r="O204" s="272"/>
      <c r="P204" s="43"/>
      <c r="Q204" s="774"/>
      <c r="R204" s="272"/>
      <c r="S204" s="272"/>
      <c r="T204" s="108"/>
      <c r="U204" s="43"/>
    </row>
    <row r="205" spans="1:21" ht="27.75" customHeight="1" x14ac:dyDescent="0.2">
      <c r="A205" s="1057"/>
      <c r="B205" s="1058"/>
      <c r="C205" s="1648"/>
      <c r="D205" s="279" t="s">
        <v>354</v>
      </c>
      <c r="E205" s="1108"/>
      <c r="F205" s="1062"/>
      <c r="G205" s="68"/>
      <c r="H205" s="92"/>
      <c r="I205" s="272"/>
      <c r="J205" s="108"/>
      <c r="K205" s="92"/>
      <c r="L205" s="272"/>
      <c r="M205" s="66"/>
      <c r="N205" s="92"/>
      <c r="O205" s="272"/>
      <c r="P205" s="43"/>
      <c r="Q205" s="774"/>
      <c r="R205" s="272"/>
      <c r="S205" s="272"/>
      <c r="T205" s="108"/>
      <c r="U205" s="43"/>
    </row>
    <row r="206" spans="1:21" ht="15.75" customHeight="1" x14ac:dyDescent="0.2">
      <c r="A206" s="1057"/>
      <c r="B206" s="1058"/>
      <c r="C206" s="1648"/>
      <c r="D206" s="566" t="s">
        <v>260</v>
      </c>
      <c r="E206" s="1108"/>
      <c r="F206" s="1062"/>
      <c r="G206" s="68"/>
      <c r="H206" s="92"/>
      <c r="I206" s="272"/>
      <c r="J206" s="108"/>
      <c r="K206" s="92"/>
      <c r="L206" s="272"/>
      <c r="M206" s="66"/>
      <c r="N206" s="92"/>
      <c r="O206" s="272"/>
      <c r="P206" s="43"/>
      <c r="Q206" s="774"/>
      <c r="R206" s="272"/>
      <c r="S206" s="272"/>
      <c r="T206" s="108"/>
      <c r="U206" s="43"/>
    </row>
    <row r="207" spans="1:21" ht="15" customHeight="1" x14ac:dyDescent="0.2">
      <c r="A207" s="1057"/>
      <c r="B207" s="1058"/>
      <c r="C207" s="1648"/>
      <c r="D207" s="566" t="s">
        <v>261</v>
      </c>
      <c r="E207" s="1108"/>
      <c r="F207" s="1062"/>
      <c r="G207" s="68"/>
      <c r="H207" s="92"/>
      <c r="I207" s="272"/>
      <c r="J207" s="108"/>
      <c r="K207" s="92"/>
      <c r="L207" s="272"/>
      <c r="M207" s="66"/>
      <c r="N207" s="92"/>
      <c r="O207" s="272"/>
      <c r="P207" s="43"/>
      <c r="Q207" s="774"/>
      <c r="R207" s="272"/>
      <c r="S207" s="272"/>
      <c r="T207" s="108"/>
      <c r="U207" s="43"/>
    </row>
    <row r="208" spans="1:21" ht="14.25" customHeight="1" x14ac:dyDescent="0.2">
      <c r="A208" s="1057"/>
      <c r="B208" s="1058"/>
      <c r="C208" s="1648"/>
      <c r="D208" s="566" t="s">
        <v>262</v>
      </c>
      <c r="E208" s="1108"/>
      <c r="F208" s="1062"/>
      <c r="G208" s="68"/>
      <c r="H208" s="92"/>
      <c r="I208" s="272"/>
      <c r="J208" s="108"/>
      <c r="K208" s="92"/>
      <c r="L208" s="272"/>
      <c r="M208" s="66"/>
      <c r="N208" s="92"/>
      <c r="O208" s="272"/>
      <c r="P208" s="43"/>
      <c r="Q208" s="774"/>
      <c r="R208" s="272"/>
      <c r="S208" s="272"/>
      <c r="T208" s="108"/>
      <c r="U208" s="43"/>
    </row>
    <row r="209" spans="1:21" ht="12.75" customHeight="1" x14ac:dyDescent="0.2">
      <c r="A209" s="1057"/>
      <c r="B209" s="1058"/>
      <c r="C209" s="1648"/>
      <c r="D209" s="1079" t="s">
        <v>247</v>
      </c>
      <c r="E209" s="1108"/>
      <c r="F209" s="1062"/>
      <c r="G209" s="68"/>
      <c r="H209" s="92"/>
      <c r="I209" s="272"/>
      <c r="J209" s="108"/>
      <c r="K209" s="92"/>
      <c r="L209" s="272"/>
      <c r="M209" s="66"/>
      <c r="N209" s="92"/>
      <c r="O209" s="272"/>
      <c r="P209" s="43"/>
      <c r="Q209" s="774"/>
      <c r="R209" s="272"/>
      <c r="S209" s="272"/>
      <c r="T209" s="108"/>
      <c r="U209" s="43"/>
    </row>
    <row r="210" spans="1:21" ht="15.75" customHeight="1" x14ac:dyDescent="0.2">
      <c r="A210" s="1057"/>
      <c r="B210" s="1058"/>
      <c r="C210" s="1649"/>
      <c r="D210" s="1064" t="s">
        <v>263</v>
      </c>
      <c r="E210" s="1108"/>
      <c r="F210" s="1062"/>
      <c r="G210" s="68"/>
      <c r="H210" s="92"/>
      <c r="I210" s="272"/>
      <c r="J210" s="108"/>
      <c r="K210" s="92"/>
      <c r="L210" s="272"/>
      <c r="M210" s="66"/>
      <c r="N210" s="92"/>
      <c r="O210" s="272"/>
      <c r="P210" s="43"/>
      <c r="Q210" s="1191"/>
      <c r="R210" s="45"/>
      <c r="S210" s="45"/>
      <c r="T210" s="170"/>
      <c r="U210" s="46"/>
    </row>
    <row r="211" spans="1:21" ht="20.25" customHeight="1" x14ac:dyDescent="0.2">
      <c r="A211" s="1057"/>
      <c r="B211" s="1058"/>
      <c r="C211" s="1650" t="s">
        <v>252</v>
      </c>
      <c r="D211" s="1063" t="s">
        <v>355</v>
      </c>
      <c r="E211" s="1108"/>
      <c r="F211" s="1062"/>
      <c r="G211" s="68"/>
      <c r="H211" s="92"/>
      <c r="I211" s="272"/>
      <c r="J211" s="108"/>
      <c r="K211" s="92"/>
      <c r="L211" s="272"/>
      <c r="M211" s="66"/>
      <c r="N211" s="92"/>
      <c r="O211" s="272"/>
      <c r="P211" s="43"/>
      <c r="Q211" s="1199" t="s">
        <v>68</v>
      </c>
      <c r="R211" s="53"/>
      <c r="S211" s="53"/>
      <c r="T211" s="141">
        <v>6.5</v>
      </c>
      <c r="U211" s="572"/>
    </row>
    <row r="212" spans="1:21" ht="29.25" customHeight="1" x14ac:dyDescent="0.2">
      <c r="A212" s="1057"/>
      <c r="B212" s="1058"/>
      <c r="C212" s="1648"/>
      <c r="D212" s="279" t="s">
        <v>356</v>
      </c>
      <c r="E212" s="1108"/>
      <c r="F212" s="1062"/>
      <c r="G212" s="68"/>
      <c r="H212" s="92"/>
      <c r="I212" s="272"/>
      <c r="J212" s="108"/>
      <c r="K212" s="92"/>
      <c r="L212" s="272"/>
      <c r="M212" s="66"/>
      <c r="N212" s="92"/>
      <c r="O212" s="272"/>
      <c r="P212" s="43"/>
      <c r="Q212" s="774"/>
      <c r="R212" s="272"/>
      <c r="S212" s="272"/>
      <c r="T212" s="108"/>
      <c r="U212" s="43"/>
    </row>
    <row r="213" spans="1:21" ht="15.75" customHeight="1" x14ac:dyDescent="0.2">
      <c r="A213" s="1057"/>
      <c r="B213" s="1058"/>
      <c r="C213" s="1648"/>
      <c r="D213" s="279" t="s">
        <v>266</v>
      </c>
      <c r="E213" s="1108"/>
      <c r="F213" s="1062"/>
      <c r="G213" s="68"/>
      <c r="H213" s="92"/>
      <c r="I213" s="272"/>
      <c r="J213" s="108"/>
      <c r="K213" s="92"/>
      <c r="L213" s="272"/>
      <c r="M213" s="66"/>
      <c r="N213" s="92"/>
      <c r="O213" s="272"/>
      <c r="P213" s="43"/>
      <c r="Q213" s="774"/>
      <c r="R213" s="272"/>
      <c r="S213" s="272"/>
      <c r="T213" s="108"/>
      <c r="U213" s="43"/>
    </row>
    <row r="214" spans="1:21" ht="16.5" customHeight="1" x14ac:dyDescent="0.2">
      <c r="A214" s="1057"/>
      <c r="B214" s="1058"/>
      <c r="C214" s="1649"/>
      <c r="D214" s="1064" t="s">
        <v>357</v>
      </c>
      <c r="E214" s="1108"/>
      <c r="F214" s="1062"/>
      <c r="G214" s="68"/>
      <c r="H214" s="92"/>
      <c r="I214" s="272"/>
      <c r="J214" s="108"/>
      <c r="K214" s="92"/>
      <c r="L214" s="272"/>
      <c r="M214" s="66"/>
      <c r="N214" s="92"/>
      <c r="O214" s="272"/>
      <c r="P214" s="43"/>
      <c r="Q214" s="1191"/>
      <c r="R214" s="45"/>
      <c r="S214" s="45"/>
      <c r="T214" s="170"/>
      <c r="U214" s="46"/>
    </row>
    <row r="215" spans="1:21" ht="29.25" customHeight="1" x14ac:dyDescent="0.2">
      <c r="A215" s="1057"/>
      <c r="B215" s="1058"/>
      <c r="C215" s="265"/>
      <c r="D215" s="1725" t="s">
        <v>112</v>
      </c>
      <c r="E215" s="1108"/>
      <c r="F215" s="1062"/>
      <c r="G215" s="68"/>
      <c r="H215" s="92"/>
      <c r="I215" s="272"/>
      <c r="J215" s="108"/>
      <c r="K215" s="92"/>
      <c r="L215" s="272"/>
      <c r="M215" s="66"/>
      <c r="N215" s="92"/>
      <c r="O215" s="272"/>
      <c r="P215" s="43"/>
      <c r="Q215" s="1232" t="s">
        <v>215</v>
      </c>
      <c r="R215" s="407">
        <v>0.2</v>
      </c>
      <c r="S215" s="407">
        <v>0.2</v>
      </c>
      <c r="T215" s="1152">
        <v>0.2</v>
      </c>
      <c r="U215" s="572"/>
    </row>
    <row r="216" spans="1:21" ht="26.25" customHeight="1" x14ac:dyDescent="0.2">
      <c r="A216" s="1057"/>
      <c r="B216" s="1058"/>
      <c r="C216" s="265"/>
      <c r="D216" s="1726"/>
      <c r="E216" s="1108"/>
      <c r="F216" s="1062"/>
      <c r="G216" s="68"/>
      <c r="H216" s="92"/>
      <c r="I216" s="272"/>
      <c r="J216" s="108"/>
      <c r="K216" s="92"/>
      <c r="L216" s="272"/>
      <c r="M216" s="66"/>
      <c r="N216" s="92"/>
      <c r="O216" s="272"/>
      <c r="P216" s="43"/>
      <c r="Q216" s="1233" t="s">
        <v>40</v>
      </c>
      <c r="R216" s="344">
        <v>4</v>
      </c>
      <c r="S216" s="344">
        <v>4</v>
      </c>
      <c r="T216" s="1153">
        <v>4</v>
      </c>
      <c r="U216" s="440"/>
    </row>
    <row r="217" spans="1:21" ht="17.25" customHeight="1" x14ac:dyDescent="0.2">
      <c r="A217" s="1057"/>
      <c r="B217" s="1058"/>
      <c r="C217" s="265"/>
      <c r="D217" s="1727"/>
      <c r="E217" s="1108"/>
      <c r="F217" s="1062"/>
      <c r="G217" s="282"/>
      <c r="H217" s="979"/>
      <c r="I217" s="707"/>
      <c r="J217" s="285"/>
      <c r="K217" s="979"/>
      <c r="L217" s="707"/>
      <c r="M217" s="342"/>
      <c r="N217" s="979"/>
      <c r="O217" s="707"/>
      <c r="P217" s="1215"/>
      <c r="Q217" s="812" t="s">
        <v>67</v>
      </c>
      <c r="R217" s="302">
        <v>54.6</v>
      </c>
      <c r="S217" s="302">
        <v>54.6</v>
      </c>
      <c r="T217" s="1154">
        <v>54.6</v>
      </c>
      <c r="U217" s="37"/>
    </row>
    <row r="218" spans="1:21" ht="15.75" customHeight="1" x14ac:dyDescent="0.2">
      <c r="A218" s="1736"/>
      <c r="B218" s="1731"/>
      <c r="C218" s="1732"/>
      <c r="D218" s="1737" t="s">
        <v>53</v>
      </c>
      <c r="E218" s="1108"/>
      <c r="F218" s="1062"/>
      <c r="G218" s="68"/>
      <c r="H218" s="92"/>
      <c r="I218" s="272"/>
      <c r="J218" s="108"/>
      <c r="K218" s="92"/>
      <c r="L218" s="272"/>
      <c r="M218" s="66"/>
      <c r="N218" s="92"/>
      <c r="O218" s="272"/>
      <c r="P218" s="43"/>
      <c r="Q218" s="1977" t="s">
        <v>206</v>
      </c>
      <c r="R218" s="40" t="s">
        <v>169</v>
      </c>
      <c r="S218" s="40" t="s">
        <v>169</v>
      </c>
      <c r="T218" s="705" t="s">
        <v>170</v>
      </c>
      <c r="U218" s="440"/>
    </row>
    <row r="219" spans="1:21" ht="21" customHeight="1" x14ac:dyDescent="0.2">
      <c r="A219" s="1736"/>
      <c r="B219" s="1731"/>
      <c r="C219" s="1732"/>
      <c r="D219" s="1738"/>
      <c r="E219" s="1108"/>
      <c r="F219" s="1062"/>
      <c r="G219" s="68"/>
      <c r="H219" s="92"/>
      <c r="I219" s="272"/>
      <c r="J219" s="108"/>
      <c r="K219" s="92"/>
      <c r="L219" s="272"/>
      <c r="M219" s="66"/>
      <c r="N219" s="92"/>
      <c r="O219" s="272"/>
      <c r="P219" s="43"/>
      <c r="Q219" s="1978"/>
      <c r="R219" s="45"/>
      <c r="S219" s="45"/>
      <c r="T219" s="170"/>
      <c r="U219" s="43"/>
    </row>
    <row r="220" spans="1:21" ht="14.25" customHeight="1" x14ac:dyDescent="0.2">
      <c r="A220" s="1736"/>
      <c r="B220" s="1731"/>
      <c r="C220" s="1732"/>
      <c r="D220" s="1739" t="s">
        <v>268</v>
      </c>
      <c r="E220" s="1733"/>
      <c r="F220" s="1732"/>
      <c r="G220" s="68"/>
      <c r="H220" s="92"/>
      <c r="I220" s="272"/>
      <c r="J220" s="108"/>
      <c r="K220" s="92"/>
      <c r="L220" s="272"/>
      <c r="M220" s="66"/>
      <c r="N220" s="92"/>
      <c r="O220" s="272"/>
      <c r="P220" s="43"/>
      <c r="Q220" s="1979" t="s">
        <v>377</v>
      </c>
      <c r="R220" s="53">
        <v>44.6</v>
      </c>
      <c r="S220" s="53">
        <v>44.6</v>
      </c>
      <c r="T220" s="483">
        <v>44.6</v>
      </c>
      <c r="U220" s="43"/>
    </row>
    <row r="221" spans="1:21" ht="15" customHeight="1" x14ac:dyDescent="0.2">
      <c r="A221" s="1736"/>
      <c r="B221" s="1731"/>
      <c r="C221" s="1732"/>
      <c r="D221" s="1684"/>
      <c r="E221" s="1733"/>
      <c r="F221" s="1732"/>
      <c r="G221" s="68"/>
      <c r="H221" s="92"/>
      <c r="I221" s="272"/>
      <c r="J221" s="108"/>
      <c r="K221" s="92"/>
      <c r="L221" s="272"/>
      <c r="M221" s="66"/>
      <c r="N221" s="92"/>
      <c r="O221" s="272"/>
      <c r="P221" s="43"/>
      <c r="Q221" s="1980"/>
      <c r="R221" s="180"/>
      <c r="S221" s="180"/>
      <c r="T221" s="180"/>
      <c r="U221" s="43"/>
    </row>
    <row r="222" spans="1:21" ht="21.75" customHeight="1" x14ac:dyDescent="0.2">
      <c r="A222" s="1736"/>
      <c r="B222" s="1731"/>
      <c r="C222" s="1732"/>
      <c r="D222" s="531"/>
      <c r="E222" s="1733"/>
      <c r="F222" s="1732"/>
      <c r="G222" s="68"/>
      <c r="H222" s="92"/>
      <c r="I222" s="272"/>
      <c r="J222" s="108"/>
      <c r="K222" s="92"/>
      <c r="L222" s="272"/>
      <c r="M222" s="66"/>
      <c r="N222" s="92"/>
      <c r="O222" s="272"/>
      <c r="P222" s="43"/>
      <c r="Q222" s="1975" t="s">
        <v>210</v>
      </c>
      <c r="R222" s="1676">
        <v>100</v>
      </c>
      <c r="S222" s="1680"/>
      <c r="T222" s="1996"/>
      <c r="U222" s="1756"/>
    </row>
    <row r="223" spans="1:21" ht="19.5" customHeight="1" x14ac:dyDescent="0.2">
      <c r="A223" s="1736"/>
      <c r="B223" s="1731"/>
      <c r="C223" s="1732"/>
      <c r="D223" s="454"/>
      <c r="E223" s="1733"/>
      <c r="F223" s="1732"/>
      <c r="G223" s="68"/>
      <c r="H223" s="92"/>
      <c r="I223" s="272"/>
      <c r="J223" s="108"/>
      <c r="K223" s="92"/>
      <c r="L223" s="272"/>
      <c r="M223" s="66"/>
      <c r="N223" s="92"/>
      <c r="O223" s="272"/>
      <c r="P223" s="43"/>
      <c r="Q223" s="1976"/>
      <c r="R223" s="1677"/>
      <c r="S223" s="1677"/>
      <c r="T223" s="1997"/>
      <c r="U223" s="1981"/>
    </row>
    <row r="224" spans="1:21" ht="18.75" customHeight="1" x14ac:dyDescent="0.2">
      <c r="A224" s="1057"/>
      <c r="B224" s="1058"/>
      <c r="C224" s="1060"/>
      <c r="D224" s="1758" t="s">
        <v>111</v>
      </c>
      <c r="E224" s="1108"/>
      <c r="F224" s="1062"/>
      <c r="G224" s="68"/>
      <c r="H224" s="92"/>
      <c r="I224" s="272"/>
      <c r="J224" s="108"/>
      <c r="K224" s="92"/>
      <c r="L224" s="272"/>
      <c r="M224" s="66"/>
      <c r="N224" s="92"/>
      <c r="O224" s="272"/>
      <c r="P224" s="43"/>
      <c r="Q224" s="1982" t="s">
        <v>200</v>
      </c>
      <c r="R224" s="408">
        <v>20</v>
      </c>
      <c r="S224" s="330">
        <v>15</v>
      </c>
      <c r="T224" s="384">
        <v>15</v>
      </c>
      <c r="U224" s="308"/>
    </row>
    <row r="225" spans="1:21" ht="14.25" customHeight="1" x14ac:dyDescent="0.2">
      <c r="A225" s="1057"/>
      <c r="B225" s="1058"/>
      <c r="C225" s="1060"/>
      <c r="D225" s="1759"/>
      <c r="E225" s="1108"/>
      <c r="F225" s="1062"/>
      <c r="G225" s="68"/>
      <c r="H225" s="92"/>
      <c r="I225" s="272"/>
      <c r="J225" s="108"/>
      <c r="K225" s="92"/>
      <c r="L225" s="272"/>
      <c r="M225" s="66"/>
      <c r="N225" s="92"/>
      <c r="O225" s="272"/>
      <c r="P225" s="43"/>
      <c r="Q225" s="1983"/>
      <c r="R225" s="22"/>
      <c r="S225" s="22"/>
      <c r="T225" s="387"/>
      <c r="U225" s="23"/>
    </row>
    <row r="226" spans="1:21" ht="40.5" customHeight="1" x14ac:dyDescent="0.2">
      <c r="A226" s="1066"/>
      <c r="B226" s="1058"/>
      <c r="C226" s="1062"/>
      <c r="D226" s="1061" t="s">
        <v>39</v>
      </c>
      <c r="E226" s="1108"/>
      <c r="F226" s="1062"/>
      <c r="G226" s="62"/>
      <c r="H226" s="95"/>
      <c r="I226" s="45"/>
      <c r="J226" s="170"/>
      <c r="K226" s="95"/>
      <c r="L226" s="45"/>
      <c r="M226" s="204"/>
      <c r="N226" s="95"/>
      <c r="O226" s="45"/>
      <c r="P226" s="46"/>
      <c r="Q226" s="1199" t="s">
        <v>55</v>
      </c>
      <c r="R226" s="1334" t="s">
        <v>383</v>
      </c>
      <c r="S226" s="1093">
        <v>15</v>
      </c>
      <c r="T226" s="1137">
        <v>15</v>
      </c>
      <c r="U226" s="1329" t="s">
        <v>396</v>
      </c>
    </row>
    <row r="227" spans="1:21" ht="14.25" customHeight="1" thickBot="1" x14ac:dyDescent="0.25">
      <c r="A227" s="75"/>
      <c r="B227" s="1103"/>
      <c r="C227" s="104"/>
      <c r="D227" s="775"/>
      <c r="E227" s="810"/>
      <c r="F227" s="56"/>
      <c r="G227" s="156" t="s">
        <v>6</v>
      </c>
      <c r="H227" s="246">
        <f t="shared" ref="H227:P227" si="27">SUM(H190:H226)</f>
        <v>5945.5</v>
      </c>
      <c r="I227" s="1173">
        <f t="shared" si="27"/>
        <v>5945.5</v>
      </c>
      <c r="J227" s="1173">
        <f t="shared" si="27"/>
        <v>0</v>
      </c>
      <c r="K227" s="246">
        <f t="shared" si="27"/>
        <v>4551.6000000000004</v>
      </c>
      <c r="L227" s="1173">
        <f t="shared" si="27"/>
        <v>4551.6000000000004</v>
      </c>
      <c r="M227" s="1173">
        <f t="shared" si="27"/>
        <v>0</v>
      </c>
      <c r="N227" s="246">
        <f t="shared" si="27"/>
        <v>4660</v>
      </c>
      <c r="O227" s="1173">
        <f t="shared" si="27"/>
        <v>4660</v>
      </c>
      <c r="P227" s="846">
        <f t="shared" si="27"/>
        <v>0</v>
      </c>
      <c r="Q227" s="1234"/>
      <c r="R227" s="221"/>
      <c r="S227" s="221"/>
      <c r="T227" s="218"/>
      <c r="U227" s="811"/>
    </row>
    <row r="228" spans="1:21" ht="28.5" customHeight="1" x14ac:dyDescent="0.2">
      <c r="A228" s="1066" t="s">
        <v>5</v>
      </c>
      <c r="B228" s="1058" t="s">
        <v>33</v>
      </c>
      <c r="C228" s="265" t="s">
        <v>7</v>
      </c>
      <c r="D228" s="1668" t="s">
        <v>182</v>
      </c>
      <c r="E228" s="1671"/>
      <c r="F228" s="1654" t="s">
        <v>43</v>
      </c>
      <c r="G228" s="68" t="s">
        <v>25</v>
      </c>
      <c r="H228" s="92">
        <f>100-30-34</f>
        <v>36</v>
      </c>
      <c r="I228" s="272">
        <f>100-30-34</f>
        <v>36</v>
      </c>
      <c r="J228" s="108"/>
      <c r="K228" s="92">
        <v>194.1</v>
      </c>
      <c r="L228" s="272">
        <v>194.1</v>
      </c>
      <c r="M228" s="66"/>
      <c r="N228" s="92"/>
      <c r="O228" s="272"/>
      <c r="P228" s="42"/>
      <c r="Q228" s="697" t="s">
        <v>192</v>
      </c>
      <c r="R228" s="238">
        <v>1</v>
      </c>
      <c r="S228" s="238"/>
      <c r="T228" s="637"/>
      <c r="U228" s="932"/>
    </row>
    <row r="229" spans="1:21" ht="27" customHeight="1" x14ac:dyDescent="0.2">
      <c r="A229" s="1066"/>
      <c r="B229" s="1058"/>
      <c r="C229" s="265"/>
      <c r="D229" s="1669"/>
      <c r="E229" s="1671"/>
      <c r="F229" s="1654"/>
      <c r="G229" s="68" t="s">
        <v>62</v>
      </c>
      <c r="H229" s="92">
        <v>64</v>
      </c>
      <c r="I229" s="272">
        <v>64</v>
      </c>
      <c r="J229" s="108"/>
      <c r="K229" s="92"/>
      <c r="L229" s="272"/>
      <c r="M229" s="66"/>
      <c r="N229" s="92"/>
      <c r="O229" s="272"/>
      <c r="P229" s="42"/>
      <c r="Q229" s="94" t="s">
        <v>328</v>
      </c>
      <c r="R229" s="27">
        <v>100</v>
      </c>
      <c r="S229" s="27"/>
      <c r="T229" s="396"/>
      <c r="U229" s="1330"/>
    </row>
    <row r="230" spans="1:21" ht="15.75" customHeight="1" x14ac:dyDescent="0.2">
      <c r="A230" s="1066"/>
      <c r="B230" s="1058"/>
      <c r="C230" s="265"/>
      <c r="D230" s="1669"/>
      <c r="E230" s="1671"/>
      <c r="F230" s="1655"/>
      <c r="G230" s="67"/>
      <c r="H230" s="95"/>
      <c r="I230" s="45"/>
      <c r="J230" s="170"/>
      <c r="K230" s="95"/>
      <c r="L230" s="45"/>
      <c r="M230" s="204"/>
      <c r="N230" s="95"/>
      <c r="O230" s="45"/>
      <c r="P230" s="44"/>
      <c r="Q230" s="1781" t="s">
        <v>187</v>
      </c>
      <c r="R230" s="40"/>
      <c r="S230" s="40" t="s">
        <v>117</v>
      </c>
      <c r="T230" s="705"/>
      <c r="U230" s="440"/>
    </row>
    <row r="231" spans="1:21" ht="17.25" customHeight="1" thickBot="1" x14ac:dyDescent="0.25">
      <c r="A231" s="75"/>
      <c r="B231" s="1103"/>
      <c r="C231" s="104"/>
      <c r="D231" s="1670"/>
      <c r="E231" s="1672"/>
      <c r="F231" s="1656"/>
      <c r="G231" s="156" t="s">
        <v>6</v>
      </c>
      <c r="H231" s="246">
        <f t="shared" ref="H231:M231" si="28">SUM(H228:H230)</f>
        <v>100</v>
      </c>
      <c r="I231" s="1173">
        <f t="shared" si="28"/>
        <v>100</v>
      </c>
      <c r="J231" s="1173">
        <f t="shared" si="28"/>
        <v>0</v>
      </c>
      <c r="K231" s="246">
        <f t="shared" si="28"/>
        <v>194.1</v>
      </c>
      <c r="L231" s="1173">
        <f t="shared" si="28"/>
        <v>194.1</v>
      </c>
      <c r="M231" s="1173">
        <f t="shared" si="28"/>
        <v>0</v>
      </c>
      <c r="N231" s="246">
        <f t="shared" ref="N231:O231" si="29">SUM(N228:N230)</f>
        <v>0</v>
      </c>
      <c r="O231" s="1173">
        <f t="shared" si="29"/>
        <v>0</v>
      </c>
      <c r="P231" s="459">
        <f t="shared" ref="P231" si="30">SUM(P228:P230)</f>
        <v>0</v>
      </c>
      <c r="Q231" s="1984"/>
      <c r="R231" s="237"/>
      <c r="S231" s="237"/>
      <c r="T231" s="1155"/>
      <c r="U231" s="1235"/>
    </row>
    <row r="232" spans="1:21" ht="14.25" customHeight="1" thickBot="1" x14ac:dyDescent="0.25">
      <c r="A232" s="75" t="s">
        <v>5</v>
      </c>
      <c r="B232" s="1103" t="s">
        <v>33</v>
      </c>
      <c r="C232" s="1659" t="s">
        <v>8</v>
      </c>
      <c r="D232" s="1659"/>
      <c r="E232" s="1659"/>
      <c r="F232" s="1659"/>
      <c r="G232" s="1660"/>
      <c r="H232" s="439">
        <f t="shared" ref="H232:O232" si="31">H231+H227</f>
        <v>6045.5</v>
      </c>
      <c r="I232" s="86">
        <f t="shared" ref="I232" si="32">I231+I227</f>
        <v>6045.5</v>
      </c>
      <c r="J232" s="86">
        <f>J231+J227</f>
        <v>0</v>
      </c>
      <c r="K232" s="439">
        <f t="shared" si="31"/>
        <v>4745.7</v>
      </c>
      <c r="L232" s="86">
        <f t="shared" ref="L232" si="33">L231+L227</f>
        <v>4745.7</v>
      </c>
      <c r="M232" s="86">
        <f t="shared" ref="M232" si="34">M231+M227</f>
        <v>0</v>
      </c>
      <c r="N232" s="439">
        <f t="shared" ref="N232" si="35">N231+N227</f>
        <v>4660</v>
      </c>
      <c r="O232" s="86">
        <f t="shared" si="31"/>
        <v>4660</v>
      </c>
      <c r="P232" s="329">
        <f t="shared" ref="P232" si="36">P231+P227</f>
        <v>0</v>
      </c>
      <c r="Q232" s="1985"/>
      <c r="R232" s="1661"/>
      <c r="S232" s="1661"/>
      <c r="T232" s="1661"/>
      <c r="U232" s="1662"/>
    </row>
    <row r="233" spans="1:21" ht="14.25" customHeight="1" thickBot="1" x14ac:dyDescent="0.25">
      <c r="A233" s="99" t="s">
        <v>5</v>
      </c>
      <c r="B233" s="1663" t="s">
        <v>9</v>
      </c>
      <c r="C233" s="1664"/>
      <c r="D233" s="1664"/>
      <c r="E233" s="1664"/>
      <c r="F233" s="1664"/>
      <c r="G233" s="1665"/>
      <c r="H233" s="75">
        <f t="shared" ref="H233:P233" si="37">H232+H188+H148+H112</f>
        <v>28111</v>
      </c>
      <c r="I233" s="1230">
        <f t="shared" si="37"/>
        <v>27065.7</v>
      </c>
      <c r="J233" s="1230">
        <f t="shared" ref="J233" si="38">J232+J188+J148+J112</f>
        <v>-1045.3</v>
      </c>
      <c r="K233" s="75">
        <f t="shared" si="37"/>
        <v>34451.300000000003</v>
      </c>
      <c r="L233" s="1230">
        <f t="shared" si="37"/>
        <v>37550</v>
      </c>
      <c r="M233" s="1230">
        <f t="shared" ref="M233" si="39">M232+M188+M148+M112</f>
        <v>3098.7</v>
      </c>
      <c r="N233" s="75">
        <f t="shared" si="37"/>
        <v>32765</v>
      </c>
      <c r="O233" s="1230">
        <f t="shared" si="37"/>
        <v>29741.7</v>
      </c>
      <c r="P233" s="1331">
        <f t="shared" si="37"/>
        <v>-3023.3</v>
      </c>
      <c r="Q233" s="1986"/>
      <c r="R233" s="1666"/>
      <c r="S233" s="1666"/>
      <c r="T233" s="1666"/>
      <c r="U233" s="1667"/>
    </row>
    <row r="234" spans="1:21" ht="14.25" customHeight="1" thickBot="1" x14ac:dyDescent="0.25">
      <c r="A234" s="110" t="s">
        <v>35</v>
      </c>
      <c r="B234" s="1722" t="s">
        <v>58</v>
      </c>
      <c r="C234" s="1723"/>
      <c r="D234" s="1723"/>
      <c r="E234" s="1723"/>
      <c r="F234" s="1723"/>
      <c r="G234" s="1724"/>
      <c r="H234" s="1229">
        <f t="shared" ref="H234:O234" si="40">SUM(H233)</f>
        <v>28111</v>
      </c>
      <c r="I234" s="1231">
        <f t="shared" ref="I234" si="41">SUM(I233)</f>
        <v>27065.7</v>
      </c>
      <c r="J234" s="1231">
        <f t="shared" ref="J234" si="42">SUM(J233)</f>
        <v>-1045.3</v>
      </c>
      <c r="K234" s="1229">
        <f>SUM(K233)</f>
        <v>34451.300000000003</v>
      </c>
      <c r="L234" s="1231">
        <f>SUM(L233)</f>
        <v>37550</v>
      </c>
      <c r="M234" s="1231">
        <f>SUM(M233)</f>
        <v>3098.7</v>
      </c>
      <c r="N234" s="1229">
        <f t="shared" ref="N234" si="43">SUM(N233)</f>
        <v>32765</v>
      </c>
      <c r="O234" s="1231">
        <f t="shared" si="40"/>
        <v>29741.7</v>
      </c>
      <c r="P234" s="1332">
        <f t="shared" ref="P234" si="44">SUM(P233)</f>
        <v>-3023.3</v>
      </c>
      <c r="Q234" s="1987"/>
      <c r="R234" s="1740"/>
      <c r="S234" s="1740"/>
      <c r="T234" s="1740"/>
      <c r="U234" s="1741"/>
    </row>
    <row r="235" spans="1:21" s="5" customFormat="1" ht="15" customHeight="1" x14ac:dyDescent="0.2">
      <c r="A235" s="828"/>
      <c r="B235" s="1112"/>
      <c r="C235" s="1112"/>
      <c r="D235" s="1112"/>
      <c r="E235" s="1112"/>
      <c r="F235" s="1112"/>
      <c r="G235" s="1112"/>
      <c r="H235" s="1112"/>
      <c r="I235" s="1112"/>
      <c r="J235" s="1112"/>
      <c r="K235" s="1112"/>
      <c r="L235" s="1112"/>
      <c r="M235" s="1112"/>
      <c r="N235" s="1112"/>
      <c r="O235" s="1112"/>
      <c r="P235" s="1112"/>
      <c r="Q235" s="1112"/>
      <c r="R235" s="1112"/>
      <c r="S235" s="1112"/>
      <c r="T235" s="1112"/>
      <c r="U235" s="1112"/>
    </row>
    <row r="236" spans="1:21" s="4" customFormat="1" ht="17.25" customHeight="1" x14ac:dyDescent="0.2">
      <c r="A236" s="1113"/>
      <c r="B236" s="1114"/>
      <c r="C236" s="1114"/>
      <c r="D236" s="1114"/>
      <c r="E236" s="1114"/>
      <c r="F236" s="1114"/>
      <c r="G236" s="1114"/>
      <c r="H236" s="1397"/>
      <c r="I236" s="1400"/>
      <c r="J236" s="1398"/>
      <c r="K236" s="1398"/>
      <c r="L236" s="1398"/>
      <c r="M236" s="1398"/>
      <c r="N236" s="1398"/>
      <c r="O236" s="1395"/>
      <c r="P236" s="1114"/>
      <c r="Q236" s="1114"/>
      <c r="R236" s="1113"/>
      <c r="S236" s="1113"/>
      <c r="T236" s="1113"/>
      <c r="U236" s="1113"/>
    </row>
    <row r="237" spans="1:21" s="5" customFormat="1" ht="15" customHeight="1" thickBot="1" x14ac:dyDescent="0.25">
      <c r="A237" s="1742" t="s">
        <v>13</v>
      </c>
      <c r="B237" s="1742"/>
      <c r="C237" s="1742"/>
      <c r="D237" s="1742"/>
      <c r="E237" s="1742"/>
      <c r="F237" s="1742"/>
      <c r="G237" s="1742"/>
      <c r="H237" s="171"/>
      <c r="I237" s="171"/>
      <c r="J237" s="171"/>
      <c r="K237" s="171"/>
      <c r="L237" s="171"/>
      <c r="M237" s="171"/>
      <c r="N237" s="171"/>
      <c r="O237" s="171"/>
      <c r="P237" s="171"/>
      <c r="Q237" s="111"/>
      <c r="R237" s="111"/>
      <c r="S237" s="111"/>
      <c r="T237" s="111"/>
      <c r="U237" s="111"/>
    </row>
    <row r="238" spans="1:21" ht="62.25" customHeight="1" thickBot="1" x14ac:dyDescent="0.25">
      <c r="A238" s="1998" t="s">
        <v>10</v>
      </c>
      <c r="B238" s="1999"/>
      <c r="C238" s="1999"/>
      <c r="D238" s="1999"/>
      <c r="E238" s="1999"/>
      <c r="F238" s="1999"/>
      <c r="G238" s="2000"/>
      <c r="H238" s="1253" t="s">
        <v>370</v>
      </c>
      <c r="I238" s="1254" t="s">
        <v>375</v>
      </c>
      <c r="J238" s="1255" t="s">
        <v>372</v>
      </c>
      <c r="K238" s="1256" t="s">
        <v>156</v>
      </c>
      <c r="L238" s="1254" t="s">
        <v>373</v>
      </c>
      <c r="M238" s="1255" t="s">
        <v>372</v>
      </c>
      <c r="N238" s="1256" t="s">
        <v>217</v>
      </c>
      <c r="O238" s="1257" t="s">
        <v>374</v>
      </c>
      <c r="P238" s="1255" t="s">
        <v>372</v>
      </c>
      <c r="Q238" s="14"/>
      <c r="R238" s="14"/>
      <c r="S238" s="14"/>
      <c r="T238" s="14"/>
      <c r="U238" s="14"/>
    </row>
    <row r="239" spans="1:21" ht="14.25" customHeight="1" x14ac:dyDescent="0.2">
      <c r="A239" s="1713" t="s">
        <v>14</v>
      </c>
      <c r="B239" s="1714"/>
      <c r="C239" s="1714"/>
      <c r="D239" s="1714"/>
      <c r="E239" s="1714"/>
      <c r="F239" s="1714"/>
      <c r="G239" s="1715"/>
      <c r="H239" s="1117">
        <f>H240+H246+H247+H248</f>
        <v>24849.1</v>
      </c>
      <c r="I239" s="1239">
        <f>I240+I246+I247+I248</f>
        <v>23803.9</v>
      </c>
      <c r="J239" s="1239">
        <f>J240+J246+J247+J248</f>
        <v>-1045.2</v>
      </c>
      <c r="K239" s="1240">
        <f>K240+K246+K247+K248</f>
        <v>31426.400000000001</v>
      </c>
      <c r="L239" s="1241">
        <f>L240+L246+L247+L248</f>
        <v>34347.199999999997</v>
      </c>
      <c r="M239" s="1242">
        <f>L239-K239</f>
        <v>2920.8</v>
      </c>
      <c r="N239" s="1387">
        <f>N240+N246+N247+N248</f>
        <v>30013.1</v>
      </c>
      <c r="O239" s="1241">
        <f>O240+O246+O247+O248</f>
        <v>26867.8</v>
      </c>
      <c r="P239" s="1393">
        <f>P240+P246+P247+P248</f>
        <v>-3145.3</v>
      </c>
      <c r="Q239" s="14"/>
      <c r="R239" s="14"/>
      <c r="S239" s="14"/>
      <c r="T239" s="14"/>
      <c r="U239" s="14"/>
    </row>
    <row r="240" spans="1:21" ht="14.25" customHeight="1" x14ac:dyDescent="0.2">
      <c r="A240" s="1716" t="s">
        <v>98</v>
      </c>
      <c r="B240" s="1717"/>
      <c r="C240" s="1717"/>
      <c r="D240" s="1717"/>
      <c r="E240" s="1717"/>
      <c r="F240" s="1717"/>
      <c r="G240" s="1718"/>
      <c r="H240" s="1110">
        <f>SUM(H241:H245)</f>
        <v>19087</v>
      </c>
      <c r="I240" s="1236">
        <f>SUM(I241:I245)</f>
        <v>16215.7</v>
      </c>
      <c r="J240" s="1236">
        <f>SUM(J241:J245)</f>
        <v>-2871.3</v>
      </c>
      <c r="K240" s="1243">
        <f>SUM(K241:K245)</f>
        <v>31426.400000000001</v>
      </c>
      <c r="L240" s="1244">
        <f>SUM(L241:L245)</f>
        <v>34347.199999999997</v>
      </c>
      <c r="M240" s="1245">
        <f t="shared" ref="M240:M254" si="45">L240-K240</f>
        <v>2920.8</v>
      </c>
      <c r="N240" s="1388">
        <f>SUM(N241:N245)</f>
        <v>30013.1</v>
      </c>
      <c r="O240" s="1244">
        <f>O241+O242+O243+O244+O245</f>
        <v>26866.799999999999</v>
      </c>
      <c r="P240" s="1394">
        <f>SUM(P241:P245)</f>
        <v>-3146.3</v>
      </c>
      <c r="Q240" s="14"/>
      <c r="R240" s="14"/>
      <c r="S240" s="14"/>
      <c r="T240" s="14"/>
      <c r="U240" s="14"/>
    </row>
    <row r="241" spans="1:21" ht="14.25" customHeight="1" x14ac:dyDescent="0.2">
      <c r="A241" s="1719" t="s">
        <v>19</v>
      </c>
      <c r="B241" s="1720"/>
      <c r="C241" s="1720"/>
      <c r="D241" s="1720"/>
      <c r="E241" s="1720"/>
      <c r="F241" s="1720"/>
      <c r="G241" s="1721"/>
      <c r="H241" s="1111">
        <f>SUMIF(G12:G234,"SB",H12:H234)</f>
        <v>11855.6</v>
      </c>
      <c r="I241" s="1237">
        <f>SUMIF(G12:G234,"SB",I12:I234)</f>
        <v>10077.9</v>
      </c>
      <c r="J241" s="1237">
        <f>SUMIF(G12:G234,"SB",J12:J234)</f>
        <v>-1777.7</v>
      </c>
      <c r="K241" s="1007">
        <f>SUMIF(G12:G234,"SB",K12:K234)</f>
        <v>18736.5</v>
      </c>
      <c r="L241" s="1008">
        <f>SUMIF(G12:G234,"SB",L12:L234)</f>
        <v>21007.3</v>
      </c>
      <c r="M241" s="1273">
        <f t="shared" si="45"/>
        <v>2270.8000000000002</v>
      </c>
      <c r="N241" s="1389">
        <f>SUMIF(G12:G234,"SB",N12:N234)</f>
        <v>22375.8</v>
      </c>
      <c r="O241" s="1008">
        <f>SUMIF(G12:G234,"SB",O12:O234)</f>
        <v>19179.5</v>
      </c>
      <c r="P241" s="1390">
        <f>O241-N241</f>
        <v>-3196.3</v>
      </c>
      <c r="Q241" s="14"/>
      <c r="R241" s="14"/>
      <c r="S241" s="14"/>
      <c r="T241" s="14"/>
      <c r="U241" s="14"/>
    </row>
    <row r="242" spans="1:21" ht="14.25" customHeight="1" x14ac:dyDescent="0.2">
      <c r="A242" s="1673" t="s">
        <v>20</v>
      </c>
      <c r="B242" s="1674"/>
      <c r="C242" s="1674"/>
      <c r="D242" s="1674"/>
      <c r="E242" s="1674"/>
      <c r="F242" s="1674"/>
      <c r="G242" s="1675"/>
      <c r="H242" s="1115">
        <f>SUMIF(G18:G234,"SB(P)",H18:H234)</f>
        <v>0</v>
      </c>
      <c r="I242" s="1237">
        <f>SUMIF(G18:G234,"SB(P)",I18:I234)</f>
        <v>0</v>
      </c>
      <c r="J242" s="1267">
        <f t="shared" ref="J242:J253" si="46">I242-H242</f>
        <v>0</v>
      </c>
      <c r="K242" s="1007">
        <f>SUMIF(G18:G234,"SB(P)",K18:K234)</f>
        <v>0</v>
      </c>
      <c r="L242" s="1008">
        <f>SUMIF(G18:G234,"SB(P)",L18:L234)</f>
        <v>0</v>
      </c>
      <c r="M242" s="1273">
        <f t="shared" si="45"/>
        <v>0</v>
      </c>
      <c r="N242" s="1389">
        <f>SUMIF(G18:G234,"SB(P)",N18:N234)</f>
        <v>0</v>
      </c>
      <c r="O242" s="1008">
        <f>SUMIF(G18:G234,"SB(P)",O18:O234)</f>
        <v>0</v>
      </c>
      <c r="P242" s="1273">
        <f t="shared" ref="P242:P254" si="47">O242-N242</f>
        <v>0</v>
      </c>
      <c r="Q242" s="14"/>
      <c r="R242" s="14"/>
      <c r="S242" s="14"/>
      <c r="T242" s="14"/>
      <c r="U242" s="14"/>
    </row>
    <row r="243" spans="1:21" ht="14.25" customHeight="1" x14ac:dyDescent="0.2">
      <c r="A243" s="1673" t="s">
        <v>71</v>
      </c>
      <c r="B243" s="1674"/>
      <c r="C243" s="1674"/>
      <c r="D243" s="1674"/>
      <c r="E243" s="1674"/>
      <c r="F243" s="1674"/>
      <c r="G243" s="1675"/>
      <c r="H243" s="1111">
        <f>SUMIF(G18:G234,"SB(VR)",H18:H234)</f>
        <v>1506.4</v>
      </c>
      <c r="I243" s="1237">
        <f>SUMIF(G18:G234,"SB(VR)",I18:I234)</f>
        <v>1506.4</v>
      </c>
      <c r="J243" s="1267">
        <f t="shared" si="46"/>
        <v>0</v>
      </c>
      <c r="K243" s="1007">
        <f>SUMIF(G18:G234,"SB(VR)",K18:K234)</f>
        <v>1160.4000000000001</v>
      </c>
      <c r="L243" s="1008">
        <f>SUMIF(G18:G234,"SB(VR)",L18:L234)</f>
        <v>1160.4000000000001</v>
      </c>
      <c r="M243" s="1273">
        <f t="shared" si="45"/>
        <v>0</v>
      </c>
      <c r="N243" s="1389">
        <f>SUMIF(G18:G234,"SB(VR)",N18:N234)</f>
        <v>1312.3</v>
      </c>
      <c r="O243" s="1008">
        <f>SUMIF(G18:G234,"SB(VR)",O18:O234)</f>
        <v>1312.3</v>
      </c>
      <c r="P243" s="1273">
        <f t="shared" si="47"/>
        <v>0</v>
      </c>
      <c r="Q243" s="14"/>
      <c r="R243" s="14"/>
      <c r="S243" s="14"/>
      <c r="T243" s="14"/>
      <c r="U243" s="14"/>
    </row>
    <row r="244" spans="1:21" ht="28.5" customHeight="1" x14ac:dyDescent="0.2">
      <c r="A244" s="1703" t="s">
        <v>360</v>
      </c>
      <c r="B244" s="1704"/>
      <c r="C244" s="1704"/>
      <c r="D244" s="1704"/>
      <c r="E244" s="1704"/>
      <c r="F244" s="1704"/>
      <c r="G244" s="1705"/>
      <c r="H244" s="1268">
        <f>SUMIF(G13:G226,"SB(ES)",H13:H226)</f>
        <v>640</v>
      </c>
      <c r="I244" s="1237">
        <f>SUMIF(G13:G226,"SB(ES)",I13:I226)</f>
        <v>640</v>
      </c>
      <c r="J244" s="1267">
        <f t="shared" ref="J244" si="48">I244-H244</f>
        <v>0</v>
      </c>
      <c r="K244" s="1007">
        <f>SUMIF(G13:G226,"SB(ES)",K13:K226)</f>
        <v>3624.5</v>
      </c>
      <c r="L244" s="1008">
        <f>SUMIF(G13:G226,"SB(ES)",L13:L226)</f>
        <v>3624.5</v>
      </c>
      <c r="M244" s="1273">
        <f t="shared" ref="M244" si="49">L244-K244</f>
        <v>0</v>
      </c>
      <c r="N244" s="1389">
        <f>SUMIF(G13:G226,"SB(ES)",N13:N226)</f>
        <v>0</v>
      </c>
      <c r="O244" s="1008">
        <f>SUMIF(G13:G226,"SB(ES)",O13:O226)</f>
        <v>0</v>
      </c>
      <c r="P244" s="1273">
        <f t="shared" ref="P244" si="50">O244-N244</f>
        <v>0</v>
      </c>
      <c r="Q244" s="14"/>
      <c r="R244" s="14"/>
      <c r="S244" s="14"/>
      <c r="T244" s="14"/>
      <c r="U244" s="14"/>
    </row>
    <row r="245" spans="1:21" ht="14.25" customHeight="1" x14ac:dyDescent="0.2">
      <c r="A245" s="1710" t="s">
        <v>105</v>
      </c>
      <c r="B245" s="1711"/>
      <c r="C245" s="1711"/>
      <c r="D245" s="1711"/>
      <c r="E245" s="1711"/>
      <c r="F245" s="1711"/>
      <c r="G245" s="1712"/>
      <c r="H245" s="1111">
        <f>SUMIF(G18:G233,"SB(KPP)",H18:H233)</f>
        <v>5085</v>
      </c>
      <c r="I245" s="1237">
        <f>SUMIF(G18:G233,"SB(KPP)",I18:I233)</f>
        <v>3991.4</v>
      </c>
      <c r="J245" s="1237">
        <f>SUMIF(G18:G233,"SB(KPP)",J18:J233)</f>
        <v>-1093.5999999999999</v>
      </c>
      <c r="K245" s="1007">
        <f>SUMIF(G18:G233,"SB(KPP)",K18:K233)</f>
        <v>7905</v>
      </c>
      <c r="L245" s="1008">
        <f>SUMIF(G15:G233,"SB(KPP)",L15:L233)</f>
        <v>8555</v>
      </c>
      <c r="M245" s="1273">
        <f t="shared" si="45"/>
        <v>650</v>
      </c>
      <c r="N245" s="1389">
        <f>SUMIF(G18:G233,"SB(KPP)",N18:N233)</f>
        <v>6325</v>
      </c>
      <c r="O245" s="1008">
        <f>SUMIF(G18:G233,"SB(KPP)",O18:O233)</f>
        <v>6375</v>
      </c>
      <c r="P245" s="1390">
        <f>O245-N245</f>
        <v>50</v>
      </c>
      <c r="Q245" s="14"/>
      <c r="R245" s="14"/>
      <c r="S245" s="14"/>
      <c r="T245" s="14"/>
      <c r="U245" s="14"/>
    </row>
    <row r="246" spans="1:21" ht="14.25" customHeight="1" x14ac:dyDescent="0.2">
      <c r="A246" s="1706" t="s">
        <v>103</v>
      </c>
      <c r="B246" s="1707"/>
      <c r="C246" s="1707"/>
      <c r="D246" s="1707"/>
      <c r="E246" s="1707"/>
      <c r="F246" s="1707"/>
      <c r="G246" s="1708"/>
      <c r="H246" s="1116">
        <f>SUMIF(G18:G233,"SB(VRL)",H18:H233)</f>
        <v>552.9</v>
      </c>
      <c r="I246" s="1238">
        <f>SUMIF(G18:G233,"SB(VRL)",I18:I233)</f>
        <v>768.9</v>
      </c>
      <c r="J246" s="1269">
        <f t="shared" si="46"/>
        <v>216</v>
      </c>
      <c r="K246" s="1246">
        <f>SUMIF(G21:G233,"SB(VRL)",K21:K233)</f>
        <v>0</v>
      </c>
      <c r="L246" s="1247">
        <f>SUMIF(G21:G233,"SB(VRL)",L21:L233)</f>
        <v>0</v>
      </c>
      <c r="M246" s="1274">
        <f t="shared" si="45"/>
        <v>0</v>
      </c>
      <c r="N246" s="1391">
        <f>SUMIF(G18:G233,"SB(VRL)",N18:N233)</f>
        <v>0</v>
      </c>
      <c r="O246" s="1247">
        <f>SUMIF(G18:G233,"SB(VRL)",O18:O233)</f>
        <v>0</v>
      </c>
      <c r="P246" s="1274">
        <f t="shared" si="47"/>
        <v>0</v>
      </c>
      <c r="Q246" s="14"/>
      <c r="R246" s="14"/>
      <c r="S246" s="14"/>
      <c r="T246" s="14"/>
      <c r="U246" s="14"/>
    </row>
    <row r="247" spans="1:21" ht="14.25" customHeight="1" x14ac:dyDescent="0.2">
      <c r="A247" s="1709" t="s">
        <v>104</v>
      </c>
      <c r="B247" s="1707"/>
      <c r="C247" s="1707"/>
      <c r="D247" s="1707"/>
      <c r="E247" s="1707"/>
      <c r="F247" s="1707"/>
      <c r="G247" s="1708"/>
      <c r="H247" s="1116">
        <f>SUMIF(G15:G234,"SB(ŽPL)",H15:H234)</f>
        <v>1122.7</v>
      </c>
      <c r="I247" s="1238">
        <f>SUMIF(G15:G234,"SB(ŽPL)",I15:I234)</f>
        <v>1526.3</v>
      </c>
      <c r="J247" s="1238">
        <f>SUMIF(G15:G234,"SB(ŽPL)",J15:J234)</f>
        <v>403.6</v>
      </c>
      <c r="K247" s="1246">
        <f>SUMIF(G10:G234,"SB(ŽPL)",K10:K234)</f>
        <v>0</v>
      </c>
      <c r="L247" s="1247">
        <f>SUMIF(G10:G234,"SB(ŽPL)",L10:L234)</f>
        <v>0</v>
      </c>
      <c r="M247" s="1274">
        <f t="shared" si="45"/>
        <v>0</v>
      </c>
      <c r="N247" s="1391">
        <f>SUMIF(G18:G234,"SB(ŽPL)",N18:N234)</f>
        <v>0</v>
      </c>
      <c r="O247" s="1247">
        <f>SUMIF(G18:G234,"SB(ŽPL)",O18:O234)</f>
        <v>0</v>
      </c>
      <c r="P247" s="1274">
        <f t="shared" si="47"/>
        <v>0</v>
      </c>
      <c r="Q247" s="14"/>
      <c r="R247" s="14"/>
      <c r="S247" s="14"/>
      <c r="T247" s="14"/>
      <c r="U247" s="14"/>
    </row>
    <row r="248" spans="1:21" ht="14.25" customHeight="1" x14ac:dyDescent="0.2">
      <c r="A248" s="1697" t="s">
        <v>224</v>
      </c>
      <c r="B248" s="1698"/>
      <c r="C248" s="1698"/>
      <c r="D248" s="1698"/>
      <c r="E248" s="1698"/>
      <c r="F248" s="1698"/>
      <c r="G248" s="1699"/>
      <c r="H248" s="1116">
        <f>SUMIF(G18:G234,"SB(L)",H18:H234)</f>
        <v>4086.5</v>
      </c>
      <c r="I248" s="1238">
        <f>SUMIF(G18:G234,"SB(L)",I18:I234)</f>
        <v>5293</v>
      </c>
      <c r="J248" s="1238">
        <f>SUMIF(G18:G234,"SB(L)",J18:J234)</f>
        <v>1206.5</v>
      </c>
      <c r="K248" s="1246">
        <f>SUMIF(G21:G234,"SB(L)",K21:K234)</f>
        <v>0</v>
      </c>
      <c r="L248" s="1247">
        <f>SUMIF(G21:G234,"SB(L)",L21:L234)</f>
        <v>0</v>
      </c>
      <c r="M248" s="1274">
        <f t="shared" si="45"/>
        <v>0</v>
      </c>
      <c r="N248" s="1391">
        <f>SUMIF(G18:G234,"SB(L)",N18:N234)</f>
        <v>0</v>
      </c>
      <c r="O248" s="1247">
        <f>SUMIF(G18:G232,"SB(L)",O18:O234)</f>
        <v>1</v>
      </c>
      <c r="P248" s="1274">
        <f t="shared" si="47"/>
        <v>1</v>
      </c>
      <c r="Q248" s="1411"/>
      <c r="R248" s="1411"/>
      <c r="S248" s="1411"/>
      <c r="T248" s="1411"/>
      <c r="U248" s="1411"/>
    </row>
    <row r="249" spans="1:21" ht="14.25" customHeight="1" x14ac:dyDescent="0.2">
      <c r="A249" s="1700" t="s">
        <v>15</v>
      </c>
      <c r="B249" s="1701"/>
      <c r="C249" s="1701"/>
      <c r="D249" s="1701"/>
      <c r="E249" s="1701"/>
      <c r="F249" s="1701"/>
      <c r="G249" s="1702"/>
      <c r="H249" s="1117">
        <f>SUM(H250:H253)</f>
        <v>3261.9</v>
      </c>
      <c r="I249" s="1239">
        <f>SUM(I250:I253)</f>
        <v>3261.8</v>
      </c>
      <c r="J249" s="1239">
        <f>SUM(J250:J253)</f>
        <v>-0.1</v>
      </c>
      <c r="K249" s="1240">
        <f>K251+K252+K253+K250</f>
        <v>3024.9</v>
      </c>
      <c r="L249" s="1241">
        <f>L251+L252+L253+L250</f>
        <v>3202.8</v>
      </c>
      <c r="M249" s="1242">
        <f t="shared" si="45"/>
        <v>177.9</v>
      </c>
      <c r="N249" s="1387">
        <f>N251+N252+N253+N250</f>
        <v>2751.9</v>
      </c>
      <c r="O249" s="1241">
        <f>O251+O252+O253+O250</f>
        <v>2873.9</v>
      </c>
      <c r="P249" s="1242">
        <f t="shared" si="47"/>
        <v>122</v>
      </c>
      <c r="Q249" s="14"/>
      <c r="R249" s="14"/>
      <c r="S249" s="14"/>
      <c r="T249" s="14"/>
      <c r="U249" s="14"/>
    </row>
    <row r="250" spans="1:21" ht="14.25" customHeight="1" x14ac:dyDescent="0.2">
      <c r="A250" s="1703" t="s">
        <v>21</v>
      </c>
      <c r="B250" s="1704"/>
      <c r="C250" s="1704"/>
      <c r="D250" s="1704"/>
      <c r="E250" s="1704"/>
      <c r="F250" s="1704"/>
      <c r="G250" s="1705"/>
      <c r="H250" s="1111">
        <f>SUMIF(G15:G234,"ES",H15:H234)</f>
        <v>1564</v>
      </c>
      <c r="I250" s="1237">
        <f>SUMIF(G15:G234,"ES",I15:I234)</f>
        <v>1564</v>
      </c>
      <c r="J250" s="1267">
        <f>I250-H250</f>
        <v>0</v>
      </c>
      <c r="K250" s="1007">
        <f>SUMIF(G15:G234,"ES",K15:K234)</f>
        <v>1480.3</v>
      </c>
      <c r="L250" s="1008">
        <f>SUMIF(G15:G234,"ES",L15:L234)</f>
        <v>1480.3</v>
      </c>
      <c r="M250" s="1273">
        <f t="shared" si="45"/>
        <v>0</v>
      </c>
      <c r="N250" s="1389">
        <f>SUMIF(G15:G234,"ES",N15:N234)</f>
        <v>1278.9000000000001</v>
      </c>
      <c r="O250" s="1008">
        <f>SUMIF(G15:G234,"ES",O15:O234)</f>
        <v>1278.9000000000001</v>
      </c>
      <c r="P250" s="1273">
        <f t="shared" si="47"/>
        <v>0</v>
      </c>
      <c r="Q250" s="14"/>
      <c r="R250" s="14"/>
      <c r="S250" s="14"/>
      <c r="T250" s="14"/>
      <c r="U250" s="14"/>
    </row>
    <row r="251" spans="1:21" ht="14.25" customHeight="1" x14ac:dyDescent="0.2">
      <c r="A251" s="1691" t="s">
        <v>22</v>
      </c>
      <c r="B251" s="1692"/>
      <c r="C251" s="1692"/>
      <c r="D251" s="1692"/>
      <c r="E251" s="1692"/>
      <c r="F251" s="1692"/>
      <c r="G251" s="1693"/>
      <c r="H251" s="1111">
        <f>SUMIF(G18:G234,"KVJUD",H18:H234)</f>
        <v>1593.4</v>
      </c>
      <c r="I251" s="1237">
        <f>SUMIF(G18:G234,"KVJUD",I18:I234)</f>
        <v>1593.4</v>
      </c>
      <c r="J251" s="1267">
        <f t="shared" si="46"/>
        <v>0</v>
      </c>
      <c r="K251" s="1007">
        <f>SUMIF(G18:G234,"KVJUD",K18:K234)</f>
        <v>1322.1</v>
      </c>
      <c r="L251" s="1008">
        <f>SUMIF(G18:G234,"KVJUD",L18:L234)</f>
        <v>1500</v>
      </c>
      <c r="M251" s="1273">
        <f t="shared" si="45"/>
        <v>177.9</v>
      </c>
      <c r="N251" s="1389">
        <f>SUMIF(G18:G234,"KVJUD",N18:N234)</f>
        <v>1378</v>
      </c>
      <c r="O251" s="1008">
        <f>SUMIF(G18:G234,"KVJUD",O18:O234)</f>
        <v>1500</v>
      </c>
      <c r="P251" s="1390">
        <f>SUMIF(G18:G234,"KVJUD",P18:P234)</f>
        <v>122</v>
      </c>
      <c r="Q251" s="54"/>
      <c r="R251" s="54"/>
      <c r="S251" s="54"/>
      <c r="T251" s="54"/>
      <c r="U251" s="54"/>
    </row>
    <row r="252" spans="1:21" ht="14.25" customHeight="1" x14ac:dyDescent="0.2">
      <c r="A252" s="1673" t="s">
        <v>23</v>
      </c>
      <c r="B252" s="1674"/>
      <c r="C252" s="1674"/>
      <c r="D252" s="1674"/>
      <c r="E252" s="1674"/>
      <c r="F252" s="1674"/>
      <c r="G252" s="1675"/>
      <c r="H252" s="1111">
        <f>SUMIF(G18:G234,"LRVB",H18:H234)</f>
        <v>0</v>
      </c>
      <c r="I252" s="1237">
        <f>SUMIF(G18:G234,"LRVB",I18:I234)</f>
        <v>0</v>
      </c>
      <c r="J252" s="1267">
        <f t="shared" si="46"/>
        <v>0</v>
      </c>
      <c r="K252" s="1007">
        <f>SUMIF(G18:G234,"LRVB",K18:K234)</f>
        <v>0</v>
      </c>
      <c r="L252" s="1008">
        <f>SUMIF(G18:G234,"LRVB",L18:L234)</f>
        <v>0</v>
      </c>
      <c r="M252" s="1273">
        <f t="shared" si="45"/>
        <v>0</v>
      </c>
      <c r="N252" s="1389">
        <f>SUMIF(G18:G234,"LRVB",N18:N234)</f>
        <v>0</v>
      </c>
      <c r="O252" s="1008">
        <f>SUMIF(G18:G234,"LRVB",O18:O234)</f>
        <v>0</v>
      </c>
      <c r="P252" s="1273">
        <f t="shared" si="47"/>
        <v>0</v>
      </c>
      <c r="Q252" s="54"/>
      <c r="R252" s="54"/>
      <c r="S252" s="54"/>
      <c r="T252" s="54"/>
      <c r="U252" s="54"/>
    </row>
    <row r="253" spans="1:21" ht="14.25" customHeight="1" x14ac:dyDescent="0.2">
      <c r="A253" s="1694" t="s">
        <v>24</v>
      </c>
      <c r="B253" s="1695"/>
      <c r="C253" s="1695"/>
      <c r="D253" s="1695"/>
      <c r="E253" s="1695"/>
      <c r="F253" s="1695"/>
      <c r="G253" s="1696"/>
      <c r="H253" s="1111">
        <f>SUMIF(G18:G234,"Kt",H18:H234)</f>
        <v>104.5</v>
      </c>
      <c r="I253" s="1237">
        <f>SUMIF(G18:G234,"Kt",I18:I234)</f>
        <v>104.4</v>
      </c>
      <c r="J253" s="1267">
        <f t="shared" si="46"/>
        <v>-0.1</v>
      </c>
      <c r="K253" s="1007">
        <f>SUMIF(G18:G234,"Kt",K18:K234)</f>
        <v>222.5</v>
      </c>
      <c r="L253" s="1008">
        <f>SUMIF(G18:G234,"Kt",L18:L234)</f>
        <v>222.5</v>
      </c>
      <c r="M253" s="1273">
        <f t="shared" si="45"/>
        <v>0</v>
      </c>
      <c r="N253" s="1389">
        <f>SUMIF(G18:G234,"Kt",N18:N234)</f>
        <v>95</v>
      </c>
      <c r="O253" s="1008">
        <f>SUMIF(G18:G234,"Kt",O18:O234)</f>
        <v>95</v>
      </c>
      <c r="P253" s="1273">
        <f>O253-N253</f>
        <v>0</v>
      </c>
      <c r="Q253" s="54"/>
      <c r="R253" s="54"/>
      <c r="S253" s="54"/>
      <c r="T253" s="54"/>
      <c r="U253" s="54"/>
    </row>
    <row r="254" spans="1:21" ht="14.25" customHeight="1" thickBot="1" x14ac:dyDescent="0.25">
      <c r="A254" s="1642" t="s">
        <v>16</v>
      </c>
      <c r="B254" s="1643"/>
      <c r="C254" s="1643"/>
      <c r="D254" s="1643"/>
      <c r="E254" s="1643"/>
      <c r="F254" s="1643"/>
      <c r="G254" s="1644"/>
      <c r="H254" s="1248">
        <f>SUM(H239,H249)</f>
        <v>28111</v>
      </c>
      <c r="I254" s="1249">
        <f>SUM(I239,I249)</f>
        <v>27065.7</v>
      </c>
      <c r="J254" s="1249">
        <f>SUM(J239,J249)</f>
        <v>-1045.3</v>
      </c>
      <c r="K254" s="1250">
        <f>SUM(K239,K249)</f>
        <v>34451.300000000003</v>
      </c>
      <c r="L254" s="1251">
        <f>SUM(L239,L249)</f>
        <v>37550</v>
      </c>
      <c r="M254" s="1252">
        <f t="shared" si="45"/>
        <v>3098.7</v>
      </c>
      <c r="N254" s="1392">
        <f>SUM(N239,N249)</f>
        <v>32765</v>
      </c>
      <c r="O254" s="1251">
        <f>SUM(O239,O249)</f>
        <v>29741.7</v>
      </c>
      <c r="P254" s="1252">
        <f t="shared" si="47"/>
        <v>-3023.3</v>
      </c>
      <c r="Q254" s="54"/>
      <c r="R254" s="54"/>
      <c r="S254" s="54"/>
      <c r="T254" s="54"/>
      <c r="U254" s="54"/>
    </row>
    <row r="255" spans="1:21" x14ac:dyDescent="0.2">
      <c r="F255" s="1270"/>
      <c r="G255" s="1271"/>
      <c r="H255" s="1272"/>
      <c r="I255" s="1272"/>
      <c r="J255" s="1272"/>
      <c r="K255" s="1272"/>
      <c r="L255" s="1272"/>
      <c r="M255" s="1272"/>
      <c r="N255" s="1272"/>
      <c r="O255" s="1272"/>
      <c r="P255" s="1272"/>
      <c r="Q255" s="4"/>
    </row>
    <row r="256" spans="1:21" x14ac:dyDescent="0.2">
      <c r="F256" s="1988" t="s">
        <v>361</v>
      </c>
      <c r="G256" s="1988"/>
      <c r="H256" s="1988"/>
      <c r="I256" s="1988"/>
      <c r="J256" s="1988"/>
      <c r="K256" s="1988"/>
      <c r="L256" s="1396"/>
      <c r="M256" s="1396"/>
      <c r="N256" s="4"/>
      <c r="O256" s="1410"/>
      <c r="P256" s="4"/>
      <c r="Q256" s="4"/>
    </row>
    <row r="257" spans="1:21" x14ac:dyDescent="0.2">
      <c r="F257" s="1270"/>
      <c r="G257" s="1271"/>
      <c r="H257" s="1410"/>
      <c r="I257" s="1410"/>
      <c r="J257" s="1410"/>
      <c r="K257" s="1410"/>
      <c r="L257" s="1410"/>
      <c r="M257" s="1410"/>
      <c r="N257" s="1410"/>
      <c r="O257" s="1410"/>
      <c r="P257" s="1410"/>
      <c r="Q257" s="4"/>
    </row>
    <row r="258" spans="1:21" x14ac:dyDescent="0.2">
      <c r="A258" s="1"/>
      <c r="B258" s="1"/>
      <c r="C258" s="441"/>
      <c r="D258" s="1"/>
      <c r="E258" s="1"/>
      <c r="F258" s="1"/>
      <c r="G258" s="1"/>
      <c r="H258" s="54"/>
      <c r="I258" s="54"/>
      <c r="J258" s="54"/>
      <c r="K258" s="54"/>
      <c r="L258" s="54"/>
      <c r="M258" s="54"/>
      <c r="N258" s="54"/>
      <c r="O258" s="54"/>
      <c r="P258" s="54"/>
      <c r="Q258" s="1"/>
      <c r="R258" s="1"/>
      <c r="S258" s="1"/>
      <c r="T258" s="1"/>
      <c r="U258" s="1"/>
    </row>
    <row r="259" spans="1:21" x14ac:dyDescent="0.2">
      <c r="A259" s="1"/>
      <c r="B259" s="1"/>
      <c r="C259" s="441"/>
      <c r="D259" s="1"/>
      <c r="E259" s="1"/>
      <c r="F259" s="1"/>
      <c r="G259" s="1"/>
      <c r="H259" s="54"/>
      <c r="I259" s="54"/>
      <c r="J259" s="54"/>
      <c r="K259" s="54"/>
      <c r="L259" s="54"/>
      <c r="M259" s="54"/>
      <c r="N259" s="54"/>
      <c r="O259" s="54"/>
      <c r="P259" s="54"/>
      <c r="Q259" s="1"/>
      <c r="R259" s="1"/>
      <c r="S259" s="1"/>
      <c r="T259" s="1"/>
      <c r="U259" s="1"/>
    </row>
  </sheetData>
  <mergeCells count="290">
    <mergeCell ref="T92:T93"/>
    <mergeCell ref="D73:D76"/>
    <mergeCell ref="E73:E76"/>
    <mergeCell ref="F73:F76"/>
    <mergeCell ref="D64:D66"/>
    <mergeCell ref="E64:E66"/>
    <mergeCell ref="F64:F66"/>
    <mergeCell ref="E134:E135"/>
    <mergeCell ref="F134:F135"/>
    <mergeCell ref="Q129:Q130"/>
    <mergeCell ref="D119:D120"/>
    <mergeCell ref="D123:D124"/>
    <mergeCell ref="D127:D128"/>
    <mergeCell ref="D100:D101"/>
    <mergeCell ref="D102:D104"/>
    <mergeCell ref="D106:D107"/>
    <mergeCell ref="C112:G112"/>
    <mergeCell ref="D108:D109"/>
    <mergeCell ref="R129:R130"/>
    <mergeCell ref="S129:S130"/>
    <mergeCell ref="U129:U130"/>
    <mergeCell ref="U23:U25"/>
    <mergeCell ref="T94:T95"/>
    <mergeCell ref="D94:D95"/>
    <mergeCell ref="D96:D97"/>
    <mergeCell ref="U96:U97"/>
    <mergeCell ref="U94:U95"/>
    <mergeCell ref="U87:U89"/>
    <mergeCell ref="U73:U76"/>
    <mergeCell ref="S73:S74"/>
    <mergeCell ref="R73:R74"/>
    <mergeCell ref="U33:U34"/>
    <mergeCell ref="D83:D85"/>
    <mergeCell ref="E83:E86"/>
    <mergeCell ref="D87:D89"/>
    <mergeCell ref="D90:D91"/>
    <mergeCell ref="D92:D93"/>
    <mergeCell ref="D69:D70"/>
    <mergeCell ref="F69:F70"/>
    <mergeCell ref="U31:U32"/>
    <mergeCell ref="Q31:Q32"/>
    <mergeCell ref="E114:E116"/>
    <mergeCell ref="E47:E48"/>
    <mergeCell ref="F47:F48"/>
    <mergeCell ref="Q136:Q137"/>
    <mergeCell ref="Q134:Q135"/>
    <mergeCell ref="U58:U63"/>
    <mergeCell ref="U83:U86"/>
    <mergeCell ref="U47:U48"/>
    <mergeCell ref="U90:U91"/>
    <mergeCell ref="Q92:Q93"/>
    <mergeCell ref="Q87:Q88"/>
    <mergeCell ref="Q77:Q78"/>
    <mergeCell ref="Q73:Q74"/>
    <mergeCell ref="Q75:Q76"/>
    <mergeCell ref="Q58:Q59"/>
    <mergeCell ref="Q65:Q66"/>
    <mergeCell ref="Q123:Q124"/>
    <mergeCell ref="Q127:Q128"/>
    <mergeCell ref="Q108:Q110"/>
    <mergeCell ref="C113:U113"/>
    <mergeCell ref="U114:U117"/>
    <mergeCell ref="U123:U124"/>
    <mergeCell ref="F67:F68"/>
    <mergeCell ref="D58:D61"/>
    <mergeCell ref="D67:D68"/>
    <mergeCell ref="E67:E68"/>
    <mergeCell ref="D47:D48"/>
    <mergeCell ref="F256:K256"/>
    <mergeCell ref="I8:I10"/>
    <mergeCell ref="L8:L10"/>
    <mergeCell ref="N8:N10"/>
    <mergeCell ref="T129:T130"/>
    <mergeCell ref="T162:T163"/>
    <mergeCell ref="T222:T223"/>
    <mergeCell ref="Q8:T8"/>
    <mergeCell ref="R9:T9"/>
    <mergeCell ref="J8:J10"/>
    <mergeCell ref="A249:G249"/>
    <mergeCell ref="A250:G250"/>
    <mergeCell ref="A251:G251"/>
    <mergeCell ref="A252:G252"/>
    <mergeCell ref="A253:G253"/>
    <mergeCell ref="A254:G254"/>
    <mergeCell ref="A243:G243"/>
    <mergeCell ref="A245:G245"/>
    <mergeCell ref="A246:G246"/>
    <mergeCell ref="A247:G247"/>
    <mergeCell ref="A248:G248"/>
    <mergeCell ref="A237:G237"/>
    <mergeCell ref="A238:G238"/>
    <mergeCell ref="A239:G239"/>
    <mergeCell ref="A240:G240"/>
    <mergeCell ref="A241:G241"/>
    <mergeCell ref="A242:G242"/>
    <mergeCell ref="A244:G244"/>
    <mergeCell ref="C232:G232"/>
    <mergeCell ref="Q232:U232"/>
    <mergeCell ref="B233:G233"/>
    <mergeCell ref="Q233:U233"/>
    <mergeCell ref="B234:G234"/>
    <mergeCell ref="Q234:U234"/>
    <mergeCell ref="R222:R223"/>
    <mergeCell ref="S222:S223"/>
    <mergeCell ref="U222:U223"/>
    <mergeCell ref="D224:D225"/>
    <mergeCell ref="Q224:Q225"/>
    <mergeCell ref="D228:D231"/>
    <mergeCell ref="E228:E231"/>
    <mergeCell ref="F228:F231"/>
    <mergeCell ref="Q230:Q231"/>
    <mergeCell ref="A220:A223"/>
    <mergeCell ref="B220:B223"/>
    <mergeCell ref="C220:C223"/>
    <mergeCell ref="E220:E223"/>
    <mergeCell ref="F220:F223"/>
    <mergeCell ref="Q222:Q223"/>
    <mergeCell ref="D215:D217"/>
    <mergeCell ref="A218:A219"/>
    <mergeCell ref="B218:B219"/>
    <mergeCell ref="C218:C219"/>
    <mergeCell ref="D218:D219"/>
    <mergeCell ref="Q218:Q219"/>
    <mergeCell ref="Q220:Q221"/>
    <mergeCell ref="D220:D221"/>
    <mergeCell ref="C188:G188"/>
    <mergeCell ref="Q188:U188"/>
    <mergeCell ref="C189:U189"/>
    <mergeCell ref="C195:C202"/>
    <mergeCell ref="C203:C210"/>
    <mergeCell ref="C211:C214"/>
    <mergeCell ref="F180:F181"/>
    <mergeCell ref="A182:A184"/>
    <mergeCell ref="B182:B184"/>
    <mergeCell ref="C182:C184"/>
    <mergeCell ref="D182:D184"/>
    <mergeCell ref="E182:E183"/>
    <mergeCell ref="U190:U193"/>
    <mergeCell ref="U182:U184"/>
    <mergeCell ref="A178:A179"/>
    <mergeCell ref="B178:B179"/>
    <mergeCell ref="C178:C179"/>
    <mergeCell ref="D178:D179"/>
    <mergeCell ref="E178:E179"/>
    <mergeCell ref="A180:A181"/>
    <mergeCell ref="B180:B181"/>
    <mergeCell ref="C180:C181"/>
    <mergeCell ref="D180:D181"/>
    <mergeCell ref="E180:E181"/>
    <mergeCell ref="D171:D174"/>
    <mergeCell ref="A175:A177"/>
    <mergeCell ref="B175:B177"/>
    <mergeCell ref="C175:C177"/>
    <mergeCell ref="D175:D177"/>
    <mergeCell ref="E175:E177"/>
    <mergeCell ref="U162:U163"/>
    <mergeCell ref="D164:D165"/>
    <mergeCell ref="D166:D167"/>
    <mergeCell ref="Q166:Q167"/>
    <mergeCell ref="A168:A170"/>
    <mergeCell ref="B168:B170"/>
    <mergeCell ref="C168:C170"/>
    <mergeCell ref="D168:D170"/>
    <mergeCell ref="E168:E170"/>
    <mergeCell ref="F168:F170"/>
    <mergeCell ref="D155:D160"/>
    <mergeCell ref="E155:E157"/>
    <mergeCell ref="D162:D163"/>
    <mergeCell ref="Q162:Q163"/>
    <mergeCell ref="R162:R163"/>
    <mergeCell ref="S162:S163"/>
    <mergeCell ref="E145:E147"/>
    <mergeCell ref="F145:F147"/>
    <mergeCell ref="C148:G148"/>
    <mergeCell ref="Q148:U148"/>
    <mergeCell ref="C149:U149"/>
    <mergeCell ref="D150:D152"/>
    <mergeCell ref="U150:U153"/>
    <mergeCell ref="D138:D139"/>
    <mergeCell ref="A145:A147"/>
    <mergeCell ref="B145:B147"/>
    <mergeCell ref="C145:C147"/>
    <mergeCell ref="D145:D147"/>
    <mergeCell ref="A134:A135"/>
    <mergeCell ref="B134:B135"/>
    <mergeCell ref="C134:C135"/>
    <mergeCell ref="D134:D135"/>
    <mergeCell ref="D136:D137"/>
    <mergeCell ref="A131:A133"/>
    <mergeCell ref="B131:B133"/>
    <mergeCell ref="C131:C133"/>
    <mergeCell ref="D131:D133"/>
    <mergeCell ref="E131:E133"/>
    <mergeCell ref="F131:F133"/>
    <mergeCell ref="A129:A130"/>
    <mergeCell ref="B129:B130"/>
    <mergeCell ref="C129:C130"/>
    <mergeCell ref="D129:D130"/>
    <mergeCell ref="E129:E130"/>
    <mergeCell ref="F129:F130"/>
    <mergeCell ref="A79:A81"/>
    <mergeCell ref="B79:B81"/>
    <mergeCell ref="C79:C81"/>
    <mergeCell ref="D79:D81"/>
    <mergeCell ref="E79:E81"/>
    <mergeCell ref="F79:F81"/>
    <mergeCell ref="Q80:Q81"/>
    <mergeCell ref="A77:A78"/>
    <mergeCell ref="B77:B78"/>
    <mergeCell ref="C77:C78"/>
    <mergeCell ref="D77:D78"/>
    <mergeCell ref="E77:E78"/>
    <mergeCell ref="F77:F78"/>
    <mergeCell ref="A58:A63"/>
    <mergeCell ref="B58:B63"/>
    <mergeCell ref="C58:C63"/>
    <mergeCell ref="E58:E63"/>
    <mergeCell ref="F58:F63"/>
    <mergeCell ref="D49:D50"/>
    <mergeCell ref="D51:D52"/>
    <mergeCell ref="E51:E52"/>
    <mergeCell ref="F51:F52"/>
    <mergeCell ref="D54:D57"/>
    <mergeCell ref="E54:E57"/>
    <mergeCell ref="Q23:Q24"/>
    <mergeCell ref="E24:E26"/>
    <mergeCell ref="A45:A46"/>
    <mergeCell ref="B45:B46"/>
    <mergeCell ref="C45:C46"/>
    <mergeCell ref="D45:D46"/>
    <mergeCell ref="F45:F46"/>
    <mergeCell ref="F21:F22"/>
    <mergeCell ref="Q35:Q36"/>
    <mergeCell ref="D38:D39"/>
    <mergeCell ref="E38:E40"/>
    <mergeCell ref="A41:A44"/>
    <mergeCell ref="B41:B44"/>
    <mergeCell ref="C41:C44"/>
    <mergeCell ref="D41:D44"/>
    <mergeCell ref="F41:F44"/>
    <mergeCell ref="D31:D32"/>
    <mergeCell ref="D33:D34"/>
    <mergeCell ref="F33:F34"/>
    <mergeCell ref="D35:D36"/>
    <mergeCell ref="D21:D22"/>
    <mergeCell ref="A4:U4"/>
    <mergeCell ref="A5:U5"/>
    <mergeCell ref="A6:U6"/>
    <mergeCell ref="Q7:U7"/>
    <mergeCell ref="A8:A10"/>
    <mergeCell ref="B8:B10"/>
    <mergeCell ref="C8:C10"/>
    <mergeCell ref="D8:D10"/>
    <mergeCell ref="E8:E10"/>
    <mergeCell ref="Q9:Q10"/>
    <mergeCell ref="M8:M10"/>
    <mergeCell ref="P8:P10"/>
    <mergeCell ref="A18:A20"/>
    <mergeCell ref="B18:B20"/>
    <mergeCell ref="C18:C20"/>
    <mergeCell ref="D18:D20"/>
    <mergeCell ref="F18:F20"/>
    <mergeCell ref="E19:E20"/>
    <mergeCell ref="D29:D30"/>
    <mergeCell ref="E29:E30"/>
    <mergeCell ref="D23:D26"/>
    <mergeCell ref="U92:U93"/>
    <mergeCell ref="U45:U46"/>
    <mergeCell ref="R65:R66"/>
    <mergeCell ref="U64:U66"/>
    <mergeCell ref="D15:D16"/>
    <mergeCell ref="E15:E17"/>
    <mergeCell ref="F8:F10"/>
    <mergeCell ref="G8:G10"/>
    <mergeCell ref="H8:H10"/>
    <mergeCell ref="K8:K10"/>
    <mergeCell ref="O8:O10"/>
    <mergeCell ref="A11:U11"/>
    <mergeCell ref="A12:U12"/>
    <mergeCell ref="B13:U13"/>
    <mergeCell ref="C14:U14"/>
    <mergeCell ref="A27:A28"/>
    <mergeCell ref="B27:B28"/>
    <mergeCell ref="C27:C28"/>
    <mergeCell ref="D27:D28"/>
    <mergeCell ref="F27:F28"/>
    <mergeCell ref="Q19:Q20"/>
    <mergeCell ref="A21:A22"/>
    <mergeCell ref="B21:B22"/>
    <mergeCell ref="C21:C22"/>
  </mergeCells>
  <printOptions horizontalCentered="1"/>
  <pageMargins left="0.19685039370078741" right="0.19685039370078741" top="0.59055118110236227" bottom="0" header="0" footer="0"/>
  <pageSetup paperSize="9" scale="68" orientation="landscape" r:id="rId1"/>
  <headerFooter alignWithMargins="0"/>
  <rowBreaks count="5" manualBreakCount="5">
    <brk id="61" max="20" man="1"/>
    <brk id="112" max="20" man="1"/>
    <brk id="140" max="20" man="1"/>
    <brk id="174" max="20" man="1"/>
    <brk id="202"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68"/>
  <sheetViews>
    <sheetView view="pageBreakPreview" topLeftCell="A61" zoomScaleNormal="100" zoomScaleSheetLayoutView="100" workbookViewId="0">
      <selection activeCell="V82" sqref="V81:W82"/>
    </sheetView>
  </sheetViews>
  <sheetFormatPr defaultRowHeight="12.75" x14ac:dyDescent="0.2"/>
  <cols>
    <col min="1" max="3" width="2.7109375" style="2" customWidth="1"/>
    <col min="4" max="4" width="3.140625" style="2" customWidth="1"/>
    <col min="5" max="5" width="36.28515625" style="2" customWidth="1"/>
    <col min="6" max="6" width="2.85546875" style="8" customWidth="1"/>
    <col min="7" max="7" width="0.140625" style="8" hidden="1" customWidth="1"/>
    <col min="8" max="8" width="3" style="11" customWidth="1"/>
    <col min="9" max="9" width="12.28515625" style="11" customWidth="1"/>
    <col min="10" max="10" width="7.85546875" style="3" customWidth="1"/>
    <col min="11" max="11" width="8.28515625" style="2" customWidth="1"/>
    <col min="12" max="12" width="8.85546875" style="2" customWidth="1"/>
    <col min="13" max="14" width="9" style="2" customWidth="1"/>
    <col min="15" max="15" width="38.7109375" style="2" customWidth="1"/>
    <col min="16" max="16" width="4" style="2" customWidth="1"/>
    <col min="17" max="19" width="3.85546875" style="2" customWidth="1"/>
    <col min="20" max="20" width="10.5703125" style="1" customWidth="1"/>
    <col min="21" max="16384" width="9.140625" style="1"/>
  </cols>
  <sheetData>
    <row r="1" spans="1:19" s="173" customFormat="1" ht="15.75" customHeight="1" x14ac:dyDescent="0.25">
      <c r="O1" s="2134" t="s">
        <v>155</v>
      </c>
      <c r="P1" s="2135"/>
      <c r="Q1" s="2135"/>
      <c r="R1" s="2135"/>
      <c r="S1" s="2135"/>
    </row>
    <row r="2" spans="1:19" s="41" customFormat="1" ht="15" x14ac:dyDescent="0.2">
      <c r="A2" s="1892" t="s">
        <v>401</v>
      </c>
      <c r="B2" s="1892"/>
      <c r="C2" s="1892"/>
      <c r="D2" s="1892"/>
      <c r="E2" s="1892"/>
      <c r="F2" s="1892"/>
      <c r="G2" s="1892"/>
      <c r="H2" s="1892"/>
      <c r="I2" s="1892"/>
      <c r="J2" s="1892"/>
      <c r="K2" s="1892"/>
      <c r="L2" s="1892"/>
      <c r="M2" s="1892"/>
      <c r="N2" s="1892"/>
      <c r="O2" s="1892"/>
      <c r="P2" s="1892"/>
      <c r="Q2" s="1892"/>
      <c r="R2" s="1892"/>
      <c r="S2" s="1892"/>
    </row>
    <row r="3" spans="1:19" ht="15.75" customHeight="1" x14ac:dyDescent="0.2">
      <c r="A3" s="1893" t="s">
        <v>29</v>
      </c>
      <c r="B3" s="1893"/>
      <c r="C3" s="1893"/>
      <c r="D3" s="1893"/>
      <c r="E3" s="1893"/>
      <c r="F3" s="1893"/>
      <c r="G3" s="1893"/>
      <c r="H3" s="1893"/>
      <c r="I3" s="1893"/>
      <c r="J3" s="1893"/>
      <c r="K3" s="1893"/>
      <c r="L3" s="1893"/>
      <c r="M3" s="1893"/>
      <c r="N3" s="1893"/>
      <c r="O3" s="1893"/>
      <c r="P3" s="1893"/>
      <c r="Q3" s="1893"/>
      <c r="R3" s="1893"/>
      <c r="S3" s="1893"/>
    </row>
    <row r="4" spans="1:19" ht="15" customHeight="1" x14ac:dyDescent="0.2">
      <c r="A4" s="1894" t="s">
        <v>17</v>
      </c>
      <c r="B4" s="1894"/>
      <c r="C4" s="1894"/>
      <c r="D4" s="1894"/>
      <c r="E4" s="1894"/>
      <c r="F4" s="1894"/>
      <c r="G4" s="1894"/>
      <c r="H4" s="1894"/>
      <c r="I4" s="1894"/>
      <c r="J4" s="1894"/>
      <c r="K4" s="1894"/>
      <c r="L4" s="1894"/>
      <c r="M4" s="1894"/>
      <c r="N4" s="1894"/>
      <c r="O4" s="1894"/>
      <c r="P4" s="1894"/>
      <c r="Q4" s="1894"/>
      <c r="R4" s="1894"/>
      <c r="S4" s="1894"/>
    </row>
    <row r="5" spans="1:19" ht="15" customHeight="1" thickBot="1" x14ac:dyDescent="0.25">
      <c r="A5" s="16"/>
      <c r="B5" s="16"/>
      <c r="C5" s="16"/>
      <c r="D5" s="16"/>
      <c r="E5" s="16"/>
      <c r="F5" s="17"/>
      <c r="G5" s="17"/>
      <c r="H5" s="18"/>
      <c r="I5" s="18"/>
      <c r="J5" s="290"/>
      <c r="K5" s="16"/>
      <c r="L5" s="16"/>
      <c r="M5" s="16"/>
      <c r="N5" s="16"/>
      <c r="O5" s="1895" t="s">
        <v>119</v>
      </c>
      <c r="P5" s="1895"/>
      <c r="Q5" s="1895"/>
      <c r="R5" s="1895"/>
      <c r="S5" s="1896"/>
    </row>
    <row r="6" spans="1:19" s="41" customFormat="1" ht="30" customHeight="1" x14ac:dyDescent="0.2">
      <c r="A6" s="1897" t="s">
        <v>18</v>
      </c>
      <c r="B6" s="1900" t="s">
        <v>0</v>
      </c>
      <c r="C6" s="1900" t="s">
        <v>1</v>
      </c>
      <c r="D6" s="1900" t="s">
        <v>27</v>
      </c>
      <c r="E6" s="1906" t="s">
        <v>12</v>
      </c>
      <c r="F6" s="1871" t="s">
        <v>2</v>
      </c>
      <c r="G6" s="2136" t="s">
        <v>125</v>
      </c>
      <c r="H6" s="1874" t="s">
        <v>3</v>
      </c>
      <c r="I6" s="2139" t="s">
        <v>64</v>
      </c>
      <c r="J6" s="1877" t="s">
        <v>4</v>
      </c>
      <c r="K6" s="2142" t="s">
        <v>370</v>
      </c>
      <c r="L6" s="2142" t="s">
        <v>156</v>
      </c>
      <c r="M6" s="2142" t="s">
        <v>217</v>
      </c>
      <c r="N6" s="2142" t="s">
        <v>402</v>
      </c>
      <c r="O6" s="1864" t="s">
        <v>11</v>
      </c>
      <c r="P6" s="1865"/>
      <c r="Q6" s="1865"/>
      <c r="R6" s="1865"/>
      <c r="S6" s="1866"/>
    </row>
    <row r="7" spans="1:19" s="41" customFormat="1" ht="18.75" customHeight="1" x14ac:dyDescent="0.2">
      <c r="A7" s="1898"/>
      <c r="B7" s="1901"/>
      <c r="C7" s="1901"/>
      <c r="D7" s="1901"/>
      <c r="E7" s="1907"/>
      <c r="F7" s="1872"/>
      <c r="G7" s="2137"/>
      <c r="H7" s="1875"/>
      <c r="I7" s="2140"/>
      <c r="J7" s="1878"/>
      <c r="K7" s="2143"/>
      <c r="L7" s="2143"/>
      <c r="M7" s="2143"/>
      <c r="N7" s="2143"/>
      <c r="O7" s="1867" t="s">
        <v>12</v>
      </c>
      <c r="P7" s="1869"/>
      <c r="Q7" s="1869"/>
      <c r="R7" s="1869"/>
      <c r="S7" s="1870"/>
    </row>
    <row r="8" spans="1:19" s="41" customFormat="1" ht="63" customHeight="1" thickBot="1" x14ac:dyDescent="0.25">
      <c r="A8" s="1899"/>
      <c r="B8" s="1902"/>
      <c r="C8" s="1902"/>
      <c r="D8" s="1902"/>
      <c r="E8" s="1908"/>
      <c r="F8" s="1873"/>
      <c r="G8" s="2138"/>
      <c r="H8" s="1876"/>
      <c r="I8" s="2141"/>
      <c r="J8" s="1879"/>
      <c r="K8" s="2144"/>
      <c r="L8" s="2144"/>
      <c r="M8" s="2144"/>
      <c r="N8" s="2144"/>
      <c r="O8" s="1868"/>
      <c r="P8" s="176" t="s">
        <v>108</v>
      </c>
      <c r="Q8" s="176" t="s">
        <v>157</v>
      </c>
      <c r="R8" s="176" t="s">
        <v>218</v>
      </c>
      <c r="S8" s="177" t="s">
        <v>403</v>
      </c>
    </row>
    <row r="9" spans="1:19" s="10" customFormat="1" ht="14.25" customHeight="1" x14ac:dyDescent="0.2">
      <c r="A9" s="1909" t="s">
        <v>63</v>
      </c>
      <c r="B9" s="1910"/>
      <c r="C9" s="1910"/>
      <c r="D9" s="1910"/>
      <c r="E9" s="1910"/>
      <c r="F9" s="1910"/>
      <c r="G9" s="1910"/>
      <c r="H9" s="1910"/>
      <c r="I9" s="1910"/>
      <c r="J9" s="1910"/>
      <c r="K9" s="1910"/>
      <c r="L9" s="1910"/>
      <c r="M9" s="1910"/>
      <c r="N9" s="1910"/>
      <c r="O9" s="1910"/>
      <c r="P9" s="1910"/>
      <c r="Q9" s="1910"/>
      <c r="R9" s="1910"/>
      <c r="S9" s="1911"/>
    </row>
    <row r="10" spans="1:19" s="10" customFormat="1" ht="14.25" customHeight="1" x14ac:dyDescent="0.2">
      <c r="A10" s="1912" t="s">
        <v>26</v>
      </c>
      <c r="B10" s="1913"/>
      <c r="C10" s="1913"/>
      <c r="D10" s="1913"/>
      <c r="E10" s="1913"/>
      <c r="F10" s="1913"/>
      <c r="G10" s="1913"/>
      <c r="H10" s="1913"/>
      <c r="I10" s="1913"/>
      <c r="J10" s="1913"/>
      <c r="K10" s="1913"/>
      <c r="L10" s="1913"/>
      <c r="M10" s="1913"/>
      <c r="N10" s="1913"/>
      <c r="O10" s="1913"/>
      <c r="P10" s="1913"/>
      <c r="Q10" s="1913"/>
      <c r="R10" s="1913"/>
      <c r="S10" s="1914"/>
    </row>
    <row r="11" spans="1:19" ht="16.5" customHeight="1" x14ac:dyDescent="0.2">
      <c r="A11" s="20" t="s">
        <v>5</v>
      </c>
      <c r="B11" s="1915" t="s">
        <v>30</v>
      </c>
      <c r="C11" s="1916"/>
      <c r="D11" s="1916"/>
      <c r="E11" s="1916"/>
      <c r="F11" s="1916"/>
      <c r="G11" s="1916"/>
      <c r="H11" s="1916"/>
      <c r="I11" s="1916"/>
      <c r="J11" s="1916"/>
      <c r="K11" s="1916"/>
      <c r="L11" s="1916"/>
      <c r="M11" s="1916"/>
      <c r="N11" s="1916"/>
      <c r="O11" s="1916"/>
      <c r="P11" s="1916"/>
      <c r="Q11" s="1916"/>
      <c r="R11" s="1916"/>
      <c r="S11" s="1917"/>
    </row>
    <row r="12" spans="1:19" ht="15" customHeight="1" x14ac:dyDescent="0.2">
      <c r="A12" s="289" t="s">
        <v>5</v>
      </c>
      <c r="B12" s="13" t="s">
        <v>5</v>
      </c>
      <c r="C12" s="1918" t="s">
        <v>31</v>
      </c>
      <c r="D12" s="1919"/>
      <c r="E12" s="1919"/>
      <c r="F12" s="1919"/>
      <c r="G12" s="1919"/>
      <c r="H12" s="1919"/>
      <c r="I12" s="1919"/>
      <c r="J12" s="1919"/>
      <c r="K12" s="1919"/>
      <c r="L12" s="1919"/>
      <c r="M12" s="1919"/>
      <c r="N12" s="1919"/>
      <c r="O12" s="1919"/>
      <c r="P12" s="1919"/>
      <c r="Q12" s="1919"/>
      <c r="R12" s="1919"/>
      <c r="S12" s="1920"/>
    </row>
    <row r="13" spans="1:19" ht="35.25" customHeight="1" x14ac:dyDescent="0.2">
      <c r="A13" s="286" t="s">
        <v>5</v>
      </c>
      <c r="B13" s="287" t="s">
        <v>5</v>
      </c>
      <c r="C13" s="460" t="s">
        <v>5</v>
      </c>
      <c r="D13" s="264"/>
      <c r="E13" s="59" t="s">
        <v>49</v>
      </c>
      <c r="F13" s="243" t="s">
        <v>91</v>
      </c>
      <c r="G13" s="244"/>
      <c r="H13" s="288" t="s">
        <v>43</v>
      </c>
      <c r="I13" s="38"/>
      <c r="J13" s="194"/>
      <c r="K13" s="613"/>
      <c r="L13" s="613"/>
      <c r="M13" s="614"/>
      <c r="N13" s="613"/>
      <c r="O13" s="24"/>
      <c r="P13" s="12"/>
      <c r="Q13" s="12"/>
      <c r="R13" s="1462"/>
      <c r="S13" s="1473"/>
    </row>
    <row r="14" spans="1:19" ht="27.75" customHeight="1" x14ac:dyDescent="0.2">
      <c r="A14" s="1736"/>
      <c r="B14" s="1731"/>
      <c r="C14" s="2086"/>
      <c r="D14" s="2093" t="s">
        <v>5</v>
      </c>
      <c r="E14" s="1921" t="s">
        <v>173</v>
      </c>
      <c r="F14" s="373" t="s">
        <v>47</v>
      </c>
      <c r="G14" s="2147" t="s">
        <v>146</v>
      </c>
      <c r="H14" s="1732"/>
      <c r="I14" s="2116" t="s">
        <v>73</v>
      </c>
      <c r="J14" s="379" t="s">
        <v>106</v>
      </c>
      <c r="K14" s="314">
        <v>557.70000000000005</v>
      </c>
      <c r="L14" s="314"/>
      <c r="M14" s="141"/>
      <c r="N14" s="60"/>
      <c r="O14" s="689" t="s">
        <v>189</v>
      </c>
      <c r="P14" s="452" t="s">
        <v>271</v>
      </c>
      <c r="Q14" s="817"/>
      <c r="R14" s="590"/>
      <c r="S14" s="591"/>
    </row>
    <row r="15" spans="1:19" ht="13.5" customHeight="1" x14ac:dyDescent="0.2">
      <c r="A15" s="1736"/>
      <c r="B15" s="1731"/>
      <c r="C15" s="2086"/>
      <c r="D15" s="1635"/>
      <c r="E15" s="1882"/>
      <c r="F15" s="1857" t="s">
        <v>118</v>
      </c>
      <c r="G15" s="2145"/>
      <c r="H15" s="1732"/>
      <c r="I15" s="2061"/>
      <c r="J15" s="50"/>
      <c r="K15" s="70"/>
      <c r="L15" s="70"/>
      <c r="M15" s="108"/>
      <c r="N15" s="68"/>
      <c r="O15" s="1859" t="s">
        <v>421</v>
      </c>
      <c r="P15" s="481" t="s">
        <v>56</v>
      </c>
      <c r="Q15" s="714"/>
      <c r="R15" s="592"/>
      <c r="S15" s="593"/>
    </row>
    <row r="16" spans="1:19" ht="19.5" customHeight="1" x14ac:dyDescent="0.2">
      <c r="A16" s="1736"/>
      <c r="B16" s="1731"/>
      <c r="C16" s="2086"/>
      <c r="D16" s="1635"/>
      <c r="E16" s="1834"/>
      <c r="F16" s="1858"/>
      <c r="G16" s="2145"/>
      <c r="H16" s="1732"/>
      <c r="I16" s="2062"/>
      <c r="J16" s="49"/>
      <c r="K16" s="63"/>
      <c r="L16" s="63"/>
      <c r="M16" s="170"/>
      <c r="N16" s="67"/>
      <c r="O16" s="1860"/>
      <c r="P16" s="391"/>
      <c r="Q16" s="51"/>
      <c r="R16" s="392"/>
      <c r="S16" s="594"/>
    </row>
    <row r="17" spans="1:19" ht="15" customHeight="1" x14ac:dyDescent="0.2">
      <c r="A17" s="1736"/>
      <c r="B17" s="1731"/>
      <c r="C17" s="2086"/>
      <c r="D17" s="2093" t="s">
        <v>7</v>
      </c>
      <c r="E17" s="1725" t="s">
        <v>201</v>
      </c>
      <c r="F17" s="373" t="s">
        <v>47</v>
      </c>
      <c r="G17" s="2096" t="s">
        <v>229</v>
      </c>
      <c r="H17" s="1778"/>
      <c r="I17" s="2061" t="s">
        <v>72</v>
      </c>
      <c r="J17" s="92" t="s">
        <v>25</v>
      </c>
      <c r="K17" s="68">
        <v>25</v>
      </c>
      <c r="L17" s="68">
        <v>33</v>
      </c>
      <c r="M17" s="108"/>
      <c r="N17" s="68">
        <v>300</v>
      </c>
      <c r="O17" s="822" t="s">
        <v>46</v>
      </c>
      <c r="P17" s="715"/>
      <c r="Q17" s="716">
        <v>1</v>
      </c>
      <c r="R17" s="716"/>
      <c r="S17" s="717"/>
    </row>
    <row r="18" spans="1:19" ht="18.75" customHeight="1" x14ac:dyDescent="0.2">
      <c r="A18" s="1736"/>
      <c r="B18" s="1731"/>
      <c r="C18" s="2086"/>
      <c r="D18" s="1635"/>
      <c r="E18" s="1726"/>
      <c r="F18" s="1857" t="s">
        <v>118</v>
      </c>
      <c r="G18" s="2096"/>
      <c r="H18" s="1778"/>
      <c r="I18" s="2061"/>
      <c r="J18" s="92"/>
      <c r="K18" s="68"/>
      <c r="L18" s="68"/>
      <c r="M18" s="108"/>
      <c r="N18" s="68"/>
      <c r="O18" s="872"/>
      <c r="P18" s="921"/>
      <c r="Q18" s="922"/>
      <c r="R18" s="922"/>
      <c r="S18" s="923"/>
    </row>
    <row r="19" spans="1:19" ht="18" customHeight="1" x14ac:dyDescent="0.2">
      <c r="A19" s="1736"/>
      <c r="B19" s="1731"/>
      <c r="C19" s="2086"/>
      <c r="D19" s="2151"/>
      <c r="E19" s="1727"/>
      <c r="F19" s="1858"/>
      <c r="G19" s="2148"/>
      <c r="H19" s="1778"/>
      <c r="I19" s="2150"/>
      <c r="J19" s="95" t="s">
        <v>106</v>
      </c>
      <c r="K19" s="67"/>
      <c r="L19" s="618"/>
      <c r="M19" s="620"/>
      <c r="N19" s="618"/>
      <c r="O19" s="827"/>
      <c r="P19" s="22"/>
      <c r="Q19" s="51"/>
      <c r="R19" s="183"/>
      <c r="S19" s="33"/>
    </row>
    <row r="20" spans="1:19" ht="18.75" customHeight="1" x14ac:dyDescent="0.2">
      <c r="A20" s="291"/>
      <c r="B20" s="293"/>
      <c r="C20" s="471"/>
      <c r="D20" s="456" t="s">
        <v>28</v>
      </c>
      <c r="E20" s="1726" t="s">
        <v>298</v>
      </c>
      <c r="F20" s="373" t="s">
        <v>47</v>
      </c>
      <c r="G20" s="2145" t="s">
        <v>227</v>
      </c>
      <c r="H20" s="97"/>
      <c r="I20" s="2150"/>
      <c r="J20" s="92" t="s">
        <v>25</v>
      </c>
      <c r="K20" s="68">
        <v>1</v>
      </c>
      <c r="L20" s="68">
        <v>150</v>
      </c>
      <c r="M20" s="1261">
        <v>579.9</v>
      </c>
      <c r="N20" s="68"/>
      <c r="O20" s="1852" t="s">
        <v>193</v>
      </c>
      <c r="P20" s="598">
        <v>1</v>
      </c>
      <c r="Q20" s="182"/>
      <c r="R20" s="497"/>
      <c r="S20" s="413"/>
    </row>
    <row r="21" spans="1:19" ht="24" customHeight="1" x14ac:dyDescent="0.2">
      <c r="A21" s="291"/>
      <c r="B21" s="293"/>
      <c r="C21" s="471"/>
      <c r="D21" s="456"/>
      <c r="E21" s="1726"/>
      <c r="F21" s="1854" t="s">
        <v>118</v>
      </c>
      <c r="G21" s="2145"/>
      <c r="H21" s="97"/>
      <c r="I21" s="815"/>
      <c r="J21" s="92" t="s">
        <v>62</v>
      </c>
      <c r="K21" s="687">
        <v>1.5</v>
      </c>
      <c r="L21" s="68"/>
      <c r="M21" s="108"/>
      <c r="N21" s="68"/>
      <c r="O21" s="1853"/>
      <c r="P21" s="598"/>
      <c r="Q21" s="182"/>
      <c r="R21" s="497"/>
      <c r="S21" s="413"/>
    </row>
    <row r="22" spans="1:19" ht="27.75" customHeight="1" x14ac:dyDescent="0.2">
      <c r="A22" s="291"/>
      <c r="B22" s="293"/>
      <c r="C22" s="471"/>
      <c r="D22" s="456"/>
      <c r="E22" s="1726"/>
      <c r="F22" s="1855"/>
      <c r="G22" s="2145"/>
      <c r="H22" s="97"/>
      <c r="I22" s="815"/>
      <c r="J22" s="92"/>
      <c r="K22" s="68"/>
      <c r="L22" s="68"/>
      <c r="M22" s="108"/>
      <c r="N22" s="68"/>
      <c r="O22" s="596" t="s">
        <v>194</v>
      </c>
      <c r="P22" s="597"/>
      <c r="Q22" s="223">
        <v>1</v>
      </c>
      <c r="R22" s="223"/>
      <c r="S22" s="118"/>
    </row>
    <row r="23" spans="1:19" ht="20.25" customHeight="1" x14ac:dyDescent="0.2">
      <c r="A23" s="291"/>
      <c r="B23" s="293"/>
      <c r="C23" s="471"/>
      <c r="D23" s="372"/>
      <c r="E23" s="1727"/>
      <c r="F23" s="1856"/>
      <c r="G23" s="2146"/>
      <c r="H23" s="97"/>
      <c r="I23" s="815"/>
      <c r="J23" s="145"/>
      <c r="K23" s="67"/>
      <c r="L23" s="67"/>
      <c r="M23" s="170"/>
      <c r="N23" s="67"/>
      <c r="O23" s="690" t="s">
        <v>195</v>
      </c>
      <c r="P23" s="22"/>
      <c r="Q23" s="51">
        <v>20</v>
      </c>
      <c r="R23" s="1163">
        <v>100</v>
      </c>
      <c r="S23" s="381"/>
    </row>
    <row r="24" spans="1:19" ht="15" customHeight="1" x14ac:dyDescent="0.2">
      <c r="A24" s="1736"/>
      <c r="B24" s="1731"/>
      <c r="C24" s="2086"/>
      <c r="D24" s="2093" t="s">
        <v>33</v>
      </c>
      <c r="E24" s="1737" t="s">
        <v>299</v>
      </c>
      <c r="F24" s="818" t="s">
        <v>47</v>
      </c>
      <c r="G24" s="2149" t="s">
        <v>147</v>
      </c>
      <c r="H24" s="1778"/>
      <c r="I24" s="586"/>
      <c r="J24" s="96" t="s">
        <v>25</v>
      </c>
      <c r="K24" s="60">
        <f>700-300</f>
        <v>400</v>
      </c>
      <c r="L24" s="60">
        <f>1629.1+300</f>
        <v>1929.1</v>
      </c>
      <c r="M24" s="141"/>
      <c r="N24" s="60"/>
      <c r="O24" s="823" t="s">
        <v>219</v>
      </c>
      <c r="P24" s="631">
        <v>20</v>
      </c>
      <c r="Q24" s="665">
        <v>100</v>
      </c>
      <c r="R24" s="1164"/>
      <c r="S24" s="666"/>
    </row>
    <row r="25" spans="1:19" ht="8.25" customHeight="1" x14ac:dyDescent="0.2">
      <c r="A25" s="1736"/>
      <c r="B25" s="1731"/>
      <c r="C25" s="2086"/>
      <c r="D25" s="1635"/>
      <c r="E25" s="1669"/>
      <c r="F25" s="698"/>
      <c r="G25" s="2096"/>
      <c r="H25" s="1778"/>
      <c r="I25" s="586"/>
      <c r="J25" s="92"/>
      <c r="K25" s="68"/>
      <c r="L25" s="68"/>
      <c r="M25" s="108"/>
      <c r="N25" s="68"/>
      <c r="O25" s="823"/>
      <c r="P25" s="631"/>
      <c r="Q25" s="665"/>
      <c r="R25" s="228"/>
      <c r="S25" s="248"/>
    </row>
    <row r="26" spans="1:19" ht="17.25" customHeight="1" x14ac:dyDescent="0.2">
      <c r="A26" s="1736"/>
      <c r="B26" s="1731"/>
      <c r="C26" s="2086"/>
      <c r="D26" s="2151"/>
      <c r="E26" s="1738"/>
      <c r="F26" s="691"/>
      <c r="G26" s="2148"/>
      <c r="H26" s="1778"/>
      <c r="I26" s="586"/>
      <c r="J26" s="145"/>
      <c r="K26" s="67"/>
      <c r="L26" s="67"/>
      <c r="M26" s="170"/>
      <c r="N26" s="67"/>
      <c r="O26" s="606"/>
      <c r="P26" s="193"/>
      <c r="Q26" s="380"/>
      <c r="R26" s="1165"/>
      <c r="S26" s="382"/>
    </row>
    <row r="27" spans="1:19" ht="17.25" customHeight="1" x14ac:dyDescent="0.2">
      <c r="A27" s="291"/>
      <c r="B27" s="293"/>
      <c r="C27" s="471"/>
      <c r="D27" s="456" t="s">
        <v>34</v>
      </c>
      <c r="E27" s="1636" t="s">
        <v>309</v>
      </c>
      <c r="F27" s="2152" t="s">
        <v>47</v>
      </c>
      <c r="G27" s="2149" t="s">
        <v>230</v>
      </c>
      <c r="H27" s="820"/>
      <c r="I27" s="586"/>
      <c r="J27" s="92" t="s">
        <v>45</v>
      </c>
      <c r="K27" s="68">
        <v>31.2</v>
      </c>
      <c r="L27" s="199"/>
      <c r="M27" s="721"/>
      <c r="N27" s="199"/>
      <c r="O27" s="1430" t="s">
        <v>46</v>
      </c>
      <c r="P27" s="408"/>
      <c r="Q27" s="182">
        <v>1</v>
      </c>
      <c r="R27" s="182"/>
      <c r="S27" s="1433"/>
    </row>
    <row r="28" spans="1:19" ht="12" customHeight="1" x14ac:dyDescent="0.2">
      <c r="A28" s="291"/>
      <c r="B28" s="293"/>
      <c r="C28" s="470"/>
      <c r="D28" s="372"/>
      <c r="E28" s="1794"/>
      <c r="F28" s="2153"/>
      <c r="G28" s="2156"/>
      <c r="H28" s="820"/>
      <c r="I28" s="586"/>
      <c r="J28" s="95"/>
      <c r="K28" s="618"/>
      <c r="L28" s="55"/>
      <c r="M28" s="722"/>
      <c r="N28" s="55"/>
      <c r="O28" s="252"/>
      <c r="P28" s="22"/>
      <c r="Q28" s="51"/>
      <c r="R28" s="51"/>
      <c r="S28" s="23"/>
    </row>
    <row r="29" spans="1:19" ht="13.5" customHeight="1" x14ac:dyDescent="0.2">
      <c r="A29" s="291"/>
      <c r="B29" s="293"/>
      <c r="C29" s="471"/>
      <c r="D29" s="456" t="s">
        <v>35</v>
      </c>
      <c r="E29" s="1726" t="s">
        <v>209</v>
      </c>
      <c r="F29" s="821" t="s">
        <v>47</v>
      </c>
      <c r="G29" s="2145" t="s">
        <v>228</v>
      </c>
      <c r="H29" s="97"/>
      <c r="I29" s="303"/>
      <c r="J29" s="92" t="s">
        <v>25</v>
      </c>
      <c r="K29" s="615"/>
      <c r="L29" s="615"/>
      <c r="M29" s="617">
        <v>31</v>
      </c>
      <c r="N29" s="615"/>
      <c r="O29" s="822" t="s">
        <v>196</v>
      </c>
      <c r="P29" s="601"/>
      <c r="Q29" s="601"/>
      <c r="R29" s="1127">
        <v>1</v>
      </c>
      <c r="S29" s="1474"/>
    </row>
    <row r="30" spans="1:19" ht="23.25" customHeight="1" x14ac:dyDescent="0.2">
      <c r="A30" s="350"/>
      <c r="B30" s="351"/>
      <c r="C30" s="470"/>
      <c r="D30" s="372"/>
      <c r="E30" s="1727"/>
      <c r="F30" s="819"/>
      <c r="G30" s="2146"/>
      <c r="H30" s="97"/>
      <c r="I30" s="303"/>
      <c r="J30" s="145"/>
      <c r="K30" s="618"/>
      <c r="L30" s="618"/>
      <c r="M30" s="620"/>
      <c r="N30" s="618"/>
      <c r="O30" s="826"/>
      <c r="P30" s="605"/>
      <c r="Q30" s="605"/>
      <c r="R30" s="1128"/>
      <c r="S30" s="1475"/>
    </row>
    <row r="31" spans="1:19" ht="13.5" customHeight="1" x14ac:dyDescent="0.2">
      <c r="A31" s="291"/>
      <c r="B31" s="293"/>
      <c r="C31" s="464"/>
      <c r="D31" s="2093" t="s">
        <v>36</v>
      </c>
      <c r="E31" s="1754" t="s">
        <v>300</v>
      </c>
      <c r="F31" s="818" t="s">
        <v>47</v>
      </c>
      <c r="G31" s="2096" t="s">
        <v>126</v>
      </c>
      <c r="H31" s="1778"/>
      <c r="I31" s="586"/>
      <c r="J31" s="92" t="s">
        <v>25</v>
      </c>
      <c r="K31" s="615"/>
      <c r="L31" s="68">
        <v>25</v>
      </c>
      <c r="M31" s="108">
        <v>350</v>
      </c>
      <c r="N31" s="68"/>
      <c r="O31" s="816" t="s">
        <v>196</v>
      </c>
      <c r="P31" s="330"/>
      <c r="Q31" s="330">
        <v>1</v>
      </c>
      <c r="R31" s="384"/>
      <c r="S31" s="1433"/>
    </row>
    <row r="32" spans="1:19" ht="26.25" customHeight="1" x14ac:dyDescent="0.2">
      <c r="A32" s="291"/>
      <c r="B32" s="293"/>
      <c r="C32" s="464"/>
      <c r="D32" s="2151"/>
      <c r="E32" s="1794"/>
      <c r="F32" s="819"/>
      <c r="G32" s="2159"/>
      <c r="H32" s="1778"/>
      <c r="I32" s="586"/>
      <c r="J32" s="95"/>
      <c r="K32" s="618"/>
      <c r="L32" s="67"/>
      <c r="M32" s="170"/>
      <c r="N32" s="67"/>
      <c r="O32" s="816" t="s">
        <v>376</v>
      </c>
      <c r="P32" s="330"/>
      <c r="Q32" s="330"/>
      <c r="R32" s="384">
        <v>100</v>
      </c>
      <c r="S32" s="1433"/>
    </row>
    <row r="33" spans="1:19" ht="27" customHeight="1" x14ac:dyDescent="0.2">
      <c r="A33" s="634"/>
      <c r="B33" s="635"/>
      <c r="C33" s="471"/>
      <c r="D33" s="636" t="s">
        <v>282</v>
      </c>
      <c r="E33" s="1726" t="s">
        <v>306</v>
      </c>
      <c r="F33" s="821" t="s">
        <v>47</v>
      </c>
      <c r="G33" s="2145" t="s">
        <v>228</v>
      </c>
      <c r="H33" s="97"/>
      <c r="I33" s="303"/>
      <c r="J33" s="92" t="s">
        <v>25</v>
      </c>
      <c r="K33" s="68"/>
      <c r="L33" s="68">
        <v>19.5</v>
      </c>
      <c r="M33" s="617"/>
      <c r="N33" s="615"/>
      <c r="O33" s="822" t="s">
        <v>316</v>
      </c>
      <c r="P33" s="601"/>
      <c r="Q33" s="601">
        <v>1</v>
      </c>
      <c r="R33" s="1127"/>
      <c r="S33" s="1474"/>
    </row>
    <row r="34" spans="1:19" ht="10.5" customHeight="1" x14ac:dyDescent="0.2">
      <c r="A34" s="634"/>
      <c r="B34" s="635"/>
      <c r="C34" s="471"/>
      <c r="D34" s="636"/>
      <c r="E34" s="1726"/>
      <c r="F34" s="821"/>
      <c r="G34" s="2145"/>
      <c r="H34" s="97"/>
      <c r="I34" s="304"/>
      <c r="J34" s="95"/>
      <c r="K34" s="618"/>
      <c r="L34" s="618"/>
      <c r="M34" s="620"/>
      <c r="N34" s="618"/>
      <c r="O34" s="814"/>
      <c r="P34" s="603"/>
      <c r="Q34" s="603"/>
      <c r="R34" s="1129"/>
      <c r="S34" s="1438"/>
    </row>
    <row r="35" spans="1:19" ht="17.25" customHeight="1" thickBot="1" x14ac:dyDescent="0.25">
      <c r="A35" s="75"/>
      <c r="B35" s="363"/>
      <c r="C35" s="216"/>
      <c r="D35" s="334"/>
      <c r="E35" s="461"/>
      <c r="F35" s="462"/>
      <c r="G35" s="463"/>
      <c r="H35" s="334"/>
      <c r="I35" s="446"/>
      <c r="J35" s="246" t="s">
        <v>6</v>
      </c>
      <c r="K35" s="156">
        <f>SUM(K14:K34)</f>
        <v>1016.4</v>
      </c>
      <c r="L35" s="156">
        <f>SUM(L14:L34)</f>
        <v>2156.6</v>
      </c>
      <c r="M35" s="246">
        <f>SUM(M14:M34)</f>
        <v>960.9</v>
      </c>
      <c r="N35" s="156">
        <f>SUM(N14:N34)</f>
        <v>300</v>
      </c>
      <c r="O35" s="480"/>
      <c r="P35" s="467"/>
      <c r="Q35" s="468"/>
      <c r="R35" s="468"/>
      <c r="S35" s="469"/>
    </row>
    <row r="36" spans="1:19" ht="32.25" customHeight="1" x14ac:dyDescent="0.2">
      <c r="A36" s="360" t="s">
        <v>5</v>
      </c>
      <c r="B36" s="362" t="s">
        <v>5</v>
      </c>
      <c r="C36" s="465" t="s">
        <v>7</v>
      </c>
      <c r="D36" s="224"/>
      <c r="E36" s="119" t="s">
        <v>50</v>
      </c>
      <c r="F36" s="122" t="s">
        <v>94</v>
      </c>
      <c r="G36" s="112"/>
      <c r="H36" s="133" t="s">
        <v>43</v>
      </c>
      <c r="I36" s="249"/>
      <c r="J36" s="78"/>
      <c r="K36" s="622"/>
      <c r="L36" s="622"/>
      <c r="M36" s="621"/>
      <c r="N36" s="622"/>
      <c r="O36" s="72"/>
      <c r="P36" s="30"/>
      <c r="Q36" s="30"/>
      <c r="R36" s="1139"/>
      <c r="S36" s="1476"/>
    </row>
    <row r="37" spans="1:19" ht="39.75" customHeight="1" x14ac:dyDescent="0.2">
      <c r="A37" s="1842"/>
      <c r="B37" s="1731"/>
      <c r="C37" s="2086"/>
      <c r="D37" s="456" t="s">
        <v>5</v>
      </c>
      <c r="E37" s="1726" t="s">
        <v>296</v>
      </c>
      <c r="F37" s="688" t="s">
        <v>47</v>
      </c>
      <c r="G37" s="2154" t="s">
        <v>128</v>
      </c>
      <c r="H37" s="1732"/>
      <c r="I37" s="2061" t="s">
        <v>72</v>
      </c>
      <c r="J37" s="96" t="s">
        <v>107</v>
      </c>
      <c r="K37" s="60">
        <v>100</v>
      </c>
      <c r="L37" s="60">
        <v>300</v>
      </c>
      <c r="M37" s="141">
        <v>300</v>
      </c>
      <c r="N37" s="60"/>
      <c r="O37" s="47" t="s">
        <v>204</v>
      </c>
      <c r="P37" s="52">
        <v>1</v>
      </c>
      <c r="Q37" s="52"/>
      <c r="R37" s="1133"/>
      <c r="S37" s="117"/>
    </row>
    <row r="38" spans="1:19" ht="45" customHeight="1" x14ac:dyDescent="0.2">
      <c r="A38" s="1842"/>
      <c r="B38" s="1731"/>
      <c r="C38" s="2086"/>
      <c r="D38" s="455"/>
      <c r="E38" s="1726"/>
      <c r="F38" s="688"/>
      <c r="G38" s="2155"/>
      <c r="H38" s="1732"/>
      <c r="I38" s="2061"/>
      <c r="J38" s="92" t="s">
        <v>25</v>
      </c>
      <c r="K38" s="68">
        <f>1000-366.6</f>
        <v>633.4</v>
      </c>
      <c r="L38" s="68">
        <v>800</v>
      </c>
      <c r="M38" s="108">
        <v>800</v>
      </c>
      <c r="N38" s="68">
        <v>647</v>
      </c>
      <c r="O38" s="32" t="s">
        <v>273</v>
      </c>
      <c r="P38" s="52">
        <v>100</v>
      </c>
      <c r="Q38" s="52"/>
      <c r="R38" s="1133"/>
      <c r="S38" s="117"/>
    </row>
    <row r="39" spans="1:19" ht="30" customHeight="1" x14ac:dyDescent="0.2">
      <c r="A39" s="1842"/>
      <c r="B39" s="1731"/>
      <c r="C39" s="2086"/>
      <c r="D39" s="455"/>
      <c r="E39" s="1726"/>
      <c r="F39" s="688"/>
      <c r="G39" s="2155"/>
      <c r="H39" s="1732"/>
      <c r="I39" s="2061"/>
      <c r="J39" s="92" t="s">
        <v>106</v>
      </c>
      <c r="K39" s="68">
        <v>366.6</v>
      </c>
      <c r="L39" s="68"/>
      <c r="M39" s="108"/>
      <c r="N39" s="68"/>
      <c r="O39" s="32" t="s">
        <v>274</v>
      </c>
      <c r="P39" s="52">
        <v>40</v>
      </c>
      <c r="Q39" s="52">
        <v>100</v>
      </c>
      <c r="R39" s="1133"/>
      <c r="S39" s="117"/>
    </row>
    <row r="40" spans="1:19" ht="40.5" customHeight="1" x14ac:dyDescent="0.2">
      <c r="A40" s="1842"/>
      <c r="B40" s="1731"/>
      <c r="C40" s="2086"/>
      <c r="D40" s="455"/>
      <c r="E40" s="1726"/>
      <c r="F40" s="688"/>
      <c r="G40" s="2155"/>
      <c r="H40" s="1732"/>
      <c r="I40" s="2061"/>
      <c r="J40" s="92"/>
      <c r="K40" s="68"/>
      <c r="L40" s="68"/>
      <c r="M40" s="108"/>
      <c r="N40" s="68"/>
      <c r="O40" s="32" t="s">
        <v>275</v>
      </c>
      <c r="P40" s="52"/>
      <c r="Q40" s="52">
        <v>30</v>
      </c>
      <c r="R40" s="1133">
        <v>60</v>
      </c>
      <c r="S40" s="117"/>
    </row>
    <row r="41" spans="1:19" ht="24.75" customHeight="1" x14ac:dyDescent="0.2">
      <c r="A41" s="1842"/>
      <c r="B41" s="1731"/>
      <c r="C41" s="2086"/>
      <c r="D41" s="2093" t="s">
        <v>7</v>
      </c>
      <c r="E41" s="1725" t="s">
        <v>59</v>
      </c>
      <c r="F41" s="120" t="s">
        <v>47</v>
      </c>
      <c r="G41" s="2068" t="s">
        <v>127</v>
      </c>
      <c r="H41" s="1778"/>
      <c r="I41" s="136"/>
      <c r="J41" s="96" t="s">
        <v>107</v>
      </c>
      <c r="K41" s="60">
        <v>0</v>
      </c>
      <c r="L41" s="1480">
        <f>2200+650</f>
        <v>2850</v>
      </c>
      <c r="M41" s="1319">
        <f>1400+750</f>
        <v>2150</v>
      </c>
      <c r="N41" s="60"/>
      <c r="O41" s="1681" t="s">
        <v>198</v>
      </c>
      <c r="P41" s="1437">
        <v>0</v>
      </c>
      <c r="Q41" s="588">
        <v>70</v>
      </c>
      <c r="R41" s="1134">
        <v>100</v>
      </c>
      <c r="S41" s="1440"/>
    </row>
    <row r="42" spans="1:19" ht="12.75" customHeight="1" x14ac:dyDescent="0.2">
      <c r="A42" s="1842"/>
      <c r="B42" s="1731"/>
      <c r="C42" s="2086"/>
      <c r="D42" s="1635"/>
      <c r="E42" s="1726"/>
      <c r="F42" s="121"/>
      <c r="G42" s="2157"/>
      <c r="H42" s="1778"/>
      <c r="I42" s="136"/>
      <c r="J42" s="92" t="s">
        <v>25</v>
      </c>
      <c r="K42" s="68">
        <v>100</v>
      </c>
      <c r="L42" s="68">
        <v>300</v>
      </c>
      <c r="M42" s="108">
        <v>572.6</v>
      </c>
      <c r="N42" s="68"/>
      <c r="O42" s="1853"/>
      <c r="P42" s="496"/>
      <c r="Q42" s="496"/>
      <c r="R42" s="1141"/>
      <c r="S42" s="413"/>
    </row>
    <row r="43" spans="1:19" ht="9.75" customHeight="1" x14ac:dyDescent="0.2">
      <c r="A43" s="1842"/>
      <c r="B43" s="1731"/>
      <c r="C43" s="2086"/>
      <c r="D43" s="2151"/>
      <c r="E43" s="1727"/>
      <c r="F43" s="121"/>
      <c r="G43" s="2158"/>
      <c r="H43" s="1778"/>
      <c r="I43" s="136"/>
      <c r="J43" s="145"/>
      <c r="K43" s="67"/>
      <c r="L43" s="67"/>
      <c r="M43" s="170"/>
      <c r="N43" s="67"/>
      <c r="O43" s="305"/>
      <c r="P43" s="48"/>
      <c r="Q43" s="48"/>
      <c r="R43" s="1135"/>
      <c r="S43" s="33"/>
    </row>
    <row r="44" spans="1:19" ht="17.25" customHeight="1" x14ac:dyDescent="0.2">
      <c r="A44" s="350"/>
      <c r="B44" s="351"/>
      <c r="C44" s="474"/>
      <c r="D44" s="2093" t="s">
        <v>28</v>
      </c>
      <c r="E44" s="1725" t="s">
        <v>301</v>
      </c>
      <c r="F44" s="1841" t="s">
        <v>47</v>
      </c>
      <c r="G44" s="2169" t="s">
        <v>231</v>
      </c>
      <c r="H44" s="1838"/>
      <c r="I44" s="2160"/>
      <c r="J44" s="96" t="s">
        <v>25</v>
      </c>
      <c r="K44" s="70">
        <v>6.2</v>
      </c>
      <c r="L44" s="70"/>
      <c r="M44" s="429"/>
      <c r="N44" s="70">
        <v>200</v>
      </c>
      <c r="O44" s="607" t="s">
        <v>99</v>
      </c>
      <c r="P44" s="608">
        <v>1</v>
      </c>
      <c r="Q44" s="576"/>
      <c r="R44" s="1435"/>
      <c r="S44" s="1460"/>
    </row>
    <row r="45" spans="1:19" ht="21.75" customHeight="1" x14ac:dyDescent="0.2">
      <c r="A45" s="350"/>
      <c r="B45" s="351"/>
      <c r="C45" s="474"/>
      <c r="D45" s="2151"/>
      <c r="E45" s="1726"/>
      <c r="F45" s="1840"/>
      <c r="G45" s="2171"/>
      <c r="H45" s="1838"/>
      <c r="I45" s="2160"/>
      <c r="J45" s="842" t="s">
        <v>62</v>
      </c>
      <c r="K45" s="1481">
        <v>5.9</v>
      </c>
      <c r="L45" s="693"/>
      <c r="M45" s="692"/>
      <c r="N45" s="693"/>
      <c r="O45" s="825"/>
      <c r="P45" s="595"/>
      <c r="Q45" s="598"/>
      <c r="R45" s="384"/>
      <c r="S45" s="1433"/>
    </row>
    <row r="46" spans="1:19" ht="17.25" customHeight="1" x14ac:dyDescent="0.2">
      <c r="A46" s="639"/>
      <c r="B46" s="650"/>
      <c r="C46" s="474"/>
      <c r="D46" s="642" t="s">
        <v>33</v>
      </c>
      <c r="E46" s="1737" t="s">
        <v>291</v>
      </c>
      <c r="F46" s="655"/>
      <c r="G46" s="656"/>
      <c r="H46" s="652"/>
      <c r="I46" s="643"/>
      <c r="J46" s="489" t="s">
        <v>25</v>
      </c>
      <c r="K46" s="60">
        <v>5</v>
      </c>
      <c r="L46" s="60">
        <v>30</v>
      </c>
      <c r="M46" s="141">
        <v>70</v>
      </c>
      <c r="N46" s="60"/>
      <c r="O46" s="654" t="s">
        <v>317</v>
      </c>
      <c r="P46" s="662">
        <v>1</v>
      </c>
      <c r="Q46" s="576"/>
      <c r="R46" s="1435"/>
      <c r="S46" s="1460"/>
    </row>
    <row r="47" spans="1:19" ht="17.25" customHeight="1" x14ac:dyDescent="0.2">
      <c r="A47" s="639"/>
      <c r="B47" s="650"/>
      <c r="C47" s="474"/>
      <c r="D47" s="642"/>
      <c r="E47" s="1847"/>
      <c r="F47" s="655"/>
      <c r="G47" s="656"/>
      <c r="H47" s="652"/>
      <c r="I47" s="643"/>
      <c r="J47" s="1469"/>
      <c r="K47" s="67"/>
      <c r="L47" s="67"/>
      <c r="M47" s="170"/>
      <c r="N47" s="67"/>
      <c r="O47" s="663" t="s">
        <v>46</v>
      </c>
      <c r="P47" s="664"/>
      <c r="Q47" s="610"/>
      <c r="R47" s="387">
        <v>1</v>
      </c>
      <c r="S47" s="23"/>
    </row>
    <row r="48" spans="1:19" ht="16.5" customHeight="1" x14ac:dyDescent="0.2">
      <c r="A48" s="634"/>
      <c r="B48" s="635"/>
      <c r="C48" s="474"/>
      <c r="D48" s="2093" t="s">
        <v>34</v>
      </c>
      <c r="E48" s="1725" t="s">
        <v>283</v>
      </c>
      <c r="F48" s="1841" t="s">
        <v>47</v>
      </c>
      <c r="G48" s="2169" t="s">
        <v>231</v>
      </c>
      <c r="H48" s="1838"/>
      <c r="I48" s="2160"/>
      <c r="J48" s="92" t="s">
        <v>45</v>
      </c>
      <c r="K48" s="70"/>
      <c r="L48" s="70"/>
      <c r="M48" s="429">
        <v>95</v>
      </c>
      <c r="N48" s="70"/>
      <c r="O48" s="653" t="s">
        <v>99</v>
      </c>
      <c r="P48" s="595"/>
      <c r="Q48" s="598"/>
      <c r="R48" s="384">
        <v>1</v>
      </c>
      <c r="S48" s="1433"/>
    </row>
    <row r="49" spans="1:21" ht="17.25" customHeight="1" x14ac:dyDescent="0.2">
      <c r="A49" s="634"/>
      <c r="B49" s="635"/>
      <c r="C49" s="474"/>
      <c r="D49" s="1635"/>
      <c r="E49" s="1726"/>
      <c r="F49" s="1832"/>
      <c r="G49" s="2170"/>
      <c r="H49" s="1838"/>
      <c r="I49" s="2161"/>
      <c r="J49" s="1469"/>
      <c r="K49" s="67"/>
      <c r="L49" s="67"/>
      <c r="M49" s="170"/>
      <c r="N49" s="67"/>
      <c r="O49" s="661"/>
      <c r="P49" s="595"/>
      <c r="Q49" s="598"/>
      <c r="R49" s="384"/>
      <c r="S49" s="1433"/>
    </row>
    <row r="50" spans="1:21" ht="16.5" customHeight="1" thickBot="1" x14ac:dyDescent="0.25">
      <c r="A50" s="75"/>
      <c r="B50" s="363"/>
      <c r="C50" s="216"/>
      <c r="D50" s="334"/>
      <c r="E50" s="461"/>
      <c r="F50" s="462"/>
      <c r="G50" s="463"/>
      <c r="H50" s="334"/>
      <c r="I50" s="259"/>
      <c r="J50" s="213" t="s">
        <v>6</v>
      </c>
      <c r="K50" s="98">
        <f>SUM(K37:K49)</f>
        <v>1217.0999999999999</v>
      </c>
      <c r="L50" s="98">
        <f>SUM(L37:L49)</f>
        <v>4280</v>
      </c>
      <c r="M50" s="334">
        <f t="shared" ref="M50" si="0">SUM(M37:M49)</f>
        <v>3987.6</v>
      </c>
      <c r="N50" s="98">
        <f t="shared" ref="N50" si="1">SUM(N37:N49)</f>
        <v>847</v>
      </c>
      <c r="O50" s="466"/>
      <c r="P50" s="467"/>
      <c r="Q50" s="468"/>
      <c r="R50" s="468"/>
      <c r="S50" s="469"/>
    </row>
    <row r="51" spans="1:21" ht="36" customHeight="1" x14ac:dyDescent="0.2">
      <c r="A51" s="291" t="s">
        <v>5</v>
      </c>
      <c r="B51" s="325" t="s">
        <v>5</v>
      </c>
      <c r="C51" s="581" t="s">
        <v>28</v>
      </c>
      <c r="D51" s="272"/>
      <c r="E51" s="274" t="s">
        <v>102</v>
      </c>
      <c r="F51" s="335" t="s">
        <v>96</v>
      </c>
      <c r="G51" s="113"/>
      <c r="H51" s="336" t="s">
        <v>43</v>
      </c>
      <c r="I51" s="275"/>
      <c r="J51" s="673"/>
      <c r="K51" s="672"/>
      <c r="L51" s="718"/>
      <c r="M51" s="273"/>
      <c r="N51" s="672"/>
      <c r="O51" s="337"/>
      <c r="P51" s="7"/>
      <c r="Q51" s="57"/>
      <c r="R51" s="184"/>
      <c r="S51" s="383"/>
    </row>
    <row r="52" spans="1:21" ht="14.1" customHeight="1" x14ac:dyDescent="0.2">
      <c r="A52" s="1736"/>
      <c r="B52" s="1788"/>
      <c r="C52" s="2086"/>
      <c r="D52" s="2162" t="s">
        <v>5</v>
      </c>
      <c r="E52" s="1737" t="s">
        <v>178</v>
      </c>
      <c r="F52" s="1845" t="s">
        <v>47</v>
      </c>
      <c r="G52" s="2147" t="s">
        <v>148</v>
      </c>
      <c r="H52" s="2162"/>
      <c r="I52" s="2167" t="s">
        <v>73</v>
      </c>
      <c r="J52" s="96" t="s">
        <v>107</v>
      </c>
      <c r="K52" s="1482">
        <f>860-300</f>
        <v>560</v>
      </c>
      <c r="L52" s="314">
        <v>1000</v>
      </c>
      <c r="M52" s="141"/>
      <c r="N52" s="60"/>
      <c r="O52" s="1678"/>
      <c r="P52" s="649"/>
      <c r="Q52" s="658"/>
      <c r="R52" s="1431"/>
      <c r="S52" s="1460"/>
    </row>
    <row r="53" spans="1:21" ht="14.1" customHeight="1" x14ac:dyDescent="0.2">
      <c r="A53" s="1736"/>
      <c r="B53" s="1788"/>
      <c r="C53" s="2086"/>
      <c r="D53" s="1732"/>
      <c r="E53" s="1834"/>
      <c r="F53" s="1797"/>
      <c r="G53" s="2145"/>
      <c r="H53" s="1732"/>
      <c r="I53" s="2173"/>
      <c r="J53" s="92" t="s">
        <v>25</v>
      </c>
      <c r="K53" s="70">
        <f>618.4-420</f>
        <v>198.4</v>
      </c>
      <c r="L53" s="1481">
        <v>875.5</v>
      </c>
      <c r="M53" s="1360">
        <v>1280.8</v>
      </c>
      <c r="N53" s="70"/>
      <c r="O53" s="2118"/>
      <c r="P53" s="182"/>
      <c r="Q53" s="182"/>
      <c r="R53" s="182"/>
      <c r="S53" s="1433"/>
    </row>
    <row r="54" spans="1:21" ht="14.1" customHeight="1" x14ac:dyDescent="0.2">
      <c r="A54" s="1736"/>
      <c r="B54" s="1788"/>
      <c r="C54" s="2086"/>
      <c r="D54" s="1732"/>
      <c r="E54" s="645"/>
      <c r="F54" s="1797"/>
      <c r="G54" s="2145"/>
      <c r="H54" s="1732"/>
      <c r="I54" s="2173"/>
      <c r="J54" s="92" t="s">
        <v>44</v>
      </c>
      <c r="K54" s="68">
        <v>984.5</v>
      </c>
      <c r="L54" s="68">
        <v>846.2</v>
      </c>
      <c r="M54" s="108">
        <v>149.9</v>
      </c>
      <c r="N54" s="68"/>
      <c r="O54" s="644"/>
      <c r="P54" s="182"/>
      <c r="Q54" s="182"/>
      <c r="R54" s="182"/>
      <c r="S54" s="1433"/>
    </row>
    <row r="55" spans="1:21" ht="14.1" customHeight="1" x14ac:dyDescent="0.2">
      <c r="A55" s="1736"/>
      <c r="B55" s="1788"/>
      <c r="C55" s="2086"/>
      <c r="D55" s="1732"/>
      <c r="E55" s="645"/>
      <c r="F55" s="1797"/>
      <c r="G55" s="2145"/>
      <c r="H55" s="1732"/>
      <c r="I55" s="2173"/>
      <c r="J55" s="92" t="s">
        <v>48</v>
      </c>
      <c r="K55" s="68">
        <v>300</v>
      </c>
      <c r="L55" s="687">
        <v>0</v>
      </c>
      <c r="M55" s="1261">
        <v>0</v>
      </c>
      <c r="N55" s="68"/>
      <c r="O55" s="644"/>
      <c r="P55" s="182"/>
      <c r="Q55" s="182"/>
      <c r="R55" s="182"/>
      <c r="S55" s="1433"/>
    </row>
    <row r="56" spans="1:21" ht="14.1" customHeight="1" x14ac:dyDescent="0.2">
      <c r="A56" s="1736"/>
      <c r="B56" s="1788"/>
      <c r="C56" s="2086"/>
      <c r="D56" s="1732"/>
      <c r="E56" s="645"/>
      <c r="F56" s="1797"/>
      <c r="G56" s="2145"/>
      <c r="H56" s="1732"/>
      <c r="I56" s="2173"/>
      <c r="J56" s="92" t="s">
        <v>45</v>
      </c>
      <c r="K56" s="68"/>
      <c r="L56" s="68">
        <v>150</v>
      </c>
      <c r="M56" s="108"/>
      <c r="N56" s="68"/>
      <c r="O56" s="644"/>
      <c r="P56" s="182"/>
      <c r="Q56" s="182"/>
      <c r="R56" s="182"/>
      <c r="S56" s="1433"/>
    </row>
    <row r="57" spans="1:21" ht="14.1" customHeight="1" x14ac:dyDescent="0.2">
      <c r="A57" s="1736"/>
      <c r="B57" s="1788"/>
      <c r="C57" s="2086"/>
      <c r="D57" s="1732"/>
      <c r="E57" s="645"/>
      <c r="F57" s="1797"/>
      <c r="G57" s="2145"/>
      <c r="H57" s="1732"/>
      <c r="I57" s="2173"/>
      <c r="J57" s="92" t="s">
        <v>62</v>
      </c>
      <c r="K57" s="687">
        <f>420-260</f>
        <v>160</v>
      </c>
      <c r="L57" s="68"/>
      <c r="M57" s="108"/>
      <c r="N57" s="68"/>
      <c r="O57" s="644"/>
      <c r="P57" s="182"/>
      <c r="Q57" s="182"/>
      <c r="R57" s="182"/>
      <c r="S57" s="1433"/>
    </row>
    <row r="58" spans="1:21" ht="25.5" customHeight="1" x14ac:dyDescent="0.2">
      <c r="A58" s="1736"/>
      <c r="B58" s="1788"/>
      <c r="C58" s="2086"/>
      <c r="D58" s="1732"/>
      <c r="E58" s="667" t="s">
        <v>202</v>
      </c>
      <c r="F58" s="1797"/>
      <c r="G58" s="2145"/>
      <c r="H58" s="1732"/>
      <c r="I58" s="2173"/>
      <c r="J58" s="155"/>
      <c r="K58" s="65"/>
      <c r="L58" s="65"/>
      <c r="M58" s="225"/>
      <c r="N58" s="65"/>
      <c r="O58" s="94" t="s">
        <v>276</v>
      </c>
      <c r="P58" s="27">
        <v>80</v>
      </c>
      <c r="Q58" s="195">
        <v>100</v>
      </c>
      <c r="R58" s="195"/>
      <c r="S58" s="28"/>
    </row>
    <row r="59" spans="1:21" ht="40.5" customHeight="1" x14ac:dyDescent="0.2">
      <c r="A59" s="1736"/>
      <c r="B59" s="1788"/>
      <c r="C59" s="2086"/>
      <c r="D59" s="1732"/>
      <c r="E59" s="651" t="s">
        <v>166</v>
      </c>
      <c r="F59" s="1846"/>
      <c r="G59" s="2172"/>
      <c r="H59" s="2163"/>
      <c r="I59" s="375"/>
      <c r="J59" s="95"/>
      <c r="K59" s="67"/>
      <c r="L59" s="67"/>
      <c r="M59" s="170"/>
      <c r="N59" s="67"/>
      <c r="O59" s="668" t="s">
        <v>277</v>
      </c>
      <c r="P59" s="22"/>
      <c r="Q59" s="51">
        <v>80</v>
      </c>
      <c r="R59" s="51">
        <v>100</v>
      </c>
      <c r="S59" s="23"/>
      <c r="U59" s="54"/>
    </row>
    <row r="60" spans="1:21" ht="15" customHeight="1" x14ac:dyDescent="0.2">
      <c r="A60" s="291"/>
      <c r="B60" s="325"/>
      <c r="C60" s="475"/>
      <c r="D60" s="2162" t="s">
        <v>7</v>
      </c>
      <c r="E60" s="1725" t="s">
        <v>410</v>
      </c>
      <c r="F60" s="1832" t="s">
        <v>47</v>
      </c>
      <c r="G60" s="2171" t="s">
        <v>129</v>
      </c>
      <c r="H60" s="1838"/>
      <c r="I60" s="2160" t="s">
        <v>72</v>
      </c>
      <c r="J60" s="92" t="s">
        <v>62</v>
      </c>
      <c r="K60" s="68">
        <v>295</v>
      </c>
      <c r="L60" s="68"/>
      <c r="M60" s="108"/>
      <c r="N60" s="68"/>
      <c r="O60" s="1681" t="s">
        <v>199</v>
      </c>
      <c r="P60" s="1483">
        <v>50</v>
      </c>
      <c r="Q60" s="330">
        <v>100</v>
      </c>
      <c r="R60" s="384"/>
      <c r="S60" s="1433"/>
    </row>
    <row r="61" spans="1:21" ht="15.75" customHeight="1" x14ac:dyDescent="0.2">
      <c r="A61" s="350"/>
      <c r="B61" s="371"/>
      <c r="C61" s="475"/>
      <c r="D61" s="1732"/>
      <c r="E61" s="1726"/>
      <c r="F61" s="1832"/>
      <c r="G61" s="2171"/>
      <c r="H61" s="1838"/>
      <c r="I61" s="2160"/>
      <c r="J61" s="92" t="s">
        <v>25</v>
      </c>
      <c r="K61" s="68">
        <v>101.6</v>
      </c>
      <c r="L61" s="687">
        <f>583.9-263.4</f>
        <v>320.5</v>
      </c>
      <c r="M61" s="108"/>
      <c r="N61" s="68"/>
      <c r="O61" s="1682"/>
      <c r="P61" s="330"/>
      <c r="Q61" s="330"/>
      <c r="R61" s="384"/>
      <c r="S61" s="1433"/>
    </row>
    <row r="62" spans="1:21" ht="18" customHeight="1" x14ac:dyDescent="0.2">
      <c r="A62" s="291"/>
      <c r="B62" s="325"/>
      <c r="C62" s="475"/>
      <c r="D62" s="2163"/>
      <c r="E62" s="1727"/>
      <c r="F62" s="1840"/>
      <c r="G62" s="2170"/>
      <c r="H62" s="1838"/>
      <c r="I62" s="2161"/>
      <c r="J62" s="145" t="s">
        <v>106</v>
      </c>
      <c r="K62" s="67">
        <v>198.4</v>
      </c>
      <c r="L62" s="67"/>
      <c r="M62" s="170"/>
      <c r="N62" s="67"/>
      <c r="O62" s="854" t="s">
        <v>46</v>
      </c>
      <c r="P62" s="22">
        <v>1</v>
      </c>
      <c r="Q62" s="22"/>
      <c r="R62" s="387"/>
      <c r="S62" s="23"/>
    </row>
    <row r="63" spans="1:21" ht="18" customHeight="1" x14ac:dyDescent="0.2">
      <c r="A63" s="291"/>
      <c r="B63" s="325"/>
      <c r="C63" s="527"/>
      <c r="D63" s="2093" t="s">
        <v>28</v>
      </c>
      <c r="E63" s="1725" t="s">
        <v>60</v>
      </c>
      <c r="F63" s="1836" t="s">
        <v>47</v>
      </c>
      <c r="G63" s="2169" t="s">
        <v>232</v>
      </c>
      <c r="H63" s="1838"/>
      <c r="I63" s="2160"/>
      <c r="J63" s="96" t="s">
        <v>25</v>
      </c>
      <c r="K63" s="60"/>
      <c r="L63" s="60">
        <v>50</v>
      </c>
      <c r="M63" s="141">
        <v>99</v>
      </c>
      <c r="N63" s="60"/>
      <c r="O63" s="309" t="s">
        <v>46</v>
      </c>
      <c r="P63" s="321"/>
      <c r="Q63" s="321"/>
      <c r="R63" s="1435">
        <v>1</v>
      </c>
      <c r="S63" s="1460"/>
    </row>
    <row r="64" spans="1:21" ht="16.5" customHeight="1" x14ac:dyDescent="0.2">
      <c r="A64" s="291"/>
      <c r="B64" s="325"/>
      <c r="C64" s="527"/>
      <c r="D64" s="2151"/>
      <c r="E64" s="1727"/>
      <c r="F64" s="1837"/>
      <c r="G64" s="2170"/>
      <c r="H64" s="1838"/>
      <c r="I64" s="2161"/>
      <c r="J64" s="145"/>
      <c r="K64" s="67"/>
      <c r="L64" s="67"/>
      <c r="M64" s="170"/>
      <c r="N64" s="67"/>
      <c r="O64" s="269"/>
      <c r="P64" s="19"/>
      <c r="Q64" s="19"/>
      <c r="R64" s="1138"/>
      <c r="S64" s="1427"/>
    </row>
    <row r="65" spans="1:19" ht="19.5" customHeight="1" x14ac:dyDescent="0.2">
      <c r="A65" s="580"/>
      <c r="B65" s="585"/>
      <c r="C65" s="527"/>
      <c r="D65" s="2093" t="s">
        <v>33</v>
      </c>
      <c r="E65" s="1737" t="s">
        <v>289</v>
      </c>
      <c r="F65" s="587" t="s">
        <v>47</v>
      </c>
      <c r="G65" s="2169"/>
      <c r="H65" s="1838"/>
      <c r="I65" s="2160"/>
      <c r="J65" s="96" t="s">
        <v>25</v>
      </c>
      <c r="K65" s="60">
        <v>26</v>
      </c>
      <c r="L65" s="60"/>
      <c r="M65" s="141">
        <v>1084</v>
      </c>
      <c r="N65" s="60"/>
      <c r="O65" s="582" t="s">
        <v>46</v>
      </c>
      <c r="P65" s="576">
        <v>1</v>
      </c>
      <c r="Q65" s="576"/>
      <c r="R65" s="1136"/>
      <c r="S65" s="1477"/>
    </row>
    <row r="66" spans="1:19" ht="23.25" customHeight="1" x14ac:dyDescent="0.2">
      <c r="A66" s="580"/>
      <c r="B66" s="585"/>
      <c r="C66" s="527"/>
      <c r="D66" s="1635"/>
      <c r="E66" s="1834"/>
      <c r="F66" s="589"/>
      <c r="G66" s="2170"/>
      <c r="H66" s="1838"/>
      <c r="I66" s="2161"/>
      <c r="J66" s="145" t="s">
        <v>45</v>
      </c>
      <c r="K66" s="67">
        <v>40</v>
      </c>
      <c r="L66" s="67"/>
      <c r="M66" s="170"/>
      <c r="N66" s="67"/>
      <c r="O66" s="599" t="s">
        <v>197</v>
      </c>
      <c r="P66" s="598"/>
      <c r="Q66" s="598"/>
      <c r="R66" s="611">
        <v>100</v>
      </c>
      <c r="S66" s="930"/>
    </row>
    <row r="67" spans="1:19" ht="16.5" customHeight="1" thickBot="1" x14ac:dyDescent="0.25">
      <c r="A67" s="75"/>
      <c r="B67" s="363"/>
      <c r="C67" s="216"/>
      <c r="D67" s="334"/>
      <c r="E67" s="461"/>
      <c r="F67" s="462"/>
      <c r="G67" s="463"/>
      <c r="H67" s="334"/>
      <c r="I67" s="259"/>
      <c r="J67" s="213" t="s">
        <v>6</v>
      </c>
      <c r="K67" s="156">
        <f>SUM(K52:K66)</f>
        <v>2863.9</v>
      </c>
      <c r="L67" s="98">
        <f>SUM(L52:L66)</f>
        <v>3242.2</v>
      </c>
      <c r="M67" s="334">
        <f>SUM(M52:M66)</f>
        <v>2613.6999999999998</v>
      </c>
      <c r="N67" s="98">
        <f>SUM(N52:N66)</f>
        <v>0</v>
      </c>
      <c r="O67" s="466"/>
      <c r="P67" s="467"/>
      <c r="Q67" s="468"/>
      <c r="R67" s="468"/>
      <c r="S67" s="469"/>
    </row>
    <row r="68" spans="1:19" ht="33" customHeight="1" x14ac:dyDescent="0.2">
      <c r="A68" s="294" t="s">
        <v>5</v>
      </c>
      <c r="B68" s="328" t="s">
        <v>5</v>
      </c>
      <c r="C68" s="465" t="s">
        <v>33</v>
      </c>
      <c r="D68" s="106"/>
      <c r="E68" s="119" t="s">
        <v>51</v>
      </c>
      <c r="F68" s="123" t="s">
        <v>93</v>
      </c>
      <c r="G68" s="123"/>
      <c r="H68" s="134" t="s">
        <v>43</v>
      </c>
      <c r="I68" s="276"/>
      <c r="J68" s="78"/>
      <c r="K68" s="76"/>
      <c r="L68" s="76"/>
      <c r="M68" s="487"/>
      <c r="N68" s="76"/>
      <c r="O68" s="79"/>
      <c r="P68" s="30"/>
      <c r="Q68" s="30"/>
      <c r="R68" s="1139"/>
      <c r="S68" s="1476"/>
    </row>
    <row r="69" spans="1:19" ht="15" customHeight="1" x14ac:dyDescent="0.2">
      <c r="A69" s="291"/>
      <c r="B69" s="325"/>
      <c r="C69" s="464"/>
      <c r="D69" s="1845" t="s">
        <v>5</v>
      </c>
      <c r="E69" s="1737" t="s">
        <v>61</v>
      </c>
      <c r="F69" s="1841" t="s">
        <v>47</v>
      </c>
      <c r="G69" s="2066" t="s">
        <v>130</v>
      </c>
      <c r="H69" s="1797"/>
      <c r="I69" s="2167" t="s">
        <v>72</v>
      </c>
      <c r="J69" s="96" t="s">
        <v>107</v>
      </c>
      <c r="K69" s="1480">
        <f>500+617.1</f>
        <v>1117.0999999999999</v>
      </c>
      <c r="L69" s="60">
        <v>200</v>
      </c>
      <c r="M69" s="1319">
        <v>0</v>
      </c>
      <c r="N69" s="1480"/>
      <c r="O69" s="2174" t="s">
        <v>278</v>
      </c>
      <c r="P69" s="1484">
        <v>60</v>
      </c>
      <c r="Q69" s="1484">
        <v>100</v>
      </c>
      <c r="R69" s="1435"/>
      <c r="S69" s="1460"/>
    </row>
    <row r="70" spans="1:19" ht="15" customHeight="1" x14ac:dyDescent="0.2">
      <c r="A70" s="350"/>
      <c r="B70" s="371"/>
      <c r="C70" s="464"/>
      <c r="D70" s="1797"/>
      <c r="E70" s="1669"/>
      <c r="F70" s="1832"/>
      <c r="G70" s="2067"/>
      <c r="H70" s="1797"/>
      <c r="I70" s="2160"/>
      <c r="J70" s="92" t="s">
        <v>25</v>
      </c>
      <c r="K70" s="68">
        <v>400</v>
      </c>
      <c r="L70" s="687">
        <f>1500+635.7</f>
        <v>2135.6999999999998</v>
      </c>
      <c r="M70" s="1261">
        <v>0</v>
      </c>
      <c r="N70" s="687"/>
      <c r="O70" s="2175"/>
      <c r="P70" s="330"/>
      <c r="Q70" s="330"/>
      <c r="R70" s="384"/>
      <c r="S70" s="1433"/>
    </row>
    <row r="71" spans="1:19" ht="15" customHeight="1" x14ac:dyDescent="0.2">
      <c r="A71" s="291"/>
      <c r="B71" s="325"/>
      <c r="C71" s="464"/>
      <c r="D71" s="1797"/>
      <c r="E71" s="1669"/>
      <c r="F71" s="1832"/>
      <c r="G71" s="2067"/>
      <c r="H71" s="1797"/>
      <c r="I71" s="2160"/>
      <c r="J71" s="92" t="s">
        <v>48</v>
      </c>
      <c r="K71" s="68">
        <v>993.4</v>
      </c>
      <c r="L71" s="687">
        <f>1000+500</f>
        <v>1500</v>
      </c>
      <c r="M71" s="108"/>
      <c r="N71" s="68"/>
      <c r="O71" s="2176"/>
      <c r="P71" s="330"/>
      <c r="Q71" s="330"/>
      <c r="R71" s="384"/>
      <c r="S71" s="1433"/>
    </row>
    <row r="72" spans="1:19" ht="15" customHeight="1" x14ac:dyDescent="0.2">
      <c r="A72" s="350"/>
      <c r="B72" s="371"/>
      <c r="C72" s="464"/>
      <c r="D72" s="1797"/>
      <c r="E72" s="1669"/>
      <c r="F72" s="1832"/>
      <c r="G72" s="2067"/>
      <c r="H72" s="1797"/>
      <c r="I72" s="2160"/>
      <c r="J72" s="95" t="s">
        <v>45</v>
      </c>
      <c r="K72" s="1492">
        <v>3.2</v>
      </c>
      <c r="L72" s="67"/>
      <c r="M72" s="170"/>
      <c r="N72" s="67"/>
      <c r="O72" s="2177"/>
      <c r="P72" s="22"/>
      <c r="Q72" s="22"/>
      <c r="R72" s="384"/>
      <c r="S72" s="1433"/>
    </row>
    <row r="73" spans="1:19" ht="15.75" customHeight="1" x14ac:dyDescent="0.2">
      <c r="A73" s="1736"/>
      <c r="B73" s="1788"/>
      <c r="C73" s="2086"/>
      <c r="D73" s="2093" t="s">
        <v>7</v>
      </c>
      <c r="E73" s="1725" t="s">
        <v>302</v>
      </c>
      <c r="F73" s="1823" t="s">
        <v>47</v>
      </c>
      <c r="G73" s="2066" t="s">
        <v>131</v>
      </c>
      <c r="H73" s="1732"/>
      <c r="I73" s="2061"/>
      <c r="J73" s="92" t="s">
        <v>107</v>
      </c>
      <c r="K73" s="68"/>
      <c r="L73" s="68"/>
      <c r="M73" s="108">
        <v>400</v>
      </c>
      <c r="N73" s="68"/>
      <c r="O73" s="1485" t="s">
        <v>279</v>
      </c>
      <c r="P73" s="330"/>
      <c r="Q73" s="330"/>
      <c r="R73" s="1435">
        <v>35</v>
      </c>
      <c r="S73" s="1460"/>
    </row>
    <row r="74" spans="1:19" ht="17.25" customHeight="1" x14ac:dyDescent="0.2">
      <c r="A74" s="1736"/>
      <c r="B74" s="1788"/>
      <c r="C74" s="2086"/>
      <c r="D74" s="1635"/>
      <c r="E74" s="1726"/>
      <c r="F74" s="1795"/>
      <c r="G74" s="2164"/>
      <c r="H74" s="2163"/>
      <c r="I74" s="2062"/>
      <c r="J74" s="145"/>
      <c r="K74" s="67"/>
      <c r="L74" s="67"/>
      <c r="M74" s="170"/>
      <c r="N74" s="67"/>
      <c r="O74" s="386"/>
      <c r="P74" s="330"/>
      <c r="Q74" s="330"/>
      <c r="R74" s="384"/>
      <c r="S74" s="1433"/>
    </row>
    <row r="75" spans="1:19" ht="14.25" customHeight="1" x14ac:dyDescent="0.2">
      <c r="A75" s="1736"/>
      <c r="B75" s="1788"/>
      <c r="C75" s="2086"/>
      <c r="D75" s="2093" t="s">
        <v>28</v>
      </c>
      <c r="E75" s="1725" t="s">
        <v>304</v>
      </c>
      <c r="F75" s="1823" t="s">
        <v>47</v>
      </c>
      <c r="G75" s="2067" t="s">
        <v>233</v>
      </c>
      <c r="H75" s="2165">
        <v>6</v>
      </c>
      <c r="I75" s="2061" t="s">
        <v>303</v>
      </c>
      <c r="J75" s="50" t="s">
        <v>25</v>
      </c>
      <c r="K75" s="68"/>
      <c r="L75" s="68">
        <v>10</v>
      </c>
      <c r="M75" s="108">
        <v>12</v>
      </c>
      <c r="N75" s="68"/>
      <c r="O75" s="647" t="s">
        <v>46</v>
      </c>
      <c r="P75" s="649"/>
      <c r="Q75" s="649">
        <v>1</v>
      </c>
      <c r="R75" s="1435"/>
      <c r="S75" s="1460"/>
    </row>
    <row r="76" spans="1:19" ht="21" customHeight="1" x14ac:dyDescent="0.2">
      <c r="A76" s="1736"/>
      <c r="B76" s="1788"/>
      <c r="C76" s="2086"/>
      <c r="D76" s="1635"/>
      <c r="E76" s="1726"/>
      <c r="F76" s="1795"/>
      <c r="G76" s="2067"/>
      <c r="H76" s="2165"/>
      <c r="I76" s="2061"/>
      <c r="J76" s="92"/>
      <c r="K76" s="68"/>
      <c r="L76" s="68"/>
      <c r="M76" s="108"/>
      <c r="N76" s="68"/>
      <c r="O76" s="1820" t="s">
        <v>188</v>
      </c>
      <c r="P76" s="330"/>
      <c r="Q76" s="330">
        <v>50</v>
      </c>
      <c r="R76" s="384">
        <v>100</v>
      </c>
      <c r="S76" s="1433"/>
    </row>
    <row r="77" spans="1:19" ht="18.75" customHeight="1" x14ac:dyDescent="0.2">
      <c r="A77" s="1736"/>
      <c r="B77" s="1788"/>
      <c r="C77" s="2086"/>
      <c r="D77" s="2151"/>
      <c r="E77" s="1727"/>
      <c r="F77" s="2168"/>
      <c r="G77" s="2098"/>
      <c r="H77" s="2166"/>
      <c r="I77" s="2062"/>
      <c r="J77" s="145"/>
      <c r="K77" s="67"/>
      <c r="L77" s="67"/>
      <c r="M77" s="170"/>
      <c r="N77" s="67"/>
      <c r="O77" s="2117"/>
      <c r="P77" s="22"/>
      <c r="Q77" s="22"/>
      <c r="R77" s="387"/>
      <c r="S77" s="23"/>
    </row>
    <row r="78" spans="1:19" ht="16.5" customHeight="1" thickBot="1" x14ac:dyDescent="0.25">
      <c r="A78" s="75"/>
      <c r="B78" s="363"/>
      <c r="C78" s="216"/>
      <c r="D78" s="334"/>
      <c r="E78" s="461"/>
      <c r="F78" s="462"/>
      <c r="G78" s="463"/>
      <c r="H78" s="334"/>
      <c r="I78" s="259"/>
      <c r="J78" s="213" t="s">
        <v>6</v>
      </c>
      <c r="K78" s="98">
        <f>SUM(K69:K77)</f>
        <v>2513.6999999999998</v>
      </c>
      <c r="L78" s="98">
        <f>SUM(L69:L77)</f>
        <v>3845.7</v>
      </c>
      <c r="M78" s="334">
        <f>SUM(M69:M77)</f>
        <v>412</v>
      </c>
      <c r="N78" s="98">
        <f>SUM(N69:N77)</f>
        <v>0</v>
      </c>
      <c r="O78" s="466"/>
      <c r="P78" s="467"/>
      <c r="Q78" s="468"/>
      <c r="R78" s="468"/>
      <c r="S78" s="469"/>
    </row>
    <row r="79" spans="1:19" ht="33" customHeight="1" x14ac:dyDescent="0.2">
      <c r="A79" s="360" t="s">
        <v>5</v>
      </c>
      <c r="B79" s="328" t="s">
        <v>5</v>
      </c>
      <c r="C79" s="465" t="s">
        <v>34</v>
      </c>
      <c r="D79" s="106"/>
      <c r="E79" s="81" t="s">
        <v>101</v>
      </c>
      <c r="F79" s="123" t="s">
        <v>90</v>
      </c>
      <c r="G79" s="114"/>
      <c r="H79" s="133" t="s">
        <v>43</v>
      </c>
      <c r="I79" s="135"/>
      <c r="J79" s="487"/>
      <c r="K79" s="76"/>
      <c r="L79" s="76"/>
      <c r="M79" s="487"/>
      <c r="N79" s="76"/>
      <c r="O79" s="201"/>
      <c r="P79" s="31"/>
      <c r="Q79" s="31"/>
      <c r="R79" s="1463"/>
      <c r="S79" s="383"/>
    </row>
    <row r="80" spans="1:19" ht="18" customHeight="1" x14ac:dyDescent="0.2">
      <c r="A80" s="350"/>
      <c r="B80" s="371"/>
      <c r="C80" s="464"/>
      <c r="D80" s="1417" t="s">
        <v>5</v>
      </c>
      <c r="E80" s="1725" t="s">
        <v>177</v>
      </c>
      <c r="F80" s="124" t="s">
        <v>47</v>
      </c>
      <c r="G80" s="2056" t="s">
        <v>235</v>
      </c>
      <c r="H80" s="353"/>
      <c r="I80" s="2061" t="s">
        <v>133</v>
      </c>
      <c r="J80" s="96" t="s">
        <v>107</v>
      </c>
      <c r="K80" s="60"/>
      <c r="L80" s="60">
        <v>1900</v>
      </c>
      <c r="M80" s="141">
        <v>2000</v>
      </c>
      <c r="N80" s="60"/>
      <c r="O80" s="1681" t="s">
        <v>158</v>
      </c>
      <c r="P80" s="584">
        <v>10</v>
      </c>
      <c r="Q80" s="584">
        <v>40</v>
      </c>
      <c r="R80" s="1435">
        <v>100</v>
      </c>
      <c r="S80" s="1460"/>
    </row>
    <row r="81" spans="1:21" ht="18.75" customHeight="1" x14ac:dyDescent="0.2">
      <c r="A81" s="350"/>
      <c r="B81" s="371"/>
      <c r="C81" s="475"/>
      <c r="D81" s="1417"/>
      <c r="E81" s="1726"/>
      <c r="F81" s="250"/>
      <c r="G81" s="2057"/>
      <c r="H81" s="353"/>
      <c r="I81" s="2061"/>
      <c r="J81" s="92" t="s">
        <v>25</v>
      </c>
      <c r="K81" s="68">
        <f>326.1+123.9</f>
        <v>450</v>
      </c>
      <c r="L81" s="68">
        <f>2400+450</f>
        <v>2850</v>
      </c>
      <c r="M81" s="1261">
        <f>4892.8+300-798.1</f>
        <v>4394.7</v>
      </c>
      <c r="N81" s="68"/>
      <c r="O81" s="2118"/>
      <c r="P81" s="330"/>
      <c r="Q81" s="330"/>
      <c r="R81" s="384"/>
      <c r="S81" s="1433"/>
    </row>
    <row r="82" spans="1:21" ht="12" customHeight="1" x14ac:dyDescent="0.2">
      <c r="A82" s="580"/>
      <c r="B82" s="585"/>
      <c r="C82" s="527"/>
      <c r="D82" s="1417"/>
      <c r="E82" s="1726"/>
      <c r="F82" s="250"/>
      <c r="G82" s="2057"/>
      <c r="H82" s="583"/>
      <c r="I82" s="2061"/>
      <c r="J82" s="92" t="s">
        <v>48</v>
      </c>
      <c r="K82" s="68">
        <v>300</v>
      </c>
      <c r="L82" s="68"/>
      <c r="M82" s="1261">
        <v>1500</v>
      </c>
      <c r="N82" s="68"/>
      <c r="O82" s="2118"/>
      <c r="P82" s="330"/>
      <c r="Q82" s="330"/>
      <c r="R82" s="384"/>
      <c r="S82" s="1433"/>
      <c r="U82" s="54"/>
    </row>
    <row r="83" spans="1:21" ht="8.25" customHeight="1" x14ac:dyDescent="0.2">
      <c r="A83" s="350"/>
      <c r="B83" s="371"/>
      <c r="C83" s="475"/>
      <c r="D83" s="1417"/>
      <c r="E83" s="2099"/>
      <c r="F83" s="125"/>
      <c r="G83" s="2119"/>
      <c r="H83" s="353"/>
      <c r="I83" s="2061"/>
      <c r="J83" s="95"/>
      <c r="K83" s="67"/>
      <c r="L83" s="67"/>
      <c r="M83" s="170"/>
      <c r="N83" s="67"/>
      <c r="O83" s="550"/>
      <c r="P83" s="22"/>
      <c r="Q83" s="22"/>
      <c r="R83" s="387"/>
      <c r="S83" s="23"/>
    </row>
    <row r="84" spans="1:21" ht="15.75" customHeight="1" x14ac:dyDescent="0.2">
      <c r="A84" s="350"/>
      <c r="B84" s="371"/>
      <c r="C84" s="464"/>
      <c r="D84" s="1442" t="s">
        <v>7</v>
      </c>
      <c r="E84" s="1725" t="s">
        <v>297</v>
      </c>
      <c r="F84" s="124" t="s">
        <v>47</v>
      </c>
      <c r="G84" s="2068" t="s">
        <v>234</v>
      </c>
      <c r="H84" s="353"/>
      <c r="I84" s="2061"/>
      <c r="J84" s="92" t="s">
        <v>107</v>
      </c>
      <c r="K84" s="687">
        <v>692.3</v>
      </c>
      <c r="L84" s="68"/>
      <c r="M84" s="108"/>
      <c r="N84" s="68"/>
      <c r="O84" s="1681" t="s">
        <v>280</v>
      </c>
      <c r="P84" s="1432">
        <v>60</v>
      </c>
      <c r="Q84" s="496">
        <v>100</v>
      </c>
      <c r="R84" s="1141"/>
      <c r="S84" s="413"/>
    </row>
    <row r="85" spans="1:21" ht="15" customHeight="1" x14ac:dyDescent="0.2">
      <c r="A85" s="350"/>
      <c r="B85" s="371"/>
      <c r="C85" s="464"/>
      <c r="D85" s="1417"/>
      <c r="E85" s="1726"/>
      <c r="F85" s="2130"/>
      <c r="G85" s="2129"/>
      <c r="H85" s="353"/>
      <c r="I85" s="2070"/>
      <c r="J85" s="1051" t="s">
        <v>25</v>
      </c>
      <c r="K85" s="1472">
        <v>352.5</v>
      </c>
      <c r="L85" s="1490">
        <f>351.4+916.8</f>
        <v>1268.2</v>
      </c>
      <c r="M85" s="108"/>
      <c r="N85" s="68"/>
      <c r="O85" s="1682"/>
      <c r="P85" s="368"/>
      <c r="Q85" s="368"/>
      <c r="R85" s="1141"/>
      <c r="S85" s="413"/>
      <c r="U85" s="54"/>
    </row>
    <row r="86" spans="1:21" ht="16.5" customHeight="1" x14ac:dyDescent="0.2">
      <c r="A86" s="350"/>
      <c r="B86" s="371"/>
      <c r="C86" s="464"/>
      <c r="D86" s="455"/>
      <c r="E86" s="1726"/>
      <c r="F86" s="2130"/>
      <c r="G86" s="2129"/>
      <c r="H86" s="353"/>
      <c r="I86" s="2070"/>
      <c r="J86" s="1489" t="s">
        <v>62</v>
      </c>
      <c r="K86" s="1472">
        <v>1533.9</v>
      </c>
      <c r="L86" s="848"/>
      <c r="M86" s="108"/>
      <c r="N86" s="68"/>
      <c r="O86" s="1419"/>
      <c r="P86" s="496"/>
      <c r="Q86" s="496"/>
      <c r="R86" s="1141"/>
      <c r="S86" s="413"/>
    </row>
    <row r="87" spans="1:21" ht="16.5" customHeight="1" x14ac:dyDescent="0.2">
      <c r="A87" s="1036"/>
      <c r="B87" s="1040"/>
      <c r="C87" s="1037"/>
      <c r="D87" s="1038"/>
      <c r="E87" s="1726"/>
      <c r="F87" s="2130"/>
      <c r="G87" s="2129"/>
      <c r="H87" s="1039"/>
      <c r="I87" s="2070"/>
      <c r="J87" s="849" t="s">
        <v>106</v>
      </c>
      <c r="K87" s="1486">
        <v>403.6</v>
      </c>
      <c r="L87" s="847"/>
      <c r="M87" s="170"/>
      <c r="N87" s="67"/>
      <c r="O87" s="1429"/>
      <c r="P87" s="48"/>
      <c r="Q87" s="48"/>
      <c r="R87" s="1141"/>
      <c r="S87" s="413"/>
    </row>
    <row r="88" spans="1:21" ht="25.5" customHeight="1" x14ac:dyDescent="0.2">
      <c r="A88" s="1421"/>
      <c r="B88" s="1428"/>
      <c r="C88" s="1441"/>
      <c r="D88" s="1442" t="s">
        <v>28</v>
      </c>
      <c r="E88" s="1725" t="s">
        <v>305</v>
      </c>
      <c r="F88" s="124" t="s">
        <v>47</v>
      </c>
      <c r="G88" s="2068" t="s">
        <v>132</v>
      </c>
      <c r="H88" s="1425"/>
      <c r="I88" s="2061"/>
      <c r="J88" s="92" t="s">
        <v>25</v>
      </c>
      <c r="K88" s="70"/>
      <c r="L88" s="68"/>
      <c r="M88" s="108">
        <v>250</v>
      </c>
      <c r="N88" s="68">
        <v>1500</v>
      </c>
      <c r="O88" s="1424" t="s">
        <v>312</v>
      </c>
      <c r="P88" s="1487"/>
      <c r="Q88" s="1488"/>
      <c r="R88" s="1464">
        <v>30</v>
      </c>
      <c r="S88" s="1478">
        <v>50</v>
      </c>
    </row>
    <row r="89" spans="1:21" ht="14.25" customHeight="1" x14ac:dyDescent="0.2">
      <c r="A89" s="1421"/>
      <c r="B89" s="1428"/>
      <c r="C89" s="1441"/>
      <c r="D89" s="1443"/>
      <c r="E89" s="1819"/>
      <c r="F89" s="853"/>
      <c r="G89" s="2069"/>
      <c r="H89" s="1425"/>
      <c r="I89" s="2070"/>
      <c r="J89" s="67" t="s">
        <v>25</v>
      </c>
      <c r="K89" s="63"/>
      <c r="L89" s="67"/>
      <c r="M89" s="1262">
        <v>380</v>
      </c>
      <c r="N89" s="67"/>
      <c r="O89" s="612"/>
      <c r="P89" s="48"/>
      <c r="Q89" s="48"/>
      <c r="R89" s="1135"/>
      <c r="S89" s="33"/>
    </row>
    <row r="90" spans="1:21" ht="14.25" customHeight="1" x14ac:dyDescent="0.2">
      <c r="A90" s="1421"/>
      <c r="B90" s="1428"/>
      <c r="C90" s="1441"/>
      <c r="D90" s="1417" t="s">
        <v>33</v>
      </c>
      <c r="E90" s="2022" t="s">
        <v>387</v>
      </c>
      <c r="F90" s="1378" t="s">
        <v>47</v>
      </c>
      <c r="G90" s="1446"/>
      <c r="H90" s="1425"/>
      <c r="I90" s="1445"/>
      <c r="J90" s="92" t="s">
        <v>25</v>
      </c>
      <c r="K90" s="70"/>
      <c r="L90" s="687"/>
      <c r="M90" s="1261">
        <v>82</v>
      </c>
      <c r="N90" s="687">
        <v>380</v>
      </c>
      <c r="O90" s="1384" t="s">
        <v>46</v>
      </c>
      <c r="P90" s="1377"/>
      <c r="Q90" s="1377"/>
      <c r="R90" s="2071">
        <v>1</v>
      </c>
      <c r="S90" s="413"/>
    </row>
    <row r="91" spans="1:21" ht="21.75" customHeight="1" x14ac:dyDescent="0.2">
      <c r="A91" s="1421"/>
      <c r="B91" s="1428"/>
      <c r="C91" s="1441"/>
      <c r="D91" s="1417"/>
      <c r="E91" s="2023"/>
      <c r="F91" s="1379"/>
      <c r="G91" s="1446"/>
      <c r="H91" s="1425"/>
      <c r="I91" s="1445"/>
      <c r="J91" s="95"/>
      <c r="K91" s="63"/>
      <c r="L91" s="1492"/>
      <c r="M91" s="1262"/>
      <c r="N91" s="1492"/>
      <c r="O91" s="1385" t="s">
        <v>272</v>
      </c>
      <c r="P91" s="496"/>
      <c r="Q91" s="496"/>
      <c r="R91" s="2072"/>
      <c r="S91" s="33">
        <v>20</v>
      </c>
    </row>
    <row r="92" spans="1:21" ht="25.5" customHeight="1" x14ac:dyDescent="0.2">
      <c r="A92" s="1421"/>
      <c r="B92" s="1428"/>
      <c r="C92" s="1441"/>
      <c r="D92" s="1442" t="s">
        <v>34</v>
      </c>
      <c r="E92" s="2022" t="s">
        <v>388</v>
      </c>
      <c r="F92" s="1380" t="s">
        <v>47</v>
      </c>
      <c r="G92" s="2068" t="s">
        <v>132</v>
      </c>
      <c r="H92" s="1425"/>
      <c r="I92" s="2061"/>
      <c r="J92" s="92" t="s">
        <v>25</v>
      </c>
      <c r="K92" s="70"/>
      <c r="L92" s="687">
        <v>50</v>
      </c>
      <c r="M92" s="1261">
        <v>65</v>
      </c>
      <c r="N92" s="687">
        <v>500</v>
      </c>
      <c r="O92" s="1384" t="s">
        <v>46</v>
      </c>
      <c r="P92" s="1377"/>
      <c r="Q92" s="1377"/>
      <c r="R92" s="1265">
        <v>1</v>
      </c>
      <c r="S92" s="1491"/>
    </row>
    <row r="93" spans="1:21" ht="14.25" customHeight="1" x14ac:dyDescent="0.2">
      <c r="A93" s="1421"/>
      <c r="B93" s="1428"/>
      <c r="C93" s="1441"/>
      <c r="D93" s="1443"/>
      <c r="E93" s="2023"/>
      <c r="F93" s="1381"/>
      <c r="G93" s="2069"/>
      <c r="H93" s="1425"/>
      <c r="I93" s="2070"/>
      <c r="J93" s="67"/>
      <c r="K93" s="63"/>
      <c r="L93" s="67"/>
      <c r="M93" s="170"/>
      <c r="N93" s="67"/>
      <c r="O93" s="612"/>
      <c r="P93" s="48"/>
      <c r="Q93" s="48"/>
      <c r="R93" s="1135"/>
      <c r="S93" s="33"/>
    </row>
    <row r="94" spans="1:21" ht="16.5" customHeight="1" thickBot="1" x14ac:dyDescent="0.25">
      <c r="A94" s="75"/>
      <c r="B94" s="363"/>
      <c r="C94" s="216"/>
      <c r="D94" s="334"/>
      <c r="E94" s="461"/>
      <c r="F94" s="462"/>
      <c r="G94" s="463"/>
      <c r="H94" s="334"/>
      <c r="I94" s="259"/>
      <c r="J94" s="246" t="s">
        <v>6</v>
      </c>
      <c r="K94" s="156">
        <f>SUM(K80:K93)</f>
        <v>3732.3</v>
      </c>
      <c r="L94" s="156">
        <f>SUM(L80:L93)</f>
        <v>6068.2</v>
      </c>
      <c r="M94" s="156">
        <f>SUM(M80:M93)</f>
        <v>8671.7000000000007</v>
      </c>
      <c r="N94" s="156">
        <f t="shared" ref="N94" si="2">SUM(N80:N93)</f>
        <v>2380</v>
      </c>
      <c r="O94" s="466"/>
      <c r="P94" s="467"/>
      <c r="Q94" s="468"/>
      <c r="R94" s="468"/>
      <c r="S94" s="469"/>
    </row>
    <row r="95" spans="1:21" ht="30" customHeight="1" x14ac:dyDescent="0.2">
      <c r="A95" s="350" t="s">
        <v>5</v>
      </c>
      <c r="B95" s="371" t="s">
        <v>5</v>
      </c>
      <c r="C95" s="464" t="s">
        <v>35</v>
      </c>
      <c r="D95" s="458"/>
      <c r="E95" s="251" t="s">
        <v>74</v>
      </c>
      <c r="F95" s="509" t="s">
        <v>95</v>
      </c>
      <c r="G95" s="123"/>
      <c r="H95" s="315" t="s">
        <v>43</v>
      </c>
      <c r="I95" s="312"/>
      <c r="J95" s="490"/>
      <c r="K95" s="83"/>
      <c r="L95" s="83"/>
      <c r="M95" s="485"/>
      <c r="N95" s="83"/>
      <c r="O95" s="69"/>
      <c r="P95" s="7"/>
      <c r="Q95" s="57"/>
      <c r="R95" s="184"/>
      <c r="S95" s="383"/>
    </row>
    <row r="96" spans="1:21" ht="15.75" customHeight="1" x14ac:dyDescent="0.2">
      <c r="A96" s="291"/>
      <c r="B96" s="325"/>
      <c r="C96" s="464"/>
      <c r="D96" s="472" t="s">
        <v>5</v>
      </c>
      <c r="E96" s="1725" t="s">
        <v>175</v>
      </c>
      <c r="F96" s="323" t="s">
        <v>47</v>
      </c>
      <c r="G96" s="2131">
        <v>6010602</v>
      </c>
      <c r="H96" s="311"/>
      <c r="I96" s="2116" t="s">
        <v>92</v>
      </c>
      <c r="J96" s="423" t="s">
        <v>25</v>
      </c>
      <c r="K96" s="68">
        <v>50</v>
      </c>
      <c r="L96" s="68"/>
      <c r="M96" s="108"/>
      <c r="N96" s="68"/>
      <c r="O96" s="624" t="s">
        <v>46</v>
      </c>
      <c r="P96" s="598"/>
      <c r="Q96" s="611">
        <v>1</v>
      </c>
      <c r="R96" s="1431"/>
      <c r="S96" s="1460"/>
    </row>
    <row r="97" spans="1:20" ht="32.25" customHeight="1" x14ac:dyDescent="0.2">
      <c r="A97" s="291"/>
      <c r="B97" s="325"/>
      <c r="C97" s="464"/>
      <c r="D97" s="473"/>
      <c r="E97" s="1726"/>
      <c r="F97" s="322"/>
      <c r="G97" s="2132"/>
      <c r="H97" s="311"/>
      <c r="I97" s="2061"/>
      <c r="J97" s="145" t="s">
        <v>107</v>
      </c>
      <c r="K97" s="67"/>
      <c r="L97" s="67">
        <v>780</v>
      </c>
      <c r="M97" s="170"/>
      <c r="N97" s="67"/>
      <c r="O97" s="824"/>
      <c r="P97" s="330"/>
      <c r="Q97" s="384"/>
      <c r="R97" s="51"/>
      <c r="S97" s="23"/>
      <c r="T97" s="54"/>
    </row>
    <row r="98" spans="1:20" ht="15" customHeight="1" x14ac:dyDescent="0.2">
      <c r="A98" s="291"/>
      <c r="B98" s="325"/>
      <c r="C98" s="464"/>
      <c r="D98" s="472" t="s">
        <v>7</v>
      </c>
      <c r="E98" s="1725" t="s">
        <v>313</v>
      </c>
      <c r="F98" s="323" t="s">
        <v>47</v>
      </c>
      <c r="G98" s="2056" t="s">
        <v>236</v>
      </c>
      <c r="H98" s="311"/>
      <c r="I98" s="136"/>
      <c r="J98" s="423" t="s">
        <v>45</v>
      </c>
      <c r="K98" s="68">
        <v>30</v>
      </c>
      <c r="L98" s="68">
        <v>72.5</v>
      </c>
      <c r="M98" s="108"/>
      <c r="N98" s="68"/>
      <c r="O98" s="625" t="s">
        <v>165</v>
      </c>
      <c r="P98" s="576">
        <v>1</v>
      </c>
      <c r="Q98" s="626"/>
      <c r="R98" s="1166"/>
      <c r="S98" s="627"/>
    </row>
    <row r="99" spans="1:20" ht="15" customHeight="1" x14ac:dyDescent="0.2">
      <c r="A99" s="291"/>
      <c r="B99" s="325"/>
      <c r="C99" s="464"/>
      <c r="D99" s="472"/>
      <c r="E99" s="1726"/>
      <c r="F99" s="323"/>
      <c r="G99" s="2057"/>
      <c r="H99" s="311"/>
      <c r="I99" s="367"/>
      <c r="J99" s="423"/>
      <c r="K99" s="68"/>
      <c r="L99" s="68"/>
      <c r="M99" s="108"/>
      <c r="N99" s="68"/>
      <c r="O99" s="624" t="s">
        <v>46</v>
      </c>
      <c r="P99" s="598"/>
      <c r="Q99" s="611">
        <v>1</v>
      </c>
      <c r="R99" s="1167"/>
      <c r="S99" s="628"/>
    </row>
    <row r="100" spans="1:20" ht="27" customHeight="1" x14ac:dyDescent="0.2">
      <c r="A100" s="333"/>
      <c r="B100" s="332"/>
      <c r="C100" s="464"/>
      <c r="D100" s="473"/>
      <c r="E100" s="2133"/>
      <c r="F100" s="322"/>
      <c r="G100" s="2097"/>
      <c r="H100" s="313"/>
      <c r="I100" s="367"/>
      <c r="J100" s="145"/>
      <c r="K100" s="67"/>
      <c r="L100" s="67"/>
      <c r="M100" s="170"/>
      <c r="N100" s="67"/>
      <c r="O100" s="629"/>
      <c r="P100" s="610"/>
      <c r="Q100" s="725"/>
      <c r="R100" s="1494"/>
      <c r="S100" s="630"/>
    </row>
    <row r="101" spans="1:20" ht="15" customHeight="1" thickBot="1" x14ac:dyDescent="0.25">
      <c r="A101" s="295"/>
      <c r="B101" s="327"/>
      <c r="C101" s="459"/>
      <c r="D101" s="334"/>
      <c r="E101" s="461"/>
      <c r="F101" s="462"/>
      <c r="G101" s="463"/>
      <c r="H101" s="334"/>
      <c r="I101" s="259"/>
      <c r="J101" s="213" t="s">
        <v>6</v>
      </c>
      <c r="K101" s="156">
        <f>SUM(K96:K100)</f>
        <v>80</v>
      </c>
      <c r="L101" s="156">
        <f>SUM(L96:L100)</f>
        <v>852.5</v>
      </c>
      <c r="M101" s="246">
        <f>SUM(M96:M100)</f>
        <v>0</v>
      </c>
      <c r="N101" s="156">
        <f>SUM(N96:N100)</f>
        <v>0</v>
      </c>
      <c r="O101" s="466"/>
      <c r="P101" s="467"/>
      <c r="Q101" s="468"/>
      <c r="R101" s="468"/>
      <c r="S101" s="469"/>
    </row>
    <row r="102" spans="1:20" ht="27" customHeight="1" x14ac:dyDescent="0.2">
      <c r="A102" s="291" t="s">
        <v>5</v>
      </c>
      <c r="B102" s="325" t="s">
        <v>5</v>
      </c>
      <c r="C102" s="471" t="s">
        <v>36</v>
      </c>
      <c r="D102" s="458"/>
      <c r="E102" s="126" t="s">
        <v>318</v>
      </c>
      <c r="F102" s="146"/>
      <c r="G102" s="510"/>
      <c r="H102" s="317" t="s">
        <v>43</v>
      </c>
      <c r="I102" s="2081" t="s">
        <v>72</v>
      </c>
      <c r="J102" s="1470"/>
      <c r="K102" s="61"/>
      <c r="L102" s="492"/>
      <c r="M102" s="143"/>
      <c r="N102" s="61"/>
      <c r="O102" s="77"/>
      <c r="P102" s="26"/>
      <c r="Q102" s="30"/>
      <c r="R102" s="1148"/>
      <c r="S102" s="1009"/>
    </row>
    <row r="103" spans="1:20" ht="13.5" customHeight="1" x14ac:dyDescent="0.2">
      <c r="A103" s="291"/>
      <c r="B103" s="325"/>
      <c r="C103" s="470"/>
      <c r="D103" s="641" t="s">
        <v>5</v>
      </c>
      <c r="E103" s="531" t="s">
        <v>89</v>
      </c>
      <c r="F103" s="659"/>
      <c r="G103" s="150" t="s">
        <v>149</v>
      </c>
      <c r="H103" s="310"/>
      <c r="I103" s="2070"/>
      <c r="J103" s="96" t="s">
        <v>107</v>
      </c>
      <c r="K103" s="1480">
        <v>0</v>
      </c>
      <c r="L103" s="60">
        <v>3</v>
      </c>
      <c r="M103" s="141">
        <v>3</v>
      </c>
      <c r="N103" s="60">
        <v>3</v>
      </c>
      <c r="O103" s="1681" t="s">
        <v>183</v>
      </c>
      <c r="P103" s="576">
        <v>100</v>
      </c>
      <c r="Q103" s="576">
        <v>100</v>
      </c>
      <c r="R103" s="1136">
        <v>100</v>
      </c>
      <c r="S103" s="1477">
        <v>100</v>
      </c>
    </row>
    <row r="104" spans="1:20" ht="16.5" customHeight="1" x14ac:dyDescent="0.2">
      <c r="A104" s="639"/>
      <c r="B104" s="640"/>
      <c r="C104" s="470"/>
      <c r="D104" s="657"/>
      <c r="E104" s="165"/>
      <c r="F104" s="660"/>
      <c r="G104" s="669"/>
      <c r="H104" s="646"/>
      <c r="I104" s="648"/>
      <c r="J104" s="95" t="s">
        <v>25</v>
      </c>
      <c r="K104" s="67">
        <v>3</v>
      </c>
      <c r="L104" s="67">
        <v>3</v>
      </c>
      <c r="M104" s="170">
        <v>3</v>
      </c>
      <c r="N104" s="67">
        <v>3</v>
      </c>
      <c r="O104" s="1804"/>
      <c r="P104" s="598"/>
      <c r="Q104" s="598"/>
      <c r="R104" s="611"/>
      <c r="S104" s="930"/>
    </row>
    <row r="105" spans="1:20" s="9" customFormat="1" ht="54.75" customHeight="1" x14ac:dyDescent="0.2">
      <c r="A105" s="291"/>
      <c r="B105" s="325"/>
      <c r="C105" s="464"/>
      <c r="D105" s="455" t="s">
        <v>7</v>
      </c>
      <c r="E105" s="670" t="s">
        <v>81</v>
      </c>
      <c r="F105" s="300"/>
      <c r="G105" s="388" t="s">
        <v>134</v>
      </c>
      <c r="H105" s="354"/>
      <c r="I105" s="389"/>
      <c r="J105" s="1471" t="s">
        <v>25</v>
      </c>
      <c r="K105" s="438">
        <v>25</v>
      </c>
      <c r="L105" s="438">
        <v>25</v>
      </c>
      <c r="M105" s="437">
        <v>25</v>
      </c>
      <c r="N105" s="438">
        <v>25</v>
      </c>
      <c r="O105" s="1805"/>
      <c r="P105" s="578"/>
      <c r="Q105" s="578"/>
      <c r="R105" s="1142"/>
      <c r="S105" s="1170"/>
    </row>
    <row r="106" spans="1:20" ht="15" customHeight="1" thickBot="1" x14ac:dyDescent="0.25">
      <c r="A106" s="361"/>
      <c r="B106" s="327"/>
      <c r="C106" s="459"/>
      <c r="D106" s="334"/>
      <c r="E106" s="461"/>
      <c r="F106" s="462"/>
      <c r="G106" s="463"/>
      <c r="H106" s="334"/>
      <c r="I106" s="259"/>
      <c r="J106" s="213" t="s">
        <v>6</v>
      </c>
      <c r="K106" s="156">
        <f>SUM(K103:K105)</f>
        <v>28</v>
      </c>
      <c r="L106" s="156">
        <f t="shared" ref="L106:N106" si="3">SUM(L103:L105)</f>
        <v>31</v>
      </c>
      <c r="M106" s="246">
        <f t="shared" ref="M106" si="4">SUM(M103:M105)</f>
        <v>31</v>
      </c>
      <c r="N106" s="156">
        <f t="shared" si="3"/>
        <v>31</v>
      </c>
      <c r="O106" s="466"/>
      <c r="P106" s="467"/>
      <c r="Q106" s="468"/>
      <c r="R106" s="468"/>
      <c r="S106" s="469"/>
    </row>
    <row r="107" spans="1:20" ht="14.25" customHeight="1" thickBot="1" x14ac:dyDescent="0.25">
      <c r="A107" s="85" t="s">
        <v>5</v>
      </c>
      <c r="B107" s="329" t="s">
        <v>5</v>
      </c>
      <c r="C107" s="1785" t="s">
        <v>8</v>
      </c>
      <c r="D107" s="1728"/>
      <c r="E107" s="1728"/>
      <c r="F107" s="1728"/>
      <c r="G107" s="1728"/>
      <c r="H107" s="1728"/>
      <c r="I107" s="1728"/>
      <c r="J107" s="1660"/>
      <c r="K107" s="159">
        <f>K106+K101+K94+K78+K67+K50+K35</f>
        <v>11451.4</v>
      </c>
      <c r="L107" s="159">
        <f>L106+L101+L94+L78+L67+L50+L35</f>
        <v>20476.2</v>
      </c>
      <c r="M107" s="439">
        <f>M106+M101+M94+M78+M67+M50+M35</f>
        <v>16676.900000000001</v>
      </c>
      <c r="N107" s="159">
        <f>N106+N101+N94+N78+N67+N50+N35</f>
        <v>3558</v>
      </c>
      <c r="O107" s="87"/>
      <c r="P107" s="172"/>
      <c r="Q107" s="172"/>
      <c r="R107" s="1447"/>
      <c r="S107" s="1418"/>
    </row>
    <row r="108" spans="1:20" ht="14.25" customHeight="1" thickBot="1" x14ac:dyDescent="0.25">
      <c r="A108" s="85" t="s">
        <v>5</v>
      </c>
      <c r="B108" s="329" t="s">
        <v>7</v>
      </c>
      <c r="C108" s="1806" t="s">
        <v>32</v>
      </c>
      <c r="D108" s="1806"/>
      <c r="E108" s="1806"/>
      <c r="F108" s="1806"/>
      <c r="G108" s="1806"/>
      <c r="H108" s="1806"/>
      <c r="I108" s="1806"/>
      <c r="J108" s="1806"/>
      <c r="K108" s="1807"/>
      <c r="L108" s="1807"/>
      <c r="M108" s="1807"/>
      <c r="N108" s="1807"/>
      <c r="O108" s="1806"/>
      <c r="P108" s="1645"/>
      <c r="Q108" s="1645"/>
      <c r="R108" s="1645"/>
      <c r="S108" s="1808"/>
    </row>
    <row r="109" spans="1:20" ht="30" customHeight="1" x14ac:dyDescent="0.2">
      <c r="A109" s="890" t="s">
        <v>5</v>
      </c>
      <c r="B109" s="328" t="s">
        <v>7</v>
      </c>
      <c r="C109" s="465" t="s">
        <v>5</v>
      </c>
      <c r="D109" s="224"/>
      <c r="E109" s="132" t="s">
        <v>57</v>
      </c>
      <c r="F109" s="128" t="s">
        <v>122</v>
      </c>
      <c r="G109" s="127"/>
      <c r="H109" s="552"/>
      <c r="I109" s="553"/>
      <c r="J109" s="100"/>
      <c r="K109" s="167"/>
      <c r="L109" s="167"/>
      <c r="M109" s="167"/>
      <c r="N109" s="167"/>
      <c r="O109" s="90"/>
      <c r="P109" s="208"/>
      <c r="Q109" s="208"/>
      <c r="R109" s="1465"/>
      <c r="S109" s="1496"/>
    </row>
    <row r="110" spans="1:20" ht="14.25" customHeight="1" x14ac:dyDescent="0.2">
      <c r="A110" s="878"/>
      <c r="B110" s="908"/>
      <c r="C110" s="879"/>
      <c r="D110" s="875" t="s">
        <v>5</v>
      </c>
      <c r="E110" s="876" t="s">
        <v>52</v>
      </c>
      <c r="F110" s="911"/>
      <c r="G110" s="2100" t="s">
        <v>150</v>
      </c>
      <c r="H110" s="881">
        <v>6</v>
      </c>
      <c r="I110" s="2061" t="s">
        <v>75</v>
      </c>
      <c r="J110" s="91"/>
      <c r="K110" s="206"/>
      <c r="L110" s="206"/>
      <c r="M110" s="206"/>
      <c r="N110" s="206"/>
      <c r="O110" s="390"/>
      <c r="P110" s="197"/>
      <c r="Q110" s="197"/>
      <c r="R110" s="522"/>
      <c r="S110" s="393"/>
    </row>
    <row r="111" spans="1:20" ht="15.75" customHeight="1" x14ac:dyDescent="0.2">
      <c r="A111" s="878"/>
      <c r="B111" s="908"/>
      <c r="C111" s="879"/>
      <c r="D111" s="875"/>
      <c r="E111" s="1809" t="s">
        <v>82</v>
      </c>
      <c r="F111" s="911"/>
      <c r="G111" s="2101"/>
      <c r="H111" s="875"/>
      <c r="I111" s="2032"/>
      <c r="J111" s="92" t="s">
        <v>25</v>
      </c>
      <c r="K111" s="68">
        <f>3746.2-1556.5-388.2</f>
        <v>1801.5</v>
      </c>
      <c r="L111" s="148">
        <v>4900</v>
      </c>
      <c r="M111" s="148">
        <v>4900</v>
      </c>
      <c r="N111" s="148">
        <v>4900</v>
      </c>
      <c r="O111" s="877" t="s">
        <v>41</v>
      </c>
      <c r="P111" s="272">
        <v>5.9</v>
      </c>
      <c r="Q111" s="272">
        <v>5.9</v>
      </c>
      <c r="R111" s="108">
        <v>5.9</v>
      </c>
      <c r="S111" s="43">
        <v>5.9</v>
      </c>
    </row>
    <row r="112" spans="1:20" ht="15.75" customHeight="1" x14ac:dyDescent="0.2">
      <c r="A112" s="878"/>
      <c r="B112" s="908"/>
      <c r="C112" s="879"/>
      <c r="D112" s="875"/>
      <c r="E112" s="1809"/>
      <c r="F112" s="911"/>
      <c r="G112" s="2101"/>
      <c r="H112" s="875"/>
      <c r="I112" s="2032"/>
      <c r="J112" s="92" t="s">
        <v>62</v>
      </c>
      <c r="K112" s="687">
        <f>1150+1556.5-56-26</f>
        <v>2624.5</v>
      </c>
      <c r="L112" s="148"/>
      <c r="M112" s="148"/>
      <c r="N112" s="148"/>
      <c r="O112" s="877"/>
      <c r="P112" s="272"/>
      <c r="Q112" s="330"/>
      <c r="R112" s="384"/>
      <c r="S112" s="1433"/>
    </row>
    <row r="113" spans="1:20" ht="14.25" customHeight="1" x14ac:dyDescent="0.2">
      <c r="A113" s="878"/>
      <c r="B113" s="908"/>
      <c r="C113" s="879"/>
      <c r="D113" s="875"/>
      <c r="E113" s="1809"/>
      <c r="F113" s="907"/>
      <c r="G113" s="2101"/>
      <c r="H113" s="875"/>
      <c r="I113" s="2032"/>
      <c r="J113" s="163" t="s">
        <v>77</v>
      </c>
      <c r="K113" s="163"/>
      <c r="L113" s="154"/>
      <c r="M113" s="154"/>
      <c r="N113" s="154"/>
      <c r="O113" s="898"/>
      <c r="P113" s="256"/>
      <c r="Q113" s="209"/>
      <c r="R113" s="397"/>
      <c r="S113" s="1461"/>
      <c r="T113" s="1533">
        <v>-26</v>
      </c>
    </row>
    <row r="114" spans="1:20" ht="19.5" customHeight="1" x14ac:dyDescent="0.2">
      <c r="A114" s="878"/>
      <c r="B114" s="908"/>
      <c r="C114" s="879"/>
      <c r="D114" s="875"/>
      <c r="E114" s="268" t="s">
        <v>83</v>
      </c>
      <c r="F114" s="907"/>
      <c r="G114" s="511" t="s">
        <v>159</v>
      </c>
      <c r="H114" s="875"/>
      <c r="I114" s="913"/>
      <c r="J114" s="92" t="s">
        <v>25</v>
      </c>
      <c r="K114" s="92">
        <v>8.6</v>
      </c>
      <c r="L114" s="148">
        <v>8.8000000000000007</v>
      </c>
      <c r="M114" s="148">
        <v>9</v>
      </c>
      <c r="N114" s="148">
        <v>9</v>
      </c>
      <c r="O114" s="94" t="s">
        <v>190</v>
      </c>
      <c r="P114" s="226">
        <v>3.7</v>
      </c>
      <c r="Q114" s="36">
        <f>+P114</f>
        <v>3.7</v>
      </c>
      <c r="R114" s="1145">
        <f>+P114</f>
        <v>3.7</v>
      </c>
      <c r="S114" s="37">
        <f>+Q114</f>
        <v>3.7</v>
      </c>
    </row>
    <row r="115" spans="1:20" ht="26.25" customHeight="1" x14ac:dyDescent="0.2">
      <c r="A115" s="878"/>
      <c r="B115" s="908"/>
      <c r="C115" s="879"/>
      <c r="D115" s="875"/>
      <c r="E115" s="366" t="s">
        <v>84</v>
      </c>
      <c r="F115" s="907"/>
      <c r="G115" s="511"/>
      <c r="H115" s="875"/>
      <c r="I115" s="913"/>
      <c r="J115" s="93" t="s">
        <v>25</v>
      </c>
      <c r="K115" s="155">
        <v>63.7</v>
      </c>
      <c r="L115" s="151">
        <f>73-L114</f>
        <v>64.2</v>
      </c>
      <c r="M115" s="151">
        <f>74.5-M114</f>
        <v>65.5</v>
      </c>
      <c r="N115" s="151">
        <f>74.5-N114</f>
        <v>65.5</v>
      </c>
      <c r="O115" s="898" t="s">
        <v>191</v>
      </c>
      <c r="P115" s="453">
        <v>26.7</v>
      </c>
      <c r="Q115" s="226">
        <f>+P115</f>
        <v>26.7</v>
      </c>
      <c r="R115" s="561">
        <f>+P115</f>
        <v>26.7</v>
      </c>
      <c r="S115" s="1497">
        <f>+Q115</f>
        <v>26.7</v>
      </c>
    </row>
    <row r="116" spans="1:20" ht="21.75" customHeight="1" x14ac:dyDescent="0.2">
      <c r="A116" s="878"/>
      <c r="B116" s="908"/>
      <c r="C116" s="879"/>
      <c r="D116" s="881"/>
      <c r="E116" s="1638" t="s">
        <v>176</v>
      </c>
      <c r="F116" s="907"/>
      <c r="G116" s="956" t="s">
        <v>237</v>
      </c>
      <c r="H116" s="875"/>
      <c r="I116" s="928"/>
      <c r="J116" s="92" t="s">
        <v>70</v>
      </c>
      <c r="K116" s="92">
        <v>8</v>
      </c>
      <c r="L116" s="148">
        <v>10</v>
      </c>
      <c r="M116" s="148">
        <v>10</v>
      </c>
      <c r="N116" s="148">
        <v>10</v>
      </c>
      <c r="O116" s="1640" t="s">
        <v>415</v>
      </c>
      <c r="P116" s="1298" t="s">
        <v>43</v>
      </c>
      <c r="Q116" s="714">
        <v>3</v>
      </c>
      <c r="R116" s="714">
        <v>3</v>
      </c>
      <c r="S116" s="245">
        <v>3</v>
      </c>
      <c r="T116" s="841"/>
    </row>
    <row r="117" spans="1:20" ht="24" customHeight="1" x14ac:dyDescent="0.2">
      <c r="A117" s="878"/>
      <c r="B117" s="908"/>
      <c r="C117" s="879"/>
      <c r="D117" s="881"/>
      <c r="E117" s="1684"/>
      <c r="F117" s="911"/>
      <c r="G117" s="957"/>
      <c r="H117" s="875"/>
      <c r="I117" s="928"/>
      <c r="J117" s="92" t="s">
        <v>77</v>
      </c>
      <c r="K117" s="92">
        <v>16.2</v>
      </c>
      <c r="L117" s="92"/>
      <c r="M117" s="92"/>
      <c r="N117" s="92"/>
      <c r="O117" s="1682"/>
      <c r="P117" s="40"/>
      <c r="Q117" s="182"/>
      <c r="R117" s="182"/>
      <c r="S117" s="1433"/>
      <c r="T117" s="829"/>
    </row>
    <row r="118" spans="1:20" ht="58.5" customHeight="1" x14ac:dyDescent="0.2">
      <c r="A118" s="878"/>
      <c r="B118" s="908"/>
      <c r="C118" s="879"/>
      <c r="D118" s="882"/>
      <c r="E118" s="830"/>
      <c r="F118" s="911"/>
      <c r="G118" s="957"/>
      <c r="H118" s="875"/>
      <c r="I118" s="928"/>
      <c r="J118" s="92" t="s">
        <v>62</v>
      </c>
      <c r="K118" s="842">
        <f>56+26</f>
        <v>82</v>
      </c>
      <c r="L118" s="92"/>
      <c r="M118" s="92"/>
      <c r="N118" s="92"/>
      <c r="O118" s="1793"/>
      <c r="P118" s="391"/>
      <c r="Q118" s="51"/>
      <c r="R118" s="182"/>
      <c r="S118" s="1433"/>
      <c r="T118" s="1532">
        <v>26</v>
      </c>
    </row>
    <row r="119" spans="1:20" ht="14.25" customHeight="1" x14ac:dyDescent="0.2">
      <c r="A119" s="878"/>
      <c r="B119" s="908"/>
      <c r="C119" s="879"/>
      <c r="D119" s="881" t="s">
        <v>7</v>
      </c>
      <c r="E119" s="346" t="s">
        <v>212</v>
      </c>
      <c r="F119" s="911"/>
      <c r="G119" s="958"/>
      <c r="H119" s="875"/>
      <c r="I119" s="928"/>
      <c r="J119" s="168"/>
      <c r="K119" s="206"/>
      <c r="L119" s="162"/>
      <c r="M119" s="162"/>
      <c r="N119" s="162"/>
      <c r="O119" s="877"/>
      <c r="P119" s="40"/>
      <c r="Q119" s="233"/>
      <c r="R119" s="198"/>
      <c r="S119" s="393"/>
    </row>
    <row r="120" spans="1:20" ht="52.5" customHeight="1" x14ac:dyDescent="0.2">
      <c r="A120" s="878"/>
      <c r="B120" s="908"/>
      <c r="C120" s="879"/>
      <c r="D120" s="881"/>
      <c r="E120" s="347" t="s">
        <v>213</v>
      </c>
      <c r="F120" s="911"/>
      <c r="G120" s="512">
        <v>6010308</v>
      </c>
      <c r="H120" s="875"/>
      <c r="I120" s="928"/>
      <c r="J120" s="163" t="s">
        <v>25</v>
      </c>
      <c r="K120" s="73">
        <v>388.2</v>
      </c>
      <c r="L120" s="211"/>
      <c r="M120" s="154"/>
      <c r="N120" s="154"/>
      <c r="O120" s="47" t="s">
        <v>207</v>
      </c>
      <c r="P120" s="395">
        <v>21</v>
      </c>
      <c r="Q120" s="395">
        <v>21</v>
      </c>
      <c r="R120" s="447">
        <v>21</v>
      </c>
      <c r="S120" s="1461">
        <v>21</v>
      </c>
    </row>
    <row r="121" spans="1:20" ht="22.5" customHeight="1" x14ac:dyDescent="0.2">
      <c r="A121" s="878"/>
      <c r="B121" s="908"/>
      <c r="C121" s="879"/>
      <c r="D121" s="881"/>
      <c r="E121" s="1790" t="s">
        <v>214</v>
      </c>
      <c r="F121" s="911"/>
      <c r="G121" s="511"/>
      <c r="H121" s="875"/>
      <c r="I121" s="928"/>
      <c r="J121" s="92" t="s">
        <v>25</v>
      </c>
      <c r="K121" s="68">
        <v>49.6</v>
      </c>
      <c r="L121" s="138"/>
      <c r="M121" s="148"/>
      <c r="N121" s="148"/>
      <c r="O121" s="1792" t="s">
        <v>319</v>
      </c>
      <c r="P121" s="394">
        <v>12</v>
      </c>
      <c r="Q121" s="394">
        <v>12</v>
      </c>
      <c r="R121" s="182">
        <v>12</v>
      </c>
      <c r="S121" s="1433">
        <v>12</v>
      </c>
    </row>
    <row r="122" spans="1:20" ht="21" customHeight="1" x14ac:dyDescent="0.2">
      <c r="A122" s="878"/>
      <c r="B122" s="908"/>
      <c r="C122" s="879"/>
      <c r="D122" s="882"/>
      <c r="E122" s="1791"/>
      <c r="F122" s="911"/>
      <c r="G122" s="511"/>
      <c r="H122" s="875"/>
      <c r="I122" s="928"/>
      <c r="J122" s="95"/>
      <c r="K122" s="67"/>
      <c r="L122" s="139"/>
      <c r="M122" s="149"/>
      <c r="N122" s="149"/>
      <c r="O122" s="1793"/>
      <c r="P122" s="391"/>
      <c r="Q122" s="392"/>
      <c r="R122" s="51"/>
      <c r="S122" s="23"/>
    </row>
    <row r="123" spans="1:20" ht="18" customHeight="1" x14ac:dyDescent="0.2">
      <c r="A123" s="1736"/>
      <c r="B123" s="1731"/>
      <c r="C123" s="2086"/>
      <c r="D123" s="1635" t="s">
        <v>28</v>
      </c>
      <c r="E123" s="1754" t="s">
        <v>42</v>
      </c>
      <c r="F123" s="1797"/>
      <c r="G123" s="2096" t="s">
        <v>135</v>
      </c>
      <c r="H123" s="1732"/>
      <c r="I123" s="883"/>
      <c r="J123" s="92" t="s">
        <v>25</v>
      </c>
      <c r="K123" s="68">
        <v>59.5</v>
      </c>
      <c r="L123" s="66">
        <v>59.5</v>
      </c>
      <c r="M123" s="148">
        <v>59.5</v>
      </c>
      <c r="N123" s="148">
        <v>59.5</v>
      </c>
      <c r="O123" s="1762" t="s">
        <v>54</v>
      </c>
      <c r="P123" s="1764">
        <v>7</v>
      </c>
      <c r="Q123" s="1764">
        <v>7</v>
      </c>
      <c r="R123" s="1992">
        <v>7</v>
      </c>
      <c r="S123" s="1786">
        <v>7</v>
      </c>
    </row>
    <row r="124" spans="1:20" ht="18" customHeight="1" x14ac:dyDescent="0.2">
      <c r="A124" s="1736"/>
      <c r="B124" s="1731"/>
      <c r="C124" s="2086"/>
      <c r="D124" s="1635"/>
      <c r="E124" s="1794"/>
      <c r="F124" s="1797"/>
      <c r="G124" s="2096"/>
      <c r="H124" s="1732"/>
      <c r="I124" s="883"/>
      <c r="J124" s="95" t="s">
        <v>62</v>
      </c>
      <c r="K124" s="67"/>
      <c r="L124" s="139"/>
      <c r="M124" s="149"/>
      <c r="N124" s="149"/>
      <c r="O124" s="1763"/>
      <c r="P124" s="1765"/>
      <c r="Q124" s="1765"/>
      <c r="R124" s="1993"/>
      <c r="S124" s="1787"/>
    </row>
    <row r="125" spans="1:20" ht="18" customHeight="1" x14ac:dyDescent="0.2">
      <c r="A125" s="1736"/>
      <c r="B125" s="1788"/>
      <c r="C125" s="2086"/>
      <c r="D125" s="2093" t="s">
        <v>33</v>
      </c>
      <c r="E125" s="1748" t="s">
        <v>179</v>
      </c>
      <c r="F125" s="1796"/>
      <c r="G125" s="2057" t="s">
        <v>150</v>
      </c>
      <c r="H125" s="1778"/>
      <c r="I125" s="2061"/>
      <c r="J125" s="96" t="s">
        <v>25</v>
      </c>
      <c r="K125" s="677"/>
      <c r="L125" s="401"/>
      <c r="M125" s="402"/>
      <c r="N125" s="402"/>
      <c r="O125" s="284" t="s">
        <v>270</v>
      </c>
      <c r="P125" s="29"/>
      <c r="Q125" s="398"/>
      <c r="R125" s="1209"/>
      <c r="S125" s="399"/>
    </row>
    <row r="126" spans="1:20" ht="18.75" customHeight="1" x14ac:dyDescent="0.2">
      <c r="A126" s="1736"/>
      <c r="B126" s="1788"/>
      <c r="C126" s="2086"/>
      <c r="D126" s="1635"/>
      <c r="E126" s="1758"/>
      <c r="F126" s="1796"/>
      <c r="G126" s="2057"/>
      <c r="H126" s="1778"/>
      <c r="I126" s="2061"/>
      <c r="J126" s="92" t="s">
        <v>25</v>
      </c>
      <c r="K126" s="73">
        <v>5</v>
      </c>
      <c r="L126" s="211">
        <v>5</v>
      </c>
      <c r="M126" s="154">
        <v>5</v>
      </c>
      <c r="N126" s="154">
        <v>5</v>
      </c>
      <c r="O126" s="94" t="s">
        <v>311</v>
      </c>
      <c r="P126" s="34">
        <v>1</v>
      </c>
      <c r="Q126" s="549">
        <v>1</v>
      </c>
      <c r="R126" s="574">
        <v>1</v>
      </c>
      <c r="S126" s="35">
        <v>1</v>
      </c>
    </row>
    <row r="127" spans="1:20" ht="25.5" customHeight="1" x14ac:dyDescent="0.2">
      <c r="A127" s="1736"/>
      <c r="B127" s="1788"/>
      <c r="C127" s="2086"/>
      <c r="D127" s="1635"/>
      <c r="E127" s="1758"/>
      <c r="F127" s="1796"/>
      <c r="G127" s="2057"/>
      <c r="H127" s="1778"/>
      <c r="I127" s="2061"/>
      <c r="J127" s="92" t="s">
        <v>25</v>
      </c>
      <c r="K127" s="65">
        <v>40.6</v>
      </c>
      <c r="L127" s="212">
        <v>40.6</v>
      </c>
      <c r="M127" s="155">
        <v>40.6</v>
      </c>
      <c r="N127" s="65">
        <v>40.6</v>
      </c>
      <c r="O127" s="94" t="s">
        <v>205</v>
      </c>
      <c r="P127" s="34">
        <v>1</v>
      </c>
      <c r="Q127" s="549">
        <v>1</v>
      </c>
      <c r="R127" s="574">
        <v>1</v>
      </c>
      <c r="S127" s="35">
        <v>1</v>
      </c>
    </row>
    <row r="128" spans="1:20" ht="17.25" customHeight="1" x14ac:dyDescent="0.2">
      <c r="A128" s="1736"/>
      <c r="B128" s="1788"/>
      <c r="C128" s="2086"/>
      <c r="D128" s="2059" t="s">
        <v>34</v>
      </c>
      <c r="E128" s="1754" t="s">
        <v>174</v>
      </c>
      <c r="F128" s="1797"/>
      <c r="G128" s="2096" t="s">
        <v>238</v>
      </c>
      <c r="H128" s="1778"/>
      <c r="I128" s="883"/>
      <c r="J128" s="96" t="s">
        <v>70</v>
      </c>
      <c r="K128" s="60">
        <v>486.4</v>
      </c>
      <c r="L128" s="232">
        <v>188.7</v>
      </c>
      <c r="M128" s="141">
        <v>188.7</v>
      </c>
      <c r="N128" s="60"/>
      <c r="O128" s="699" t="s">
        <v>269</v>
      </c>
      <c r="P128" s="700">
        <v>125</v>
      </c>
      <c r="Q128" s="701">
        <v>40</v>
      </c>
      <c r="R128" s="1210">
        <v>40</v>
      </c>
      <c r="S128" s="959">
        <v>40</v>
      </c>
    </row>
    <row r="129" spans="1:22" ht="26.25" customHeight="1" x14ac:dyDescent="0.2">
      <c r="A129" s="1736"/>
      <c r="B129" s="1788"/>
      <c r="C129" s="2086"/>
      <c r="D129" s="2060"/>
      <c r="E129" s="1794"/>
      <c r="F129" s="1797"/>
      <c r="G129" s="2096"/>
      <c r="H129" s="1778"/>
      <c r="I129" s="883"/>
      <c r="J129" s="95" t="s">
        <v>77</v>
      </c>
      <c r="K129" s="67">
        <v>199.9</v>
      </c>
      <c r="L129" s="204"/>
      <c r="M129" s="95"/>
      <c r="N129" s="67"/>
      <c r="O129" s="550"/>
      <c r="P129" s="702"/>
      <c r="Q129" s="703"/>
      <c r="R129" s="1211"/>
      <c r="S129" s="960"/>
    </row>
    <row r="130" spans="1:22" ht="19.5" customHeight="1" x14ac:dyDescent="0.2">
      <c r="A130" s="912"/>
      <c r="B130" s="908"/>
      <c r="C130" s="471"/>
      <c r="D130" s="881" t="s">
        <v>35</v>
      </c>
      <c r="E130" s="1758" t="s">
        <v>292</v>
      </c>
      <c r="F130" s="901"/>
      <c r="G130" s="2088"/>
      <c r="H130" s="895"/>
      <c r="I130" s="2061"/>
      <c r="J130" s="92" t="s">
        <v>70</v>
      </c>
      <c r="K130" s="68">
        <v>3</v>
      </c>
      <c r="L130" s="138"/>
      <c r="M130" s="92"/>
      <c r="N130" s="68"/>
      <c r="O130" s="896" t="s">
        <v>293</v>
      </c>
      <c r="P130" s="307">
        <v>1</v>
      </c>
      <c r="Q130" s="307"/>
      <c r="R130" s="573"/>
      <c r="S130" s="1436"/>
    </row>
    <row r="131" spans="1:22" ht="10.5" customHeight="1" x14ac:dyDescent="0.2">
      <c r="A131" s="912"/>
      <c r="B131" s="908"/>
      <c r="C131" s="471"/>
      <c r="D131" s="686"/>
      <c r="E131" s="1758"/>
      <c r="F131" s="901"/>
      <c r="G131" s="2089"/>
      <c r="H131" s="895"/>
      <c r="I131" s="2090"/>
      <c r="J131" s="95"/>
      <c r="K131" s="67"/>
      <c r="L131" s="139"/>
      <c r="M131" s="149"/>
      <c r="N131" s="149"/>
      <c r="O131" s="896"/>
      <c r="P131" s="330"/>
      <c r="Q131" s="408"/>
      <c r="R131" s="384"/>
      <c r="S131" s="1433"/>
    </row>
    <row r="132" spans="1:22" ht="34.5" customHeight="1" x14ac:dyDescent="0.2">
      <c r="A132" s="912"/>
      <c r="B132" s="908"/>
      <c r="C132" s="471"/>
      <c r="D132" s="881" t="s">
        <v>36</v>
      </c>
      <c r="E132" s="1748" t="s">
        <v>161</v>
      </c>
      <c r="F132" s="229"/>
      <c r="G132" s="2104" t="s">
        <v>239</v>
      </c>
      <c r="H132" s="895"/>
      <c r="I132" s="883" t="s">
        <v>294</v>
      </c>
      <c r="J132" s="400" t="s">
        <v>70</v>
      </c>
      <c r="K132" s="677"/>
      <c r="L132" s="401">
        <v>50</v>
      </c>
      <c r="M132" s="677"/>
      <c r="N132" s="677">
        <v>50</v>
      </c>
      <c r="O132" s="685" t="s">
        <v>162</v>
      </c>
      <c r="P132" s="434"/>
      <c r="Q132" s="434">
        <v>6</v>
      </c>
      <c r="R132" s="1146"/>
      <c r="S132" s="1001">
        <v>6</v>
      </c>
    </row>
    <row r="133" spans="1:22" ht="19.5" customHeight="1" x14ac:dyDescent="0.2">
      <c r="A133" s="912"/>
      <c r="B133" s="908"/>
      <c r="C133" s="471"/>
      <c r="D133" s="881"/>
      <c r="E133" s="1758"/>
      <c r="F133" s="901"/>
      <c r="G133" s="2088"/>
      <c r="H133" s="895"/>
      <c r="I133" s="2094" t="s">
        <v>405</v>
      </c>
      <c r="J133" s="68" t="s">
        <v>70</v>
      </c>
      <c r="K133" s="92">
        <v>50</v>
      </c>
      <c r="L133" s="148"/>
      <c r="M133" s="92">
        <v>50</v>
      </c>
      <c r="N133" s="92"/>
      <c r="O133" s="203" t="s">
        <v>295</v>
      </c>
      <c r="P133" s="307">
        <v>6</v>
      </c>
      <c r="Q133" s="684"/>
      <c r="R133" s="573">
        <v>6</v>
      </c>
      <c r="S133" s="1436"/>
    </row>
    <row r="134" spans="1:22" ht="10.5" customHeight="1" x14ac:dyDescent="0.2">
      <c r="A134" s="912"/>
      <c r="B134" s="908"/>
      <c r="C134" s="471"/>
      <c r="D134" s="882"/>
      <c r="E134" s="1758"/>
      <c r="F134" s="901"/>
      <c r="G134" s="2089"/>
      <c r="H134" s="895"/>
      <c r="I134" s="2032"/>
      <c r="J134" s="67"/>
      <c r="K134" s="95"/>
      <c r="L134" s="149"/>
      <c r="M134" s="149"/>
      <c r="N134" s="149"/>
      <c r="O134" s="885"/>
      <c r="P134" s="330"/>
      <c r="Q134" s="408"/>
      <c r="R134" s="384"/>
      <c r="S134" s="23"/>
    </row>
    <row r="135" spans="1:22" ht="18" customHeight="1" thickBot="1" x14ac:dyDescent="0.25">
      <c r="A135" s="891"/>
      <c r="B135" s="327"/>
      <c r="C135" s="459"/>
      <c r="D135" s="334"/>
      <c r="E135" s="461"/>
      <c r="F135" s="462"/>
      <c r="G135" s="463"/>
      <c r="H135" s="334"/>
      <c r="I135" s="259"/>
      <c r="J135" s="156" t="s">
        <v>6</v>
      </c>
      <c r="K135" s="246">
        <f>SUM(K110:K134)</f>
        <v>5886.7</v>
      </c>
      <c r="L135" s="246">
        <f>SUM(L110:L134)</f>
        <v>5326.8</v>
      </c>
      <c r="M135" s="246">
        <f>SUM(M110:M134)</f>
        <v>5328.3</v>
      </c>
      <c r="N135" s="246">
        <f>SUM(N110:N134)</f>
        <v>5139.6000000000004</v>
      </c>
      <c r="O135" s="466"/>
      <c r="P135" s="467"/>
      <c r="Q135" s="468"/>
      <c r="R135" s="468"/>
      <c r="S135" s="469"/>
    </row>
    <row r="136" spans="1:22" ht="18" customHeight="1" x14ac:dyDescent="0.2">
      <c r="A136" s="1633" t="s">
        <v>5</v>
      </c>
      <c r="B136" s="1801" t="s">
        <v>7</v>
      </c>
      <c r="C136" s="2052" t="s">
        <v>7</v>
      </c>
      <c r="D136" s="1770"/>
      <c r="E136" s="2079" t="s">
        <v>320</v>
      </c>
      <c r="F136" s="1797" t="s">
        <v>47</v>
      </c>
      <c r="G136" s="2057" t="s">
        <v>136</v>
      </c>
      <c r="H136" s="1778" t="s">
        <v>43</v>
      </c>
      <c r="I136" s="2061" t="s">
        <v>167</v>
      </c>
      <c r="J136" s="426" t="s">
        <v>70</v>
      </c>
      <c r="K136" s="263">
        <v>150</v>
      </c>
      <c r="L136" s="217">
        <v>391.7</v>
      </c>
      <c r="M136" s="431"/>
      <c r="N136" s="431"/>
      <c r="O136" s="443" t="s">
        <v>321</v>
      </c>
      <c r="P136" s="238"/>
      <c r="Q136" s="637"/>
      <c r="R136" s="1212"/>
      <c r="S136" s="638"/>
    </row>
    <row r="137" spans="1:22" ht="26.25" customHeight="1" x14ac:dyDescent="0.2">
      <c r="A137" s="1633"/>
      <c r="B137" s="1801"/>
      <c r="C137" s="2052"/>
      <c r="D137" s="1635"/>
      <c r="E137" s="2115"/>
      <c r="F137" s="1797"/>
      <c r="G137" s="2057"/>
      <c r="H137" s="1778"/>
      <c r="I137" s="2061"/>
      <c r="J137" s="64" t="s">
        <v>70</v>
      </c>
      <c r="K137" s="108"/>
      <c r="L137" s="68"/>
      <c r="M137" s="66"/>
      <c r="N137" s="66"/>
      <c r="O137" s="1760" t="s">
        <v>220</v>
      </c>
      <c r="P137" s="330">
        <v>4</v>
      </c>
      <c r="Q137" s="384">
        <v>6</v>
      </c>
      <c r="R137" s="182"/>
      <c r="S137" s="1433"/>
    </row>
    <row r="138" spans="1:22" ht="30" customHeight="1" x14ac:dyDescent="0.2">
      <c r="A138" s="1633"/>
      <c r="B138" s="1801"/>
      <c r="C138" s="2052"/>
      <c r="D138" s="1635"/>
      <c r="E138" s="2115"/>
      <c r="F138" s="1797"/>
      <c r="G138" s="2057"/>
      <c r="H138" s="1778"/>
      <c r="I138" s="2061"/>
      <c r="J138" s="80"/>
      <c r="K138" s="178"/>
      <c r="L138" s="80"/>
      <c r="M138" s="210"/>
      <c r="N138" s="210"/>
      <c r="O138" s="1860"/>
      <c r="P138" s="708"/>
      <c r="Q138" s="706"/>
      <c r="R138" s="392"/>
      <c r="S138" s="594"/>
    </row>
    <row r="139" spans="1:22" ht="17.25" customHeight="1" x14ac:dyDescent="0.2">
      <c r="A139" s="409"/>
      <c r="B139" s="905"/>
      <c r="C139" s="704"/>
      <c r="D139" s="881"/>
      <c r="E139" s="2087"/>
      <c r="F139" s="907"/>
      <c r="G139" s="2057"/>
      <c r="H139" s="895"/>
      <c r="I139" s="883"/>
      <c r="J139" s="282" t="s">
        <v>70</v>
      </c>
      <c r="K139" s="285"/>
      <c r="L139" s="282">
        <v>15</v>
      </c>
      <c r="M139" s="342"/>
      <c r="N139" s="342"/>
      <c r="O139" s="896" t="s">
        <v>322</v>
      </c>
      <c r="P139" s="40"/>
      <c r="Q139" s="705" t="s">
        <v>56</v>
      </c>
      <c r="R139" s="233"/>
      <c r="S139" s="440"/>
    </row>
    <row r="140" spans="1:22" ht="27" customHeight="1" x14ac:dyDescent="0.2">
      <c r="A140" s="409"/>
      <c r="B140" s="905"/>
      <c r="C140" s="704"/>
      <c r="D140" s="881"/>
      <c r="E140" s="2087"/>
      <c r="F140" s="907"/>
      <c r="G140" s="2057"/>
      <c r="H140" s="895"/>
      <c r="I140" s="883"/>
      <c r="J140" s="80" t="s">
        <v>70</v>
      </c>
      <c r="K140" s="178"/>
      <c r="L140" s="80"/>
      <c r="M140" s="210">
        <v>558.6</v>
      </c>
      <c r="N140" s="210"/>
      <c r="O140" s="668" t="s">
        <v>284</v>
      </c>
      <c r="P140" s="391"/>
      <c r="Q140" s="706"/>
      <c r="R140" s="392" t="s">
        <v>281</v>
      </c>
      <c r="S140" s="594"/>
      <c r="V140" s="1035"/>
    </row>
    <row r="141" spans="1:22" ht="40.5" customHeight="1" x14ac:dyDescent="0.2">
      <c r="A141" s="409"/>
      <c r="B141" s="905"/>
      <c r="C141" s="704"/>
      <c r="D141" s="881"/>
      <c r="E141" s="888"/>
      <c r="F141" s="907"/>
      <c r="G141" s="2057"/>
      <c r="H141" s="895"/>
      <c r="I141" s="883"/>
      <c r="J141" s="80" t="s">
        <v>25</v>
      </c>
      <c r="K141" s="178">
        <v>40</v>
      </c>
      <c r="L141" s="80"/>
      <c r="M141" s="210"/>
      <c r="N141" s="210"/>
      <c r="O141" s="910" t="s">
        <v>323</v>
      </c>
      <c r="P141" s="40">
        <v>1</v>
      </c>
      <c r="Q141" s="705"/>
      <c r="R141" s="233"/>
      <c r="S141" s="440"/>
    </row>
    <row r="142" spans="1:22" ht="18" customHeight="1" thickBot="1" x14ac:dyDescent="0.25">
      <c r="A142" s="891"/>
      <c r="B142" s="327"/>
      <c r="C142" s="459"/>
      <c r="D142" s="334"/>
      <c r="E142" s="461"/>
      <c r="F142" s="462"/>
      <c r="G142" s="2095"/>
      <c r="H142" s="334"/>
      <c r="I142" s="259"/>
      <c r="J142" s="156" t="s">
        <v>6</v>
      </c>
      <c r="K142" s="246">
        <f t="shared" ref="K142:N142" si="5">SUM(K136:K141)</f>
        <v>190</v>
      </c>
      <c r="L142" s="246">
        <f>SUM(L136:L141)</f>
        <v>406.7</v>
      </c>
      <c r="M142" s="246">
        <f t="shared" ref="M142" si="6">SUM(M136:M141)</f>
        <v>558.6</v>
      </c>
      <c r="N142" s="246">
        <f t="shared" si="5"/>
        <v>0</v>
      </c>
      <c r="O142" s="466"/>
      <c r="P142" s="467"/>
      <c r="Q142" s="468"/>
      <c r="R142" s="468"/>
      <c r="S142" s="469"/>
    </row>
    <row r="143" spans="1:22" ht="16.5" customHeight="1" x14ac:dyDescent="0.2">
      <c r="A143" s="1798" t="s">
        <v>5</v>
      </c>
      <c r="B143" s="1800" t="s">
        <v>7</v>
      </c>
      <c r="C143" s="1770" t="s">
        <v>28</v>
      </c>
      <c r="D143" s="2036"/>
      <c r="E143" s="2079" t="s">
        <v>160</v>
      </c>
      <c r="F143" s="1774" t="s">
        <v>47</v>
      </c>
      <c r="G143" s="2091" t="s">
        <v>239</v>
      </c>
      <c r="H143" s="1770">
        <v>5</v>
      </c>
      <c r="I143" s="2081" t="s">
        <v>73</v>
      </c>
      <c r="J143" s="217" t="s">
        <v>25</v>
      </c>
      <c r="K143" s="108">
        <v>113</v>
      </c>
      <c r="L143" s="217">
        <v>639.6</v>
      </c>
      <c r="M143" s="108"/>
      <c r="N143" s="217"/>
      <c r="O143" s="2034" t="s">
        <v>327</v>
      </c>
      <c r="P143" s="331"/>
      <c r="Q143" s="331">
        <v>17</v>
      </c>
      <c r="R143" s="1466"/>
      <c r="S143" s="932"/>
    </row>
    <row r="144" spans="1:22" ht="21" customHeight="1" x14ac:dyDescent="0.2">
      <c r="A144" s="1633"/>
      <c r="B144" s="1801"/>
      <c r="C144" s="1635"/>
      <c r="D144" s="1732"/>
      <c r="E144" s="1636"/>
      <c r="F144" s="1775"/>
      <c r="G144" s="2057"/>
      <c r="H144" s="1635"/>
      <c r="I144" s="2061"/>
      <c r="J144" s="68" t="s">
        <v>397</v>
      </c>
      <c r="K144" s="108">
        <v>640</v>
      </c>
      <c r="L144" s="68">
        <v>3624.5</v>
      </c>
      <c r="M144" s="108"/>
      <c r="N144" s="68"/>
      <c r="O144" s="2035"/>
      <c r="P144" s="330"/>
      <c r="Q144" s="330"/>
      <c r="R144" s="384"/>
      <c r="S144" s="1433"/>
      <c r="T144" s="54"/>
      <c r="V144" s="1035"/>
    </row>
    <row r="145" spans="1:22" ht="16.5" customHeight="1" thickBot="1" x14ac:dyDescent="0.25">
      <c r="A145" s="1799"/>
      <c r="B145" s="1802"/>
      <c r="C145" s="1771"/>
      <c r="D145" s="2037"/>
      <c r="E145" s="281"/>
      <c r="F145" s="1776"/>
      <c r="G145" s="2092"/>
      <c r="H145" s="1771"/>
      <c r="I145" s="2111"/>
      <c r="J145" s="98" t="s">
        <v>6</v>
      </c>
      <c r="K145" s="334">
        <f t="shared" ref="K145:N145" si="7">SUM(K143:K144)</f>
        <v>753</v>
      </c>
      <c r="L145" s="98">
        <f t="shared" si="7"/>
        <v>4264.1000000000004</v>
      </c>
      <c r="M145" s="334">
        <f t="shared" ref="M145" si="8">SUM(M143:M144)</f>
        <v>0</v>
      </c>
      <c r="N145" s="98">
        <f t="shared" si="7"/>
        <v>0</v>
      </c>
      <c r="O145" s="1498"/>
      <c r="P145" s="221"/>
      <c r="Q145" s="221"/>
      <c r="R145" s="1147"/>
      <c r="S145" s="811"/>
    </row>
    <row r="146" spans="1:22" ht="16.5" customHeight="1" x14ac:dyDescent="0.2">
      <c r="A146" s="1798" t="s">
        <v>5</v>
      </c>
      <c r="B146" s="1800" t="s">
        <v>7</v>
      </c>
      <c r="C146" s="1770"/>
      <c r="D146" s="2036"/>
      <c r="E146" s="2038" t="s">
        <v>408</v>
      </c>
      <c r="F146" s="2040" t="s">
        <v>47</v>
      </c>
      <c r="G146" s="2043" t="s">
        <v>239</v>
      </c>
      <c r="H146" s="2046">
        <v>5</v>
      </c>
      <c r="I146" s="2049"/>
      <c r="J146" s="217"/>
      <c r="K146" s="108"/>
      <c r="L146" s="217"/>
      <c r="M146" s="108"/>
      <c r="N146" s="217"/>
      <c r="O146" s="2034" t="s">
        <v>327</v>
      </c>
      <c r="P146" s="331"/>
      <c r="Q146" s="331">
        <v>17</v>
      </c>
      <c r="R146" s="1466"/>
      <c r="S146" s="932"/>
      <c r="T146" s="1531" t="s">
        <v>407</v>
      </c>
    </row>
    <row r="147" spans="1:22" ht="21" customHeight="1" x14ac:dyDescent="0.2">
      <c r="A147" s="1633"/>
      <c r="B147" s="1801"/>
      <c r="C147" s="1635"/>
      <c r="D147" s="1732"/>
      <c r="E147" s="2039"/>
      <c r="F147" s="2041"/>
      <c r="G147" s="2044"/>
      <c r="H147" s="2047"/>
      <c r="I147" s="2050"/>
      <c r="J147" s="68"/>
      <c r="K147" s="108"/>
      <c r="L147" s="68"/>
      <c r="M147" s="108"/>
      <c r="N147" s="68"/>
      <c r="O147" s="2035"/>
      <c r="P147" s="1528"/>
      <c r="Q147" s="1528"/>
      <c r="R147" s="384"/>
      <c r="S147" s="1527"/>
      <c r="T147" s="1529"/>
      <c r="V147" s="1035"/>
    </row>
    <row r="148" spans="1:22" ht="16.5" customHeight="1" thickBot="1" x14ac:dyDescent="0.25">
      <c r="A148" s="1799"/>
      <c r="B148" s="1802"/>
      <c r="C148" s="1771"/>
      <c r="D148" s="2037"/>
      <c r="E148" s="1530"/>
      <c r="F148" s="2042"/>
      <c r="G148" s="2045"/>
      <c r="H148" s="2048"/>
      <c r="I148" s="2051"/>
      <c r="J148" s="98" t="s">
        <v>6</v>
      </c>
      <c r="K148" s="334">
        <f t="shared" ref="K148:N148" si="9">SUM(K146:K147)</f>
        <v>0</v>
      </c>
      <c r="L148" s="98">
        <f t="shared" si="9"/>
        <v>0</v>
      </c>
      <c r="M148" s="334">
        <f t="shared" si="9"/>
        <v>0</v>
      </c>
      <c r="N148" s="98">
        <f t="shared" si="9"/>
        <v>0</v>
      </c>
      <c r="O148" s="1498"/>
      <c r="P148" s="221"/>
      <c r="Q148" s="221"/>
      <c r="R148" s="1147"/>
      <c r="S148" s="811"/>
    </row>
    <row r="149" spans="1:22" ht="14.25" customHeight="1" thickBot="1" x14ac:dyDescent="0.25">
      <c r="A149" s="99" t="s">
        <v>5</v>
      </c>
      <c r="B149" s="329" t="s">
        <v>7</v>
      </c>
      <c r="C149" s="1785" t="s">
        <v>8</v>
      </c>
      <c r="D149" s="1728"/>
      <c r="E149" s="1728"/>
      <c r="F149" s="1728"/>
      <c r="G149" s="1728"/>
      <c r="H149" s="1728"/>
      <c r="I149" s="1728"/>
      <c r="J149" s="1660"/>
      <c r="K149" s="439">
        <f t="shared" ref="K149:N149" si="10">K145+K142+K135</f>
        <v>6829.7</v>
      </c>
      <c r="L149" s="159">
        <f t="shared" si="10"/>
        <v>9997.6</v>
      </c>
      <c r="M149" s="159">
        <f t="shared" si="10"/>
        <v>5886.9</v>
      </c>
      <c r="N149" s="159">
        <f t="shared" si="10"/>
        <v>5139.6000000000004</v>
      </c>
      <c r="O149" s="1661"/>
      <c r="P149" s="1661"/>
      <c r="Q149" s="1661"/>
      <c r="R149" s="1661"/>
      <c r="S149" s="1662"/>
    </row>
    <row r="150" spans="1:22" ht="18" customHeight="1" thickBot="1" x14ac:dyDescent="0.25">
      <c r="A150" s="85" t="s">
        <v>5</v>
      </c>
      <c r="B150" s="329" t="s">
        <v>28</v>
      </c>
      <c r="C150" s="1645" t="s">
        <v>120</v>
      </c>
      <c r="D150" s="1646"/>
      <c r="E150" s="1646"/>
      <c r="F150" s="1646"/>
      <c r="G150" s="1646"/>
      <c r="H150" s="1646"/>
      <c r="I150" s="1646"/>
      <c r="J150" s="1646"/>
      <c r="K150" s="1646"/>
      <c r="L150" s="1646"/>
      <c r="M150" s="1646"/>
      <c r="N150" s="1646"/>
      <c r="O150" s="1646"/>
      <c r="P150" s="1646"/>
      <c r="Q150" s="1646"/>
      <c r="R150" s="1646"/>
      <c r="S150" s="1647"/>
    </row>
    <row r="151" spans="1:22" ht="27" customHeight="1" x14ac:dyDescent="0.2">
      <c r="A151" s="294" t="s">
        <v>5</v>
      </c>
      <c r="B151" s="328" t="s">
        <v>28</v>
      </c>
      <c r="C151" s="465" t="s">
        <v>5</v>
      </c>
      <c r="D151" s="457"/>
      <c r="E151" s="266" t="s">
        <v>116</v>
      </c>
      <c r="F151" s="129" t="s">
        <v>80</v>
      </c>
      <c r="G151" s="116"/>
      <c r="H151" s="318"/>
      <c r="I151" s="278"/>
      <c r="J151" s="100"/>
      <c r="K151" s="89"/>
      <c r="L151" s="153"/>
      <c r="M151" s="153"/>
      <c r="N151" s="153"/>
      <c r="O151" s="101"/>
      <c r="P151" s="224"/>
      <c r="Q151" s="222"/>
      <c r="R151" s="222"/>
      <c r="S151" s="403"/>
    </row>
    <row r="152" spans="1:22" ht="13.5" customHeight="1" x14ac:dyDescent="0.2">
      <c r="A152" s="291"/>
      <c r="B152" s="325"/>
      <c r="C152" s="464"/>
      <c r="D152" s="370" t="s">
        <v>5</v>
      </c>
      <c r="E152" s="1737" t="s">
        <v>114</v>
      </c>
      <c r="F152" s="1751" t="s">
        <v>79</v>
      </c>
      <c r="G152" s="2104" t="s">
        <v>240</v>
      </c>
      <c r="H152" s="516" t="s">
        <v>37</v>
      </c>
      <c r="I152" s="2106" t="s">
        <v>76</v>
      </c>
      <c r="J152" s="60" t="s">
        <v>107</v>
      </c>
      <c r="K152" s="96"/>
      <c r="L152" s="147">
        <v>100</v>
      </c>
      <c r="M152" s="60">
        <v>100</v>
      </c>
      <c r="N152" s="60">
        <v>100</v>
      </c>
      <c r="O152" s="358"/>
      <c r="P152" s="272"/>
      <c r="Q152" s="42"/>
      <c r="R152" s="1145"/>
      <c r="S152" s="37"/>
    </row>
    <row r="153" spans="1:22" ht="15" customHeight="1" x14ac:dyDescent="0.2">
      <c r="A153" s="291"/>
      <c r="B153" s="325"/>
      <c r="C153" s="464"/>
      <c r="D153" s="455"/>
      <c r="E153" s="1669"/>
      <c r="F153" s="1784"/>
      <c r="G153" s="2105"/>
      <c r="H153" s="517"/>
      <c r="I153" s="2107"/>
      <c r="J153" s="68" t="s">
        <v>25</v>
      </c>
      <c r="K153" s="92"/>
      <c r="L153" s="148">
        <v>270</v>
      </c>
      <c r="M153" s="68">
        <v>270</v>
      </c>
      <c r="N153" s="68">
        <v>270</v>
      </c>
      <c r="O153" s="359"/>
      <c r="P153" s="330"/>
      <c r="Q153" s="384"/>
      <c r="R153" s="1495"/>
      <c r="S153" s="1436"/>
    </row>
    <row r="154" spans="1:22" ht="18.75" customHeight="1" x14ac:dyDescent="0.2">
      <c r="A154" s="291"/>
      <c r="B154" s="325"/>
      <c r="C154" s="464"/>
      <c r="D154" s="455"/>
      <c r="E154" s="1669"/>
      <c r="F154" s="1686"/>
      <c r="G154" s="2105"/>
      <c r="H154" s="517"/>
      <c r="I154" s="2107"/>
      <c r="J154" s="68" t="s">
        <v>77</v>
      </c>
      <c r="K154" s="92"/>
      <c r="L154" s="154"/>
      <c r="M154" s="73"/>
      <c r="N154" s="73"/>
      <c r="O154" s="277"/>
      <c r="P154" s="209"/>
      <c r="Q154" s="397"/>
      <c r="R154" s="447"/>
      <c r="S154" s="1461"/>
    </row>
    <row r="155" spans="1:22" ht="27.75" customHeight="1" x14ac:dyDescent="0.2">
      <c r="A155" s="350"/>
      <c r="B155" s="371"/>
      <c r="C155" s="464"/>
      <c r="D155" s="455"/>
      <c r="E155" s="1669"/>
      <c r="F155" s="357"/>
      <c r="G155" s="2105"/>
      <c r="H155" s="517"/>
      <c r="I155" s="2107"/>
      <c r="J155" s="82" t="s">
        <v>77</v>
      </c>
      <c r="K155" s="551">
        <v>149.19999999999999</v>
      </c>
      <c r="L155" s="148"/>
      <c r="M155" s="68"/>
      <c r="N155" s="68"/>
      <c r="O155" s="520" t="s">
        <v>121</v>
      </c>
      <c r="P155" s="272">
        <v>13.8</v>
      </c>
      <c r="Q155" s="42">
        <v>13.8</v>
      </c>
      <c r="R155" s="42">
        <v>13.8</v>
      </c>
      <c r="S155" s="43">
        <v>13.8</v>
      </c>
    </row>
    <row r="156" spans="1:22" ht="17.25" customHeight="1" x14ac:dyDescent="0.2">
      <c r="A156" s="350"/>
      <c r="B156" s="371"/>
      <c r="C156" s="464"/>
      <c r="D156" s="455"/>
      <c r="E156" s="1669"/>
      <c r="F156" s="357"/>
      <c r="G156" s="2105"/>
      <c r="H156" s="517"/>
      <c r="I156" s="2107"/>
      <c r="J156" s="68" t="s">
        <v>107</v>
      </c>
      <c r="K156" s="148">
        <v>100</v>
      </c>
      <c r="L156" s="148"/>
      <c r="M156" s="68"/>
      <c r="N156" s="68"/>
      <c r="O156" s="520" t="s">
        <v>38</v>
      </c>
      <c r="P156" s="330">
        <v>67</v>
      </c>
      <c r="Q156" s="384">
        <v>67</v>
      </c>
      <c r="R156" s="182">
        <v>67</v>
      </c>
      <c r="S156" s="1433">
        <v>67</v>
      </c>
    </row>
    <row r="157" spans="1:22" ht="17.25" customHeight="1" x14ac:dyDescent="0.2">
      <c r="A157" s="513"/>
      <c r="B157" s="519"/>
      <c r="C157" s="514"/>
      <c r="D157" s="515"/>
      <c r="E157" s="1669"/>
      <c r="F157" s="518"/>
      <c r="G157" s="2105"/>
      <c r="H157" s="517"/>
      <c r="I157" s="2107"/>
      <c r="J157" s="73"/>
      <c r="K157" s="154"/>
      <c r="L157" s="154"/>
      <c r="M157" s="73"/>
      <c r="N157" s="73"/>
      <c r="O157" s="277" t="s">
        <v>85</v>
      </c>
      <c r="P157" s="555">
        <v>1.8</v>
      </c>
      <c r="Q157" s="556">
        <v>1.8</v>
      </c>
      <c r="R157" s="1052">
        <v>1.8</v>
      </c>
      <c r="S157" s="557">
        <v>1.8</v>
      </c>
    </row>
    <row r="158" spans="1:22" ht="16.5" customHeight="1" x14ac:dyDescent="0.2">
      <c r="A158" s="291"/>
      <c r="B158" s="325"/>
      <c r="C158" s="464"/>
      <c r="D158" s="455"/>
      <c r="E158" s="1669"/>
      <c r="F158" s="357"/>
      <c r="G158" s="2105"/>
      <c r="H158" s="517"/>
      <c r="I158" s="2107"/>
      <c r="J158" s="65" t="s">
        <v>62</v>
      </c>
      <c r="K158" s="151">
        <v>49</v>
      </c>
      <c r="L158" s="151"/>
      <c r="M158" s="65"/>
      <c r="N158" s="65"/>
      <c r="O158" s="277" t="s">
        <v>366</v>
      </c>
      <c r="P158" s="27">
        <v>100</v>
      </c>
      <c r="Q158" s="396"/>
      <c r="R158" s="1499"/>
      <c r="S158" s="558"/>
    </row>
    <row r="159" spans="1:22" ht="21" customHeight="1" x14ac:dyDescent="0.2">
      <c r="A159" s="513"/>
      <c r="B159" s="519"/>
      <c r="C159" s="514"/>
      <c r="D159" s="515"/>
      <c r="E159" s="1669"/>
      <c r="F159" s="518"/>
      <c r="G159" s="554"/>
      <c r="H159" s="517"/>
      <c r="I159" s="2107"/>
      <c r="J159" s="68" t="s">
        <v>77</v>
      </c>
      <c r="K159" s="92">
        <v>12.8</v>
      </c>
      <c r="L159" s="151"/>
      <c r="M159" s="65"/>
      <c r="N159" s="65"/>
      <c r="O159" s="260" t="s">
        <v>184</v>
      </c>
      <c r="P159" s="27">
        <v>165</v>
      </c>
      <c r="Q159" s="559"/>
      <c r="R159" s="1500"/>
      <c r="S159" s="560"/>
    </row>
    <row r="160" spans="1:22" ht="19.5" customHeight="1" x14ac:dyDescent="0.2">
      <c r="A160" s="513"/>
      <c r="B160" s="519"/>
      <c r="C160" s="514"/>
      <c r="D160" s="515"/>
      <c r="E160" s="1669"/>
      <c r="F160" s="518"/>
      <c r="G160" s="554"/>
      <c r="H160" s="517"/>
      <c r="I160" s="2107"/>
      <c r="J160" s="82" t="s">
        <v>77</v>
      </c>
      <c r="K160" s="551">
        <v>54</v>
      </c>
      <c r="L160" s="551"/>
      <c r="M160" s="82"/>
      <c r="N160" s="82"/>
      <c r="O160" s="2108" t="s">
        <v>363</v>
      </c>
      <c r="P160" s="712">
        <v>4</v>
      </c>
      <c r="Q160" s="559"/>
      <c r="R160" s="1501"/>
      <c r="S160" s="1053"/>
    </row>
    <row r="161" spans="1:21" ht="48" customHeight="1" x14ac:dyDescent="0.2">
      <c r="A161" s="1045"/>
      <c r="B161" s="1048"/>
      <c r="C161" s="1046"/>
      <c r="D161" s="1449"/>
      <c r="E161" s="1669"/>
      <c r="F161" s="1049"/>
      <c r="G161" s="554"/>
      <c r="H161" s="1047"/>
      <c r="I161" s="2107"/>
      <c r="J161" s="67" t="s">
        <v>62</v>
      </c>
      <c r="K161" s="148">
        <v>150</v>
      </c>
      <c r="L161" s="154"/>
      <c r="M161" s="73"/>
      <c r="N161" s="73"/>
      <c r="O161" s="1679"/>
      <c r="P161" s="1050"/>
      <c r="Q161" s="397"/>
      <c r="R161" s="1502"/>
      <c r="S161" s="1054"/>
      <c r="T161" s="54"/>
      <c r="U161" s="54"/>
    </row>
    <row r="162" spans="1:21" ht="15" customHeight="1" x14ac:dyDescent="0.2">
      <c r="A162" s="291"/>
      <c r="B162" s="325"/>
      <c r="C162" s="464"/>
      <c r="D162" s="455" t="s">
        <v>7</v>
      </c>
      <c r="E162" s="352" t="s">
        <v>66</v>
      </c>
      <c r="F162" s="406"/>
      <c r="G162" s="2104" t="s">
        <v>137</v>
      </c>
      <c r="H162" s="533"/>
      <c r="I162" s="539"/>
      <c r="J162" s="64" t="s">
        <v>107</v>
      </c>
      <c r="K162" s="96">
        <v>150</v>
      </c>
      <c r="L162" s="147">
        <v>150</v>
      </c>
      <c r="M162" s="60">
        <v>150</v>
      </c>
      <c r="N162" s="60">
        <v>150</v>
      </c>
      <c r="O162" s="358" t="s">
        <v>86</v>
      </c>
      <c r="P162" s="15">
        <v>1</v>
      </c>
      <c r="Q162" s="15">
        <v>1</v>
      </c>
      <c r="R162" s="1149">
        <v>1</v>
      </c>
      <c r="S162" s="1426">
        <v>1</v>
      </c>
    </row>
    <row r="163" spans="1:21" ht="16.5" customHeight="1" x14ac:dyDescent="0.2">
      <c r="A163" s="291"/>
      <c r="B163" s="325"/>
      <c r="C163" s="464"/>
      <c r="D163" s="976"/>
      <c r="E163" s="364"/>
      <c r="F163" s="157"/>
      <c r="G163" s="2128"/>
      <c r="H163" s="1420"/>
      <c r="I163" s="539"/>
      <c r="J163" s="62" t="s">
        <v>77</v>
      </c>
      <c r="K163" s="95">
        <v>0.6</v>
      </c>
      <c r="L163" s="149"/>
      <c r="M163" s="95"/>
      <c r="N163" s="95"/>
      <c r="O163" s="252"/>
      <c r="P163" s="19"/>
      <c r="Q163" s="19"/>
      <c r="R163" s="1138"/>
      <c r="S163" s="1427"/>
    </row>
    <row r="164" spans="1:21" ht="13.5" customHeight="1" x14ac:dyDescent="0.2">
      <c r="A164" s="1010"/>
      <c r="B164" s="1014"/>
      <c r="C164" s="1011"/>
      <c r="D164" s="1442" t="s">
        <v>28</v>
      </c>
      <c r="E164" s="1921" t="s">
        <v>123</v>
      </c>
      <c r="F164" s="1504"/>
      <c r="G164" s="2075" t="s">
        <v>138</v>
      </c>
      <c r="H164" s="623"/>
      <c r="I164" s="2077"/>
      <c r="J164" s="68" t="s">
        <v>77</v>
      </c>
      <c r="K164" s="96">
        <v>8</v>
      </c>
      <c r="L164" s="981"/>
      <c r="M164" s="981"/>
      <c r="N164" s="981"/>
      <c r="O164" s="1883" t="s">
        <v>334</v>
      </c>
      <c r="P164" s="1887">
        <v>14</v>
      </c>
      <c r="Q164" s="1887"/>
      <c r="R164" s="1885"/>
      <c r="S164" s="2109"/>
    </row>
    <row r="165" spans="1:21" ht="12" customHeight="1" x14ac:dyDescent="0.2">
      <c r="A165" s="1010"/>
      <c r="B165" s="1014"/>
      <c r="C165" s="1011"/>
      <c r="D165" s="1420"/>
      <c r="E165" s="1882"/>
      <c r="F165" s="980"/>
      <c r="G165" s="2076"/>
      <c r="H165" s="623"/>
      <c r="I165" s="2077"/>
      <c r="J165" s="306"/>
      <c r="K165" s="508"/>
      <c r="L165" s="507"/>
      <c r="M165" s="306"/>
      <c r="N165" s="306"/>
      <c r="O165" s="1781"/>
      <c r="P165" s="2078"/>
      <c r="Q165" s="2078"/>
      <c r="R165" s="2063"/>
      <c r="S165" s="1971"/>
    </row>
    <row r="166" spans="1:21" ht="15.75" customHeight="1" x14ac:dyDescent="0.2">
      <c r="A166" s="1030"/>
      <c r="B166" s="1032"/>
      <c r="C166" s="1031"/>
      <c r="D166" s="1449"/>
      <c r="E166" s="2112"/>
      <c r="F166" s="982"/>
      <c r="G166" s="2076"/>
      <c r="H166" s="623"/>
      <c r="I166" s="1448"/>
      <c r="J166" s="306"/>
      <c r="K166" s="508"/>
      <c r="L166" s="508"/>
      <c r="M166" s="508"/>
      <c r="N166" s="508"/>
      <c r="O166" s="1034"/>
      <c r="P166" s="182"/>
      <c r="Q166" s="330"/>
      <c r="R166" s="384"/>
      <c r="S166" s="1433"/>
      <c r="U166" s="54"/>
    </row>
    <row r="167" spans="1:21" ht="12" customHeight="1" x14ac:dyDescent="0.2">
      <c r="A167" s="291"/>
      <c r="B167" s="325"/>
      <c r="C167" s="464"/>
      <c r="D167" s="456" t="s">
        <v>33</v>
      </c>
      <c r="E167" s="1758" t="s">
        <v>115</v>
      </c>
      <c r="F167" s="320"/>
      <c r="G167" s="2191" t="s">
        <v>241</v>
      </c>
      <c r="H167" s="316"/>
      <c r="I167" s="2061"/>
      <c r="J167" s="60"/>
      <c r="K167" s="168"/>
      <c r="L167" s="96"/>
      <c r="M167" s="96"/>
      <c r="N167" s="96"/>
      <c r="O167" s="1678"/>
      <c r="P167" s="2064"/>
      <c r="Q167" s="2064"/>
      <c r="R167" s="2064"/>
      <c r="S167" s="2084"/>
    </row>
    <row r="168" spans="1:21" ht="14.25" customHeight="1" x14ac:dyDescent="0.2">
      <c r="A168" s="291"/>
      <c r="B168" s="325"/>
      <c r="C168" s="464"/>
      <c r="D168" s="456"/>
      <c r="E168" s="2196"/>
      <c r="F168" s="320"/>
      <c r="G168" s="2192"/>
      <c r="H168" s="316"/>
      <c r="I168" s="2080"/>
      <c r="J168" s="73"/>
      <c r="K168" s="163"/>
      <c r="L168" s="163"/>
      <c r="M168" s="163"/>
      <c r="N168" s="163"/>
      <c r="O168" s="2083"/>
      <c r="P168" s="2110"/>
      <c r="Q168" s="2065"/>
      <c r="R168" s="2065"/>
      <c r="S168" s="2085"/>
    </row>
    <row r="169" spans="1:21" ht="29.25" customHeight="1" x14ac:dyDescent="0.2">
      <c r="A169" s="350"/>
      <c r="B169" s="371"/>
      <c r="C169" s="464"/>
      <c r="D169" s="456"/>
      <c r="E169" s="377"/>
      <c r="F169" s="356"/>
      <c r="G169" s="2192"/>
      <c r="H169" s="355"/>
      <c r="I169" s="845" t="s">
        <v>154</v>
      </c>
      <c r="J169" s="65" t="s">
        <v>70</v>
      </c>
      <c r="K169" s="226">
        <f>476+12+30</f>
        <v>518</v>
      </c>
      <c r="L169" s="93">
        <f>493+12</f>
        <v>505</v>
      </c>
      <c r="M169" s="93">
        <v>505</v>
      </c>
      <c r="N169" s="93">
        <v>505</v>
      </c>
      <c r="O169" s="260" t="s">
        <v>185</v>
      </c>
      <c r="P169" s="977">
        <v>170</v>
      </c>
      <c r="Q169" s="977">
        <v>170</v>
      </c>
      <c r="R169" s="977">
        <v>170</v>
      </c>
      <c r="S169" s="978">
        <v>170</v>
      </c>
    </row>
    <row r="170" spans="1:21" ht="40.5" customHeight="1" x14ac:dyDescent="0.2">
      <c r="A170" s="291"/>
      <c r="B170" s="325"/>
      <c r="C170" s="464"/>
      <c r="D170" s="1443"/>
      <c r="E170" s="1423"/>
      <c r="F170" s="130"/>
      <c r="G170" s="2192"/>
      <c r="H170" s="316"/>
      <c r="I170" s="1444" t="s">
        <v>76</v>
      </c>
      <c r="J170" s="1505" t="s">
        <v>70</v>
      </c>
      <c r="K170" s="1506">
        <f>291</f>
        <v>291</v>
      </c>
      <c r="L170" s="1506"/>
      <c r="M170" s="1506"/>
      <c r="N170" s="1506"/>
      <c r="O170" s="348" t="s">
        <v>180</v>
      </c>
      <c r="P170" s="1219" t="s">
        <v>117</v>
      </c>
      <c r="Q170" s="1219"/>
      <c r="R170" s="1219"/>
      <c r="S170" s="804"/>
    </row>
    <row r="171" spans="1:21" ht="24" customHeight="1" x14ac:dyDescent="0.2">
      <c r="A171" s="298"/>
      <c r="B171" s="326"/>
      <c r="C171" s="471"/>
      <c r="D171" s="456" t="s">
        <v>34</v>
      </c>
      <c r="E171" s="1758" t="s">
        <v>203</v>
      </c>
      <c r="F171" s="319"/>
      <c r="G171" s="2113" t="s">
        <v>139</v>
      </c>
      <c r="H171" s="1422"/>
      <c r="I171" s="2061"/>
      <c r="J171" s="68" t="s">
        <v>25</v>
      </c>
      <c r="K171" s="92">
        <v>90.1</v>
      </c>
      <c r="L171" s="92">
        <v>90.1</v>
      </c>
      <c r="M171" s="92">
        <f>+K171</f>
        <v>90.1</v>
      </c>
      <c r="N171" s="92">
        <v>90.1</v>
      </c>
      <c r="O171" s="1781" t="s">
        <v>181</v>
      </c>
      <c r="P171" s="631">
        <v>19</v>
      </c>
      <c r="Q171" s="631">
        <v>19</v>
      </c>
      <c r="R171" s="665">
        <v>19</v>
      </c>
      <c r="S171" s="248">
        <v>19</v>
      </c>
    </row>
    <row r="172" spans="1:21" ht="14.25" customHeight="1" x14ac:dyDescent="0.2">
      <c r="A172" s="298"/>
      <c r="B172" s="326"/>
      <c r="C172" s="471"/>
      <c r="D172" s="372"/>
      <c r="E172" s="1780"/>
      <c r="F172" s="131"/>
      <c r="G172" s="2114"/>
      <c r="H172" s="909"/>
      <c r="I172" s="2090"/>
      <c r="J172" s="67"/>
      <c r="K172" s="95"/>
      <c r="L172" s="149"/>
      <c r="M172" s="149"/>
      <c r="N172" s="149"/>
      <c r="O172" s="1782"/>
      <c r="P172" s="633"/>
      <c r="Q172" s="633"/>
      <c r="R172" s="1467"/>
      <c r="S172" s="1503"/>
    </row>
    <row r="173" spans="1:21" ht="15.75" customHeight="1" thickBot="1" x14ac:dyDescent="0.25">
      <c r="A173" s="75"/>
      <c r="B173" s="297"/>
      <c r="C173" s="216"/>
      <c r="D173" s="334"/>
      <c r="E173" s="477"/>
      <c r="F173" s="478"/>
      <c r="G173" s="479"/>
      <c r="H173" s="216"/>
      <c r="I173" s="446"/>
      <c r="J173" s="156" t="s">
        <v>6</v>
      </c>
      <c r="K173" s="156">
        <f>SUM(K152:K172)</f>
        <v>1572.7</v>
      </c>
      <c r="L173" s="156">
        <f>SUM(L152:L172)</f>
        <v>1115.0999999999999</v>
      </c>
      <c r="M173" s="156">
        <f>SUM(M152:M172)</f>
        <v>1115.0999999999999</v>
      </c>
      <c r="N173" s="156">
        <f>SUM(N152:N172)</f>
        <v>1115.0999999999999</v>
      </c>
      <c r="O173" s="480"/>
      <c r="P173" s="467"/>
      <c r="Q173" s="468"/>
      <c r="R173" s="468"/>
      <c r="S173" s="469"/>
    </row>
    <row r="174" spans="1:21" ht="18" customHeight="1" x14ac:dyDescent="0.2">
      <c r="A174" s="1766" t="s">
        <v>5</v>
      </c>
      <c r="B174" s="1768" t="s">
        <v>28</v>
      </c>
      <c r="C174" s="1770" t="s">
        <v>7</v>
      </c>
      <c r="D174" s="2193"/>
      <c r="E174" s="1772" t="s">
        <v>307</v>
      </c>
      <c r="F174" s="1774" t="s">
        <v>78</v>
      </c>
      <c r="G174" s="2091" t="s">
        <v>151</v>
      </c>
      <c r="H174" s="1777" t="s">
        <v>56</v>
      </c>
      <c r="I174" s="2081" t="s">
        <v>65</v>
      </c>
      <c r="J174" s="105" t="s">
        <v>25</v>
      </c>
      <c r="K174" s="262">
        <v>112.6</v>
      </c>
      <c r="L174" s="217">
        <v>112.6</v>
      </c>
      <c r="M174" s="262">
        <v>112.6</v>
      </c>
      <c r="N174" s="262">
        <v>112.6</v>
      </c>
      <c r="O174" s="247" t="s">
        <v>69</v>
      </c>
      <c r="P174" s="324">
        <v>18</v>
      </c>
      <c r="Q174" s="324">
        <v>18</v>
      </c>
      <c r="R174" s="1131">
        <v>18</v>
      </c>
      <c r="S174" s="1169">
        <v>18</v>
      </c>
    </row>
    <row r="175" spans="1:21" ht="18" customHeight="1" x14ac:dyDescent="0.2">
      <c r="A175" s="1736"/>
      <c r="B175" s="1731"/>
      <c r="C175" s="1635"/>
      <c r="D175" s="2194"/>
      <c r="E175" s="1758"/>
      <c r="F175" s="1775"/>
      <c r="G175" s="2057"/>
      <c r="H175" s="1778"/>
      <c r="I175" s="2061"/>
      <c r="J175" s="80" t="s">
        <v>62</v>
      </c>
      <c r="K175" s="166">
        <v>93</v>
      </c>
      <c r="L175" s="61"/>
      <c r="M175" s="166"/>
      <c r="N175" s="166"/>
      <c r="O175" s="896" t="s">
        <v>87</v>
      </c>
      <c r="P175" s="330">
        <v>7</v>
      </c>
      <c r="Q175" s="330">
        <v>7</v>
      </c>
      <c r="R175" s="384">
        <v>7</v>
      </c>
      <c r="S175" s="1433">
        <v>7</v>
      </c>
      <c r="T175" s="54"/>
    </row>
    <row r="176" spans="1:21" ht="18.75" customHeight="1" thickBot="1" x14ac:dyDescent="0.25">
      <c r="A176" s="1767"/>
      <c r="B176" s="1769"/>
      <c r="C176" s="1771"/>
      <c r="D176" s="2195"/>
      <c r="E176" s="1773"/>
      <c r="F176" s="1776"/>
      <c r="G176" s="2092"/>
      <c r="H176" s="1779"/>
      <c r="I176" s="2082"/>
      <c r="J176" s="98" t="s">
        <v>6</v>
      </c>
      <c r="K176" s="169">
        <f>SUM(K174:K175)</f>
        <v>205.6</v>
      </c>
      <c r="L176" s="169">
        <f t="shared" ref="L176:N176" si="11">SUM(L174:L175)</f>
        <v>112.6</v>
      </c>
      <c r="M176" s="246">
        <f t="shared" ref="M176" si="12">SUM(M174:M175)</f>
        <v>112.6</v>
      </c>
      <c r="N176" s="246">
        <f t="shared" si="11"/>
        <v>112.6</v>
      </c>
      <c r="O176" s="776"/>
      <c r="P176" s="221"/>
      <c r="Q176" s="221"/>
      <c r="R176" s="1147"/>
      <c r="S176" s="811"/>
    </row>
    <row r="177" spans="1:19" ht="19.5" customHeight="1" x14ac:dyDescent="0.2">
      <c r="A177" s="904" t="s">
        <v>5</v>
      </c>
      <c r="B177" s="961" t="s">
        <v>28</v>
      </c>
      <c r="C177" s="962" t="s">
        <v>28</v>
      </c>
      <c r="D177" s="902"/>
      <c r="E177" s="1745" t="s">
        <v>226</v>
      </c>
      <c r="F177" s="967" t="s">
        <v>47</v>
      </c>
      <c r="G177" s="963"/>
      <c r="H177" s="894"/>
      <c r="I177" s="964"/>
      <c r="J177" s="711"/>
      <c r="K177" s="965"/>
      <c r="L177" s="711"/>
      <c r="M177" s="965"/>
      <c r="N177" s="711"/>
      <c r="O177" s="966"/>
      <c r="P177" s="214"/>
      <c r="Q177" s="214"/>
      <c r="R177" s="263"/>
      <c r="S177" s="271"/>
    </row>
    <row r="178" spans="1:19" ht="20.25" customHeight="1" x14ac:dyDescent="0.2">
      <c r="A178" s="886"/>
      <c r="B178" s="887"/>
      <c r="C178" s="884"/>
      <c r="D178" s="882"/>
      <c r="E178" s="1747"/>
      <c r="F178" s="674"/>
      <c r="G178" s="675"/>
      <c r="H178" s="909"/>
      <c r="I178" s="676"/>
      <c r="J178" s="672"/>
      <c r="K178" s="673"/>
      <c r="L178" s="672"/>
      <c r="M178" s="673"/>
      <c r="N178" s="672"/>
      <c r="O178" s="897"/>
      <c r="P178" s="44"/>
      <c r="Q178" s="45"/>
      <c r="R178" s="170"/>
      <c r="S178" s="46"/>
    </row>
    <row r="179" spans="1:19" ht="24.75" customHeight="1" x14ac:dyDescent="0.2">
      <c r="A179" s="1633"/>
      <c r="B179" s="1634"/>
      <c r="C179" s="2052"/>
      <c r="D179" s="1442" t="s">
        <v>5</v>
      </c>
      <c r="E179" s="1748" t="s">
        <v>308</v>
      </c>
      <c r="F179" s="1751" t="s">
        <v>97</v>
      </c>
      <c r="G179" s="2102" t="s">
        <v>242</v>
      </c>
      <c r="H179" s="889">
        <v>5</v>
      </c>
      <c r="I179" s="2061" t="s">
        <v>222</v>
      </c>
      <c r="J179" s="68" t="s">
        <v>44</v>
      </c>
      <c r="K179" s="92">
        <v>342</v>
      </c>
      <c r="L179" s="68">
        <v>234</v>
      </c>
      <c r="M179" s="92">
        <v>234</v>
      </c>
      <c r="N179" s="68"/>
      <c r="O179" s="349" t="s">
        <v>171</v>
      </c>
      <c r="P179" s="671" t="s">
        <v>172</v>
      </c>
      <c r="Q179" s="307">
        <v>100</v>
      </c>
      <c r="R179" s="573"/>
      <c r="S179" s="1436"/>
    </row>
    <row r="180" spans="1:19" ht="26.25" customHeight="1" x14ac:dyDescent="0.2">
      <c r="A180" s="1633"/>
      <c r="B180" s="1634"/>
      <c r="C180" s="2052"/>
      <c r="D180" s="1417"/>
      <c r="E180" s="1749"/>
      <c r="F180" s="1752"/>
      <c r="G180" s="2103"/>
      <c r="H180" s="895"/>
      <c r="I180" s="2061"/>
      <c r="J180" s="68" t="s">
        <v>25</v>
      </c>
      <c r="K180" s="108">
        <f>164-4</f>
        <v>160</v>
      </c>
      <c r="L180" s="68">
        <f>314+4</f>
        <v>318</v>
      </c>
      <c r="M180" s="92"/>
      <c r="N180" s="68"/>
      <c r="O180" s="231" t="s">
        <v>290</v>
      </c>
      <c r="P180" s="195">
        <v>1</v>
      </c>
      <c r="Q180" s="34"/>
      <c r="R180" s="549"/>
      <c r="S180" s="35"/>
    </row>
    <row r="181" spans="1:19" ht="17.25" customHeight="1" x14ac:dyDescent="0.2">
      <c r="A181" s="1633"/>
      <c r="B181" s="1634"/>
      <c r="C181" s="2052"/>
      <c r="D181" s="1443"/>
      <c r="E181" s="1750"/>
      <c r="F181" s="1753"/>
      <c r="G181" s="2103"/>
      <c r="H181" s="1420"/>
      <c r="I181" s="2061"/>
      <c r="J181" s="67" t="s">
        <v>62</v>
      </c>
      <c r="K181" s="170">
        <v>150</v>
      </c>
      <c r="L181" s="67"/>
      <c r="M181" s="95"/>
      <c r="N181" s="67"/>
      <c r="O181" s="1507" t="s">
        <v>163</v>
      </c>
      <c r="P181" s="806" t="s">
        <v>271</v>
      </c>
      <c r="Q181" s="807">
        <v>2</v>
      </c>
      <c r="R181" s="807"/>
      <c r="S181" s="808"/>
    </row>
    <row r="182" spans="1:19" ht="15.75" customHeight="1" x14ac:dyDescent="0.2">
      <c r="A182" s="1633"/>
      <c r="B182" s="1634"/>
      <c r="C182" s="2052"/>
      <c r="D182" s="881" t="s">
        <v>7</v>
      </c>
      <c r="E182" s="1636" t="s">
        <v>285</v>
      </c>
      <c r="F182" s="1733" t="s">
        <v>164</v>
      </c>
      <c r="G182" s="2102" t="s">
        <v>243</v>
      </c>
      <c r="H182" s="1417"/>
      <c r="I182" s="2061"/>
      <c r="J182" s="68" t="s">
        <v>25</v>
      </c>
      <c r="K182" s="92">
        <v>15</v>
      </c>
      <c r="L182" s="68">
        <v>44.5</v>
      </c>
      <c r="M182" s="92">
        <v>5</v>
      </c>
      <c r="N182" s="687">
        <v>3</v>
      </c>
      <c r="O182" s="231" t="s">
        <v>216</v>
      </c>
      <c r="P182" s="195">
        <v>1</v>
      </c>
      <c r="Q182" s="195"/>
      <c r="R182" s="182"/>
      <c r="S182" s="1433"/>
    </row>
    <row r="183" spans="1:19" ht="30.75" customHeight="1" x14ac:dyDescent="0.2">
      <c r="A183" s="1633"/>
      <c r="B183" s="1634"/>
      <c r="C183" s="2052"/>
      <c r="D183" s="881"/>
      <c r="E183" s="1637"/>
      <c r="F183" s="1744"/>
      <c r="G183" s="2103"/>
      <c r="H183" s="1420"/>
      <c r="I183" s="2061"/>
      <c r="J183" s="68" t="s">
        <v>44</v>
      </c>
      <c r="K183" s="92">
        <v>135</v>
      </c>
      <c r="L183" s="68">
        <v>400.1</v>
      </c>
      <c r="M183" s="92">
        <v>45</v>
      </c>
      <c r="N183" s="687">
        <v>26.6</v>
      </c>
      <c r="O183" s="1509" t="s">
        <v>286</v>
      </c>
      <c r="P183" s="714"/>
      <c r="Q183" s="714">
        <v>1</v>
      </c>
      <c r="R183" s="714"/>
      <c r="S183" s="245"/>
    </row>
    <row r="184" spans="1:19" ht="8.25" customHeight="1" x14ac:dyDescent="0.2">
      <c r="A184" s="409"/>
      <c r="B184" s="887"/>
      <c r="C184" s="498"/>
      <c r="D184" s="881"/>
      <c r="E184" s="1637"/>
      <c r="F184" s="2197"/>
      <c r="G184" s="1686"/>
      <c r="H184" s="1420"/>
      <c r="I184" s="1017"/>
      <c r="J184" s="68"/>
      <c r="K184" s="170"/>
      <c r="L184" s="67"/>
      <c r="M184" s="95"/>
      <c r="N184" s="1492"/>
      <c r="O184" s="1508"/>
      <c r="P184" s="447"/>
      <c r="Q184" s="447"/>
      <c r="R184" s="447"/>
      <c r="S184" s="1461"/>
    </row>
    <row r="185" spans="1:19" ht="14.25" customHeight="1" x14ac:dyDescent="0.2">
      <c r="A185" s="1736"/>
      <c r="B185" s="1731"/>
      <c r="C185" s="2052"/>
      <c r="D185" s="2053" t="s">
        <v>28</v>
      </c>
      <c r="E185" s="1754" t="s">
        <v>211</v>
      </c>
      <c r="F185" s="1751" t="s">
        <v>164</v>
      </c>
      <c r="G185" s="2056" t="s">
        <v>244</v>
      </c>
      <c r="H185" s="1635"/>
      <c r="I185" s="2061"/>
      <c r="J185" s="230" t="s">
        <v>25</v>
      </c>
      <c r="K185" s="96">
        <v>18.100000000000001</v>
      </c>
      <c r="L185" s="60"/>
      <c r="M185" s="96"/>
      <c r="N185" s="1480"/>
      <c r="O185" s="505" t="s">
        <v>186</v>
      </c>
      <c r="P185" s="899">
        <v>1</v>
      </c>
      <c r="Q185" s="900"/>
      <c r="R185" s="1434"/>
      <c r="S185" s="1426"/>
    </row>
    <row r="186" spans="1:19" ht="13.5" customHeight="1" x14ac:dyDescent="0.2">
      <c r="A186" s="1736"/>
      <c r="B186" s="1731"/>
      <c r="C186" s="2052"/>
      <c r="D186" s="2054"/>
      <c r="E186" s="1637"/>
      <c r="F186" s="1752"/>
      <c r="G186" s="2057"/>
      <c r="H186" s="1635"/>
      <c r="I186" s="2061"/>
      <c r="J186" s="68" t="s">
        <v>44</v>
      </c>
      <c r="K186" s="92">
        <v>102.5</v>
      </c>
      <c r="L186" s="68"/>
      <c r="M186" s="92"/>
      <c r="N186" s="687"/>
      <c r="O186" s="349" t="s">
        <v>287</v>
      </c>
      <c r="P186" s="496">
        <v>6</v>
      </c>
      <c r="Q186" s="497"/>
      <c r="R186" s="182"/>
      <c r="S186" s="1433"/>
    </row>
    <row r="187" spans="1:19" ht="11.25" customHeight="1" x14ac:dyDescent="0.2">
      <c r="A187" s="1736"/>
      <c r="B187" s="1731"/>
      <c r="C187" s="2052"/>
      <c r="D187" s="2055"/>
      <c r="E187" s="1755"/>
      <c r="F187" s="1753"/>
      <c r="G187" s="2058"/>
      <c r="H187" s="1635"/>
      <c r="I187" s="2061"/>
      <c r="J187" s="80"/>
      <c r="K187" s="166"/>
      <c r="L187" s="61"/>
      <c r="M187" s="166"/>
      <c r="N187" s="1510"/>
      <c r="O187" s="21"/>
      <c r="P187" s="183"/>
      <c r="Q187" s="57"/>
      <c r="R187" s="51"/>
      <c r="S187" s="23"/>
    </row>
    <row r="188" spans="1:19" ht="26.25" customHeight="1" x14ac:dyDescent="0.2">
      <c r="A188" s="1019"/>
      <c r="B188" s="1020"/>
      <c r="C188" s="1018"/>
      <c r="D188" s="1016" t="s">
        <v>33</v>
      </c>
      <c r="E188" s="1636" t="s">
        <v>331</v>
      </c>
      <c r="F188" s="1729" t="s">
        <v>367</v>
      </c>
      <c r="G188" s="1022"/>
      <c r="H188" s="1417"/>
      <c r="I188" s="2061"/>
      <c r="J188" s="68" t="s">
        <v>25</v>
      </c>
      <c r="K188" s="92">
        <v>4</v>
      </c>
      <c r="L188" s="687">
        <v>100</v>
      </c>
      <c r="M188" s="92">
        <v>150</v>
      </c>
      <c r="N188" s="1480">
        <v>187.8</v>
      </c>
      <c r="O188" s="1024" t="s">
        <v>333</v>
      </c>
      <c r="P188" s="40" t="s">
        <v>56</v>
      </c>
      <c r="Q188" s="40"/>
      <c r="R188" s="705"/>
      <c r="S188" s="440"/>
    </row>
    <row r="189" spans="1:19" ht="15.75" customHeight="1" x14ac:dyDescent="0.2">
      <c r="A189" s="1019"/>
      <c r="B189" s="1020"/>
      <c r="C189" s="1018"/>
      <c r="D189" s="1016"/>
      <c r="E189" s="1636"/>
      <c r="F189" s="1730"/>
      <c r="G189" s="1022"/>
      <c r="H189" s="1023"/>
      <c r="I189" s="2061"/>
      <c r="J189" s="68" t="s">
        <v>44</v>
      </c>
      <c r="K189" s="92"/>
      <c r="L189" s="68"/>
      <c r="M189" s="92">
        <v>850</v>
      </c>
      <c r="N189" s="687">
        <v>1064.4000000000001</v>
      </c>
      <c r="O189" s="260" t="s">
        <v>99</v>
      </c>
      <c r="P189" s="719"/>
      <c r="Q189" s="227" t="s">
        <v>56</v>
      </c>
      <c r="R189" s="945"/>
      <c r="S189" s="720"/>
    </row>
    <row r="190" spans="1:19" ht="16.5" customHeight="1" x14ac:dyDescent="0.2">
      <c r="A190" s="1019"/>
      <c r="B190" s="1020"/>
      <c r="C190" s="1018"/>
      <c r="D190" s="1016"/>
      <c r="E190" s="1637"/>
      <c r="F190" s="2073"/>
      <c r="G190" s="1022"/>
      <c r="H190" s="1016"/>
      <c r="I190" s="2061"/>
      <c r="J190" s="68"/>
      <c r="K190" s="92"/>
      <c r="L190" s="68"/>
      <c r="M190" s="92"/>
      <c r="N190" s="687"/>
      <c r="O190" s="1024" t="s">
        <v>332</v>
      </c>
      <c r="P190" s="233"/>
      <c r="Q190" s="40"/>
      <c r="R190" s="705" t="s">
        <v>335</v>
      </c>
      <c r="S190" s="440" t="s">
        <v>406</v>
      </c>
    </row>
    <row r="191" spans="1:19" ht="33.75" customHeight="1" x14ac:dyDescent="0.2">
      <c r="A191" s="987"/>
      <c r="B191" s="988"/>
      <c r="C191" s="989"/>
      <c r="D191" s="880" t="s">
        <v>34</v>
      </c>
      <c r="E191" s="992" t="s">
        <v>168</v>
      </c>
      <c r="F191" s="991" t="s">
        <v>221</v>
      </c>
      <c r="G191" s="990" t="s">
        <v>140</v>
      </c>
      <c r="H191" s="678" t="s">
        <v>37</v>
      </c>
      <c r="I191" s="1021" t="s">
        <v>288</v>
      </c>
      <c r="J191" s="677" t="s">
        <v>77</v>
      </c>
      <c r="K191" s="400">
        <v>24.2</v>
      </c>
      <c r="L191" s="677"/>
      <c r="M191" s="1007"/>
      <c r="N191" s="1006"/>
      <c r="O191" s="77" t="s">
        <v>88</v>
      </c>
      <c r="P191" s="434">
        <v>1</v>
      </c>
      <c r="Q191" s="1000"/>
      <c r="R191" s="1000"/>
      <c r="S191" s="1001"/>
    </row>
    <row r="192" spans="1:19" ht="18.75" customHeight="1" x14ac:dyDescent="0.2">
      <c r="A192" s="1736"/>
      <c r="B192" s="1731"/>
      <c r="C192" s="2052"/>
      <c r="D192" s="2053" t="s">
        <v>35</v>
      </c>
      <c r="E192" s="1754" t="s">
        <v>329</v>
      </c>
      <c r="F192" s="1751" t="s">
        <v>164</v>
      </c>
      <c r="G192" s="2056" t="s">
        <v>244</v>
      </c>
      <c r="H192" s="2059" t="s">
        <v>37</v>
      </c>
      <c r="I192" s="2061"/>
      <c r="J192" s="60" t="s">
        <v>77</v>
      </c>
      <c r="K192" s="96">
        <v>4</v>
      </c>
      <c r="L192" s="60"/>
      <c r="M192" s="96"/>
      <c r="N192" s="1480"/>
      <c r="O192" s="1678" t="s">
        <v>330</v>
      </c>
      <c r="P192" s="1514">
        <v>6</v>
      </c>
      <c r="Q192" s="1511">
        <v>6</v>
      </c>
      <c r="R192" s="1512">
        <v>6</v>
      </c>
      <c r="S192" s="1513">
        <v>6</v>
      </c>
    </row>
    <row r="193" spans="1:19" ht="13.5" customHeight="1" x14ac:dyDescent="0.2">
      <c r="A193" s="1736"/>
      <c r="B193" s="1731"/>
      <c r="C193" s="2052"/>
      <c r="D193" s="2054"/>
      <c r="E193" s="1637"/>
      <c r="F193" s="1752"/>
      <c r="G193" s="2057"/>
      <c r="H193" s="1743"/>
      <c r="I193" s="2061"/>
      <c r="J193" s="68" t="s">
        <v>25</v>
      </c>
      <c r="K193" s="687">
        <v>6</v>
      </c>
      <c r="L193" s="687">
        <v>6.2</v>
      </c>
      <c r="M193" s="842">
        <v>6.2</v>
      </c>
      <c r="N193" s="687">
        <v>6.2</v>
      </c>
      <c r="O193" s="2074"/>
      <c r="P193" s="496"/>
      <c r="Q193" s="497"/>
      <c r="R193" s="182"/>
      <c r="S193" s="1433"/>
    </row>
    <row r="194" spans="1:19" ht="11.25" customHeight="1" x14ac:dyDescent="0.2">
      <c r="A194" s="1736"/>
      <c r="B194" s="1731"/>
      <c r="C194" s="2052"/>
      <c r="D194" s="2055"/>
      <c r="E194" s="1755"/>
      <c r="F194" s="1753"/>
      <c r="G194" s="2058"/>
      <c r="H194" s="2060"/>
      <c r="I194" s="2062"/>
      <c r="J194" s="80"/>
      <c r="K194" s="61"/>
      <c r="L194" s="61"/>
      <c r="M194" s="166"/>
      <c r="N194" s="1510"/>
      <c r="O194" s="21"/>
      <c r="P194" s="183"/>
      <c r="Q194" s="57"/>
      <c r="R194" s="51"/>
      <c r="S194" s="23"/>
    </row>
    <row r="195" spans="1:19" ht="14.25" customHeight="1" thickBot="1" x14ac:dyDescent="0.25">
      <c r="A195" s="75"/>
      <c r="B195" s="892"/>
      <c r="C195" s="499"/>
      <c r="D195" s="499"/>
      <c r="E195" s="500"/>
      <c r="F195" s="501"/>
      <c r="G195" s="459"/>
      <c r="H195" s="499"/>
      <c r="I195" s="502"/>
      <c r="J195" s="156" t="s">
        <v>6</v>
      </c>
      <c r="K195" s="246">
        <f>SUM(K179:K194)</f>
        <v>960.8</v>
      </c>
      <c r="L195" s="246">
        <f>SUM(L179:L194)</f>
        <v>1102.8</v>
      </c>
      <c r="M195" s="246">
        <f t="shared" ref="M195:N195" si="13">SUM(M179:M194)</f>
        <v>1290.2</v>
      </c>
      <c r="N195" s="246">
        <f t="shared" si="13"/>
        <v>1288</v>
      </c>
      <c r="O195" s="503"/>
      <c r="P195" s="504"/>
      <c r="Q195" s="504"/>
      <c r="R195" s="1468"/>
      <c r="S195" s="1519"/>
    </row>
    <row r="196" spans="1:19" ht="14.25" customHeight="1" thickBot="1" x14ac:dyDescent="0.25">
      <c r="A196" s="99" t="s">
        <v>5</v>
      </c>
      <c r="B196" s="86" t="s">
        <v>28</v>
      </c>
      <c r="C196" s="1728" t="s">
        <v>8</v>
      </c>
      <c r="D196" s="1728"/>
      <c r="E196" s="1728"/>
      <c r="F196" s="1728"/>
      <c r="G196" s="1728"/>
      <c r="H196" s="1728"/>
      <c r="I196" s="1728"/>
      <c r="J196" s="1660"/>
      <c r="K196" s="253">
        <f>K195+K176+K173</f>
        <v>2739.1</v>
      </c>
      <c r="L196" s="253">
        <f t="shared" ref="L196:N196" si="14">L195+L176+L173</f>
        <v>2330.5</v>
      </c>
      <c r="M196" s="253">
        <f t="shared" si="14"/>
        <v>2517.9</v>
      </c>
      <c r="N196" s="253">
        <f t="shared" si="14"/>
        <v>2515.6999999999998</v>
      </c>
      <c r="O196" s="1661"/>
      <c r="P196" s="1661"/>
      <c r="Q196" s="1661"/>
      <c r="R196" s="1661"/>
      <c r="S196" s="1662"/>
    </row>
    <row r="197" spans="1:19" ht="14.25" customHeight="1" thickBot="1" x14ac:dyDescent="0.25">
      <c r="A197" s="85" t="s">
        <v>5</v>
      </c>
      <c r="B197" s="86" t="s">
        <v>33</v>
      </c>
      <c r="C197" s="1645" t="s">
        <v>225</v>
      </c>
      <c r="D197" s="1646"/>
      <c r="E197" s="1646"/>
      <c r="F197" s="1646"/>
      <c r="G197" s="1646"/>
      <c r="H197" s="1646"/>
      <c r="I197" s="1646"/>
      <c r="J197" s="1646"/>
      <c r="K197" s="1646"/>
      <c r="L197" s="1646"/>
      <c r="M197" s="1646"/>
      <c r="N197" s="1646"/>
      <c r="O197" s="1646"/>
      <c r="P197" s="1646"/>
      <c r="Q197" s="1646"/>
      <c r="R197" s="1646"/>
      <c r="S197" s="1647"/>
    </row>
    <row r="198" spans="1:19" ht="31.5" customHeight="1" x14ac:dyDescent="0.2">
      <c r="A198" s="294" t="s">
        <v>5</v>
      </c>
      <c r="B198" s="296" t="s">
        <v>33</v>
      </c>
      <c r="C198" s="476" t="s">
        <v>5</v>
      </c>
      <c r="D198" s="106"/>
      <c r="E198" s="132" t="s">
        <v>113</v>
      </c>
      <c r="F198" s="146"/>
      <c r="G198" s="115"/>
      <c r="H198" s="106"/>
      <c r="I198" s="553"/>
      <c r="J198" s="100"/>
      <c r="K198" s="570"/>
      <c r="L198" s="84"/>
      <c r="M198" s="84"/>
      <c r="N198" s="84"/>
      <c r="O198" s="107"/>
      <c r="P198" s="6"/>
      <c r="Q198" s="6"/>
      <c r="R198" s="1150"/>
      <c r="S198" s="1515"/>
    </row>
    <row r="199" spans="1:19" ht="15.75" customHeight="1" x14ac:dyDescent="0.2">
      <c r="A199" s="523"/>
      <c r="B199" s="524"/>
      <c r="C199" s="471"/>
      <c r="D199" s="709" t="s">
        <v>5</v>
      </c>
      <c r="E199" s="563" t="s">
        <v>110</v>
      </c>
      <c r="F199" s="530"/>
      <c r="G199" s="567" t="s">
        <v>153</v>
      </c>
      <c r="H199" s="547">
        <v>6</v>
      </c>
      <c r="I199" s="2061" t="s">
        <v>109</v>
      </c>
      <c r="J199" s="60" t="s">
        <v>25</v>
      </c>
      <c r="K199" s="60">
        <f>1914.6-300-42.7-50</f>
        <v>1521.9</v>
      </c>
      <c r="L199" s="60"/>
      <c r="M199" s="60"/>
      <c r="N199" s="60"/>
      <c r="O199" s="535" t="s">
        <v>68</v>
      </c>
      <c r="P199" s="407">
        <v>11</v>
      </c>
      <c r="Q199" s="53"/>
      <c r="R199" s="141"/>
      <c r="S199" s="572"/>
    </row>
    <row r="200" spans="1:19" ht="26.25" customHeight="1" x14ac:dyDescent="0.2">
      <c r="A200" s="523"/>
      <c r="B200" s="524"/>
      <c r="C200" s="471"/>
      <c r="D200" s="2184" t="s">
        <v>245</v>
      </c>
      <c r="E200" s="565" t="s">
        <v>246</v>
      </c>
      <c r="F200" s="530"/>
      <c r="G200" s="568"/>
      <c r="H200" s="528"/>
      <c r="I200" s="2032"/>
      <c r="J200" s="68"/>
      <c r="K200" s="92"/>
      <c r="L200" s="68"/>
      <c r="M200" s="68"/>
      <c r="N200" s="68"/>
      <c r="O200" s="544"/>
      <c r="P200" s="272"/>
      <c r="Q200" s="272"/>
      <c r="R200" s="108"/>
      <c r="S200" s="43"/>
    </row>
    <row r="201" spans="1:19" ht="27.75" customHeight="1" x14ac:dyDescent="0.2">
      <c r="A201" s="523"/>
      <c r="B201" s="524"/>
      <c r="C201" s="471"/>
      <c r="D201" s="2184"/>
      <c r="E201" s="279" t="s">
        <v>248</v>
      </c>
      <c r="F201" s="530"/>
      <c r="G201" s="568"/>
      <c r="H201" s="528"/>
      <c r="I201" s="539"/>
      <c r="J201" s="68"/>
      <c r="K201" s="92"/>
      <c r="L201" s="68"/>
      <c r="M201" s="68"/>
      <c r="N201" s="68"/>
      <c r="O201" s="544"/>
      <c r="P201" s="272"/>
      <c r="Q201" s="272"/>
      <c r="R201" s="108"/>
      <c r="S201" s="43"/>
    </row>
    <row r="202" spans="1:19" ht="24.75" customHeight="1" x14ac:dyDescent="0.2">
      <c r="A202" s="523"/>
      <c r="B202" s="524"/>
      <c r="C202" s="471"/>
      <c r="D202" s="2184"/>
      <c r="E202" s="279" t="s">
        <v>249</v>
      </c>
      <c r="F202" s="530"/>
      <c r="G202" s="568"/>
      <c r="H202" s="528"/>
      <c r="I202" s="539"/>
      <c r="J202" s="68"/>
      <c r="K202" s="92"/>
      <c r="L202" s="68"/>
      <c r="M202" s="68"/>
      <c r="N202" s="68"/>
      <c r="O202" s="544"/>
      <c r="P202" s="272"/>
      <c r="Q202" s="272"/>
      <c r="R202" s="108"/>
      <c r="S202" s="43"/>
    </row>
    <row r="203" spans="1:19" ht="12.75" customHeight="1" x14ac:dyDescent="0.2">
      <c r="A203" s="523"/>
      <c r="B203" s="524"/>
      <c r="C203" s="471"/>
      <c r="D203" s="2184"/>
      <c r="E203" s="279" t="s">
        <v>250</v>
      </c>
      <c r="F203" s="530"/>
      <c r="G203" s="568"/>
      <c r="H203" s="528"/>
      <c r="I203" s="539"/>
      <c r="J203" s="68"/>
      <c r="K203" s="92"/>
      <c r="L203" s="68"/>
      <c r="M203" s="68"/>
      <c r="N203" s="68"/>
      <c r="O203" s="544"/>
      <c r="P203" s="272"/>
      <c r="Q203" s="272"/>
      <c r="R203" s="108"/>
      <c r="S203" s="43"/>
    </row>
    <row r="204" spans="1:19" ht="13.5" customHeight="1" x14ac:dyDescent="0.2">
      <c r="A204" s="523"/>
      <c r="B204" s="524"/>
      <c r="C204" s="471"/>
      <c r="D204" s="2184"/>
      <c r="E204" s="279" t="s">
        <v>253</v>
      </c>
      <c r="F204" s="530"/>
      <c r="G204" s="568"/>
      <c r="H204" s="528"/>
      <c r="I204" s="539"/>
      <c r="J204" s="68"/>
      <c r="K204" s="92"/>
      <c r="L204" s="68"/>
      <c r="M204" s="68"/>
      <c r="N204" s="68"/>
      <c r="O204" s="544"/>
      <c r="P204" s="272"/>
      <c r="Q204" s="272"/>
      <c r="R204" s="108"/>
      <c r="S204" s="43"/>
    </row>
    <row r="205" spans="1:19" ht="13.5" customHeight="1" x14ac:dyDescent="0.2">
      <c r="A205" s="523"/>
      <c r="B205" s="524"/>
      <c r="C205" s="471"/>
      <c r="D205" s="2184"/>
      <c r="E205" s="279" t="s">
        <v>254</v>
      </c>
      <c r="F205" s="530"/>
      <c r="G205" s="568"/>
      <c r="H205" s="528"/>
      <c r="I205" s="539"/>
      <c r="J205" s="68"/>
      <c r="K205" s="92"/>
      <c r="L205" s="68"/>
      <c r="M205" s="68"/>
      <c r="N205" s="68"/>
      <c r="O205" s="544"/>
      <c r="P205" s="272"/>
      <c r="Q205" s="272"/>
      <c r="R205" s="108"/>
      <c r="S205" s="43"/>
    </row>
    <row r="206" spans="1:19" ht="25.5" customHeight="1" x14ac:dyDescent="0.2">
      <c r="A206" s="523"/>
      <c r="B206" s="524"/>
      <c r="C206" s="471"/>
      <c r="D206" s="2184"/>
      <c r="E206" s="564" t="s">
        <v>255</v>
      </c>
      <c r="F206" s="530"/>
      <c r="G206" s="568"/>
      <c r="H206" s="528"/>
      <c r="I206" s="539"/>
      <c r="J206" s="68"/>
      <c r="K206" s="92"/>
      <c r="L206" s="68"/>
      <c r="M206" s="68"/>
      <c r="N206" s="68"/>
      <c r="O206" s="544"/>
      <c r="P206" s="272"/>
      <c r="Q206" s="272"/>
      <c r="R206" s="108"/>
      <c r="S206" s="43"/>
    </row>
    <row r="207" spans="1:19" ht="25.5" customHeight="1" x14ac:dyDescent="0.2">
      <c r="A207" s="523"/>
      <c r="B207" s="524"/>
      <c r="C207" s="471"/>
      <c r="D207" s="2185"/>
      <c r="E207" s="562" t="s">
        <v>256</v>
      </c>
      <c r="F207" s="164"/>
      <c r="G207" s="568"/>
      <c r="H207" s="538"/>
      <c r="I207" s="369"/>
      <c r="J207" s="67"/>
      <c r="K207" s="95"/>
      <c r="L207" s="67"/>
      <c r="M207" s="67"/>
      <c r="N207" s="67"/>
      <c r="O207" s="548"/>
      <c r="P207" s="45"/>
      <c r="Q207" s="45"/>
      <c r="R207" s="170"/>
      <c r="S207" s="46"/>
    </row>
    <row r="208" spans="1:19" ht="27.75" customHeight="1" x14ac:dyDescent="0.2">
      <c r="A208" s="523"/>
      <c r="B208" s="524"/>
      <c r="C208" s="471"/>
      <c r="D208" s="2186" t="s">
        <v>251</v>
      </c>
      <c r="E208" s="534" t="s">
        <v>257</v>
      </c>
      <c r="F208" s="530"/>
      <c r="G208" s="568"/>
      <c r="H208" s="528"/>
      <c r="I208" s="539"/>
      <c r="J208" s="68" t="s">
        <v>25</v>
      </c>
      <c r="K208" s="92"/>
      <c r="L208" s="68">
        <v>931.6</v>
      </c>
      <c r="M208" s="68"/>
      <c r="N208" s="68"/>
      <c r="O208" s="535" t="s">
        <v>68</v>
      </c>
      <c r="P208" s="272"/>
      <c r="Q208" s="272">
        <v>5.7</v>
      </c>
      <c r="R208" s="108"/>
      <c r="S208" s="43"/>
    </row>
    <row r="209" spans="1:19" ht="13.5" customHeight="1" x14ac:dyDescent="0.2">
      <c r="A209" s="523"/>
      <c r="B209" s="524"/>
      <c r="C209" s="471"/>
      <c r="D209" s="2184"/>
      <c r="E209" s="279" t="s">
        <v>258</v>
      </c>
      <c r="F209" s="530"/>
      <c r="G209" s="568"/>
      <c r="H209" s="528"/>
      <c r="I209" s="539"/>
      <c r="J209" s="68"/>
      <c r="K209" s="92"/>
      <c r="L209" s="68"/>
      <c r="M209" s="68"/>
      <c r="N209" s="68"/>
      <c r="O209" s="544"/>
      <c r="P209" s="272"/>
      <c r="Q209" s="272"/>
      <c r="R209" s="108"/>
      <c r="S209" s="43"/>
    </row>
    <row r="210" spans="1:19" ht="27.75" customHeight="1" x14ac:dyDescent="0.2">
      <c r="A210" s="523"/>
      <c r="B210" s="524"/>
      <c r="C210" s="471"/>
      <c r="D210" s="2184"/>
      <c r="E210" s="279" t="s">
        <v>259</v>
      </c>
      <c r="F210" s="530"/>
      <c r="G210" s="568"/>
      <c r="H210" s="528"/>
      <c r="I210" s="539"/>
      <c r="J210" s="68"/>
      <c r="K210" s="92"/>
      <c r="L210" s="68"/>
      <c r="M210" s="68"/>
      <c r="N210" s="68"/>
      <c r="O210" s="544"/>
      <c r="P210" s="272"/>
      <c r="Q210" s="272"/>
      <c r="R210" s="108"/>
      <c r="S210" s="43"/>
    </row>
    <row r="211" spans="1:19" ht="15.75" customHeight="1" x14ac:dyDescent="0.2">
      <c r="A211" s="523"/>
      <c r="B211" s="524"/>
      <c r="C211" s="471"/>
      <c r="D211" s="2184"/>
      <c r="E211" s="566" t="s">
        <v>260</v>
      </c>
      <c r="F211" s="530"/>
      <c r="G211" s="568"/>
      <c r="H211" s="528"/>
      <c r="I211" s="539"/>
      <c r="J211" s="68"/>
      <c r="K211" s="92"/>
      <c r="L211" s="68"/>
      <c r="M211" s="68"/>
      <c r="N211" s="68"/>
      <c r="O211" s="544"/>
      <c r="P211" s="272"/>
      <c r="Q211" s="272"/>
      <c r="R211" s="108"/>
      <c r="S211" s="43"/>
    </row>
    <row r="212" spans="1:19" ht="15" customHeight="1" x14ac:dyDescent="0.2">
      <c r="A212" s="523"/>
      <c r="B212" s="524"/>
      <c r="C212" s="471"/>
      <c r="D212" s="2184"/>
      <c r="E212" s="566" t="s">
        <v>261</v>
      </c>
      <c r="F212" s="530"/>
      <c r="G212" s="568"/>
      <c r="H212" s="528"/>
      <c r="I212" s="539"/>
      <c r="J212" s="68"/>
      <c r="K212" s="92"/>
      <c r="L212" s="68"/>
      <c r="M212" s="68"/>
      <c r="N212" s="68"/>
      <c r="O212" s="544"/>
      <c r="P212" s="272"/>
      <c r="Q212" s="272"/>
      <c r="R212" s="108"/>
      <c r="S212" s="43"/>
    </row>
    <row r="213" spans="1:19" ht="14.25" customHeight="1" x14ac:dyDescent="0.2">
      <c r="A213" s="523"/>
      <c r="B213" s="524"/>
      <c r="C213" s="471"/>
      <c r="D213" s="2184"/>
      <c r="E213" s="566" t="s">
        <v>262</v>
      </c>
      <c r="F213" s="530"/>
      <c r="G213" s="568"/>
      <c r="H213" s="528"/>
      <c r="I213" s="539"/>
      <c r="J213" s="68"/>
      <c r="K213" s="92"/>
      <c r="L213" s="68"/>
      <c r="M213" s="68"/>
      <c r="N213" s="68"/>
      <c r="O213" s="544"/>
      <c r="P213" s="272"/>
      <c r="Q213" s="272"/>
      <c r="R213" s="108"/>
      <c r="S213" s="43"/>
    </row>
    <row r="214" spans="1:19" ht="12.75" customHeight="1" x14ac:dyDescent="0.2">
      <c r="A214" s="862"/>
      <c r="B214" s="863"/>
      <c r="C214" s="471"/>
      <c r="D214" s="2184"/>
      <c r="E214" s="860" t="s">
        <v>247</v>
      </c>
      <c r="F214" s="864"/>
      <c r="G214" s="859"/>
      <c r="H214" s="865"/>
      <c r="I214" s="866"/>
      <c r="J214" s="68"/>
      <c r="K214" s="92"/>
      <c r="L214" s="68"/>
      <c r="M214" s="68"/>
      <c r="N214" s="68"/>
      <c r="O214" s="861"/>
      <c r="P214" s="272"/>
      <c r="Q214" s="272"/>
      <c r="R214" s="108"/>
      <c r="S214" s="43"/>
    </row>
    <row r="215" spans="1:19" ht="15.75" customHeight="1" x14ac:dyDescent="0.2">
      <c r="A215" s="523"/>
      <c r="B215" s="524"/>
      <c r="C215" s="471"/>
      <c r="D215" s="2185"/>
      <c r="E215" s="541" t="s">
        <v>263</v>
      </c>
      <c r="F215" s="164"/>
      <c r="G215" s="569"/>
      <c r="H215" s="374"/>
      <c r="I215" s="369"/>
      <c r="J215" s="67"/>
      <c r="K215" s="95"/>
      <c r="L215" s="67"/>
      <c r="M215" s="67"/>
      <c r="N215" s="67"/>
      <c r="O215" s="548"/>
      <c r="P215" s="45"/>
      <c r="Q215" s="45"/>
      <c r="R215" s="170"/>
      <c r="S215" s="46"/>
    </row>
    <row r="216" spans="1:19" ht="27.75" customHeight="1" x14ac:dyDescent="0.2">
      <c r="A216" s="523"/>
      <c r="B216" s="524"/>
      <c r="C216" s="471"/>
      <c r="D216" s="2186" t="s">
        <v>252</v>
      </c>
      <c r="E216" s="536" t="s">
        <v>264</v>
      </c>
      <c r="F216" s="529"/>
      <c r="G216" s="567"/>
      <c r="H216" s="545"/>
      <c r="I216" s="571"/>
      <c r="J216" s="60" t="s">
        <v>25</v>
      </c>
      <c r="K216" s="96"/>
      <c r="L216" s="60"/>
      <c r="M216" s="60">
        <v>1040</v>
      </c>
      <c r="N216" s="60"/>
      <c r="O216" s="535" t="s">
        <v>68</v>
      </c>
      <c r="P216" s="53"/>
      <c r="Q216" s="53"/>
      <c r="R216" s="141">
        <v>6.5</v>
      </c>
      <c r="S216" s="572"/>
    </row>
    <row r="217" spans="1:19" ht="29.25" customHeight="1" x14ac:dyDescent="0.2">
      <c r="A217" s="523"/>
      <c r="B217" s="524"/>
      <c r="C217" s="471"/>
      <c r="D217" s="2184"/>
      <c r="E217" s="279" t="s">
        <v>265</v>
      </c>
      <c r="F217" s="530"/>
      <c r="G217" s="568"/>
      <c r="H217" s="528"/>
      <c r="I217" s="539"/>
      <c r="J217" s="68"/>
      <c r="K217" s="92"/>
      <c r="L217" s="68"/>
      <c r="M217" s="68"/>
      <c r="N217" s="68"/>
      <c r="O217" s="544"/>
      <c r="P217" s="272"/>
      <c r="Q217" s="272"/>
      <c r="R217" s="108"/>
      <c r="S217" s="43"/>
    </row>
    <row r="218" spans="1:19" ht="15.75" customHeight="1" x14ac:dyDescent="0.2">
      <c r="A218" s="523"/>
      <c r="B218" s="524"/>
      <c r="C218" s="471"/>
      <c r="D218" s="2184"/>
      <c r="E218" s="279" t="s">
        <v>266</v>
      </c>
      <c r="F218" s="530"/>
      <c r="G218" s="568"/>
      <c r="H218" s="528"/>
      <c r="I218" s="539"/>
      <c r="J218" s="68"/>
      <c r="K218" s="92"/>
      <c r="L218" s="68"/>
      <c r="M218" s="68"/>
      <c r="N218" s="68"/>
      <c r="O218" s="544"/>
      <c r="P218" s="272"/>
      <c r="Q218" s="272"/>
      <c r="R218" s="108"/>
      <c r="S218" s="43"/>
    </row>
    <row r="219" spans="1:19" ht="19.5" customHeight="1" x14ac:dyDescent="0.2">
      <c r="A219" s="523"/>
      <c r="B219" s="524"/>
      <c r="C219" s="471"/>
      <c r="D219" s="2185"/>
      <c r="E219" s="541" t="s">
        <v>267</v>
      </c>
      <c r="F219" s="164"/>
      <c r="G219" s="569"/>
      <c r="H219" s="374"/>
      <c r="I219" s="369"/>
      <c r="J219" s="67"/>
      <c r="K219" s="95"/>
      <c r="L219" s="67"/>
      <c r="M219" s="67"/>
      <c r="N219" s="67"/>
      <c r="O219" s="548"/>
      <c r="P219" s="45"/>
      <c r="Q219" s="45"/>
      <c r="R219" s="170"/>
      <c r="S219" s="46"/>
    </row>
    <row r="220" spans="1:19" ht="29.25" customHeight="1" x14ac:dyDescent="0.2">
      <c r="A220" s="523"/>
      <c r="B220" s="524"/>
      <c r="C220" s="471"/>
      <c r="D220" s="267" t="s">
        <v>7</v>
      </c>
      <c r="E220" s="1725" t="s">
        <v>112</v>
      </c>
      <c r="F220" s="529"/>
      <c r="G220" s="2104" t="s">
        <v>141</v>
      </c>
      <c r="H220" s="680"/>
      <c r="I220" s="681"/>
      <c r="J220" s="60" t="s">
        <v>107</v>
      </c>
      <c r="K220" s="60">
        <f>1069.8+37.2</f>
        <v>1107</v>
      </c>
      <c r="L220" s="53">
        <v>1069.8</v>
      </c>
      <c r="M220" s="60">
        <v>1069.8</v>
      </c>
      <c r="N220" s="60">
        <v>1069.8</v>
      </c>
      <c r="O220" s="542" t="s">
        <v>215</v>
      </c>
      <c r="P220" s="407">
        <v>0.2</v>
      </c>
      <c r="Q220" s="407">
        <v>0.2</v>
      </c>
      <c r="R220" s="1152">
        <v>0.2</v>
      </c>
      <c r="S220" s="1516">
        <v>0.2</v>
      </c>
    </row>
    <row r="221" spans="1:19" ht="26.25" customHeight="1" x14ac:dyDescent="0.2">
      <c r="A221" s="523"/>
      <c r="B221" s="524"/>
      <c r="C221" s="471"/>
      <c r="D221" s="102"/>
      <c r="E221" s="1726"/>
      <c r="F221" s="530"/>
      <c r="G221" s="2105"/>
      <c r="H221" s="680"/>
      <c r="I221" s="681"/>
      <c r="J221" s="68" t="s">
        <v>25</v>
      </c>
      <c r="K221" s="68">
        <f>60-K222</f>
        <v>48.8</v>
      </c>
      <c r="L221" s="272"/>
      <c r="M221" s="68"/>
      <c r="N221" s="68"/>
      <c r="O221" s="343" t="s">
        <v>40</v>
      </c>
      <c r="P221" s="344">
        <v>4</v>
      </c>
      <c r="Q221" s="344">
        <v>4</v>
      </c>
      <c r="R221" s="1153">
        <v>4</v>
      </c>
      <c r="S221" s="1517">
        <v>4</v>
      </c>
    </row>
    <row r="222" spans="1:19" ht="17.25" customHeight="1" x14ac:dyDescent="0.2">
      <c r="A222" s="523"/>
      <c r="B222" s="524"/>
      <c r="C222" s="471"/>
      <c r="D222" s="103"/>
      <c r="E222" s="1727"/>
      <c r="F222" s="164"/>
      <c r="G222" s="2178"/>
      <c r="H222" s="680"/>
      <c r="I222" s="682"/>
      <c r="J222" s="1520" t="s">
        <v>62</v>
      </c>
      <c r="K222" s="1492">
        <v>11.2</v>
      </c>
      <c r="L222" s="67"/>
      <c r="M222" s="67"/>
      <c r="N222" s="67"/>
      <c r="O222" s="543" t="s">
        <v>67</v>
      </c>
      <c r="P222" s="302">
        <v>54.6</v>
      </c>
      <c r="Q222" s="302">
        <v>54.6</v>
      </c>
      <c r="R222" s="1154">
        <v>54.6</v>
      </c>
      <c r="S222" s="1518">
        <v>54.6</v>
      </c>
    </row>
    <row r="223" spans="1:19" ht="15.75" customHeight="1" x14ac:dyDescent="0.2">
      <c r="A223" s="1736"/>
      <c r="B223" s="1731"/>
      <c r="C223" s="2086"/>
      <c r="D223" s="264" t="s">
        <v>28</v>
      </c>
      <c r="E223" s="1737" t="s">
        <v>53</v>
      </c>
      <c r="F223" s="530"/>
      <c r="G223" s="2179" t="s">
        <v>141</v>
      </c>
      <c r="H223" s="528"/>
      <c r="I223" s="537"/>
      <c r="J223" s="68" t="s">
        <v>25</v>
      </c>
      <c r="K223" s="92">
        <v>500</v>
      </c>
      <c r="L223" s="68">
        <v>500</v>
      </c>
      <c r="M223" s="68">
        <v>500</v>
      </c>
      <c r="N223" s="68">
        <v>500</v>
      </c>
      <c r="O223" s="1762" t="s">
        <v>206</v>
      </c>
      <c r="P223" s="40" t="s">
        <v>169</v>
      </c>
      <c r="Q223" s="40" t="s">
        <v>169</v>
      </c>
      <c r="R223" s="705" t="s">
        <v>170</v>
      </c>
      <c r="S223" s="440" t="s">
        <v>170</v>
      </c>
    </row>
    <row r="224" spans="1:19" ht="27.75" customHeight="1" x14ac:dyDescent="0.2">
      <c r="A224" s="1736"/>
      <c r="B224" s="1731"/>
      <c r="C224" s="2086"/>
      <c r="D224" s="103"/>
      <c r="E224" s="1738"/>
      <c r="F224" s="164"/>
      <c r="G224" s="2180"/>
      <c r="H224" s="528"/>
      <c r="I224" s="537"/>
      <c r="J224" s="1521"/>
      <c r="K224" s="1522"/>
      <c r="L224" s="1521"/>
      <c r="M224" s="1521"/>
      <c r="N224" s="67"/>
      <c r="O224" s="1763"/>
      <c r="P224" s="45"/>
      <c r="Q224" s="45"/>
      <c r="R224" s="170"/>
      <c r="S224" s="46"/>
    </row>
    <row r="225" spans="1:19" ht="27.75" customHeight="1" x14ac:dyDescent="0.2">
      <c r="A225" s="1736"/>
      <c r="B225" s="1731"/>
      <c r="C225" s="2086"/>
      <c r="D225" s="2093" t="s">
        <v>33</v>
      </c>
      <c r="E225" s="1739" t="s">
        <v>268</v>
      </c>
      <c r="F225" s="1751"/>
      <c r="G225" s="2104" t="s">
        <v>142</v>
      </c>
      <c r="H225" s="1732"/>
      <c r="I225" s="378"/>
      <c r="J225" s="1525" t="s">
        <v>25</v>
      </c>
      <c r="K225" s="1526">
        <f>1684-300-200</f>
        <v>1184</v>
      </c>
      <c r="L225" s="1525">
        <v>1184</v>
      </c>
      <c r="M225" s="1525">
        <v>1184</v>
      </c>
      <c r="N225" s="1525">
        <v>1184</v>
      </c>
      <c r="O225" s="1979" t="s">
        <v>377</v>
      </c>
      <c r="P225" s="53">
        <v>44.6</v>
      </c>
      <c r="Q225" s="53">
        <v>44.6</v>
      </c>
      <c r="R225" s="483">
        <v>44.6</v>
      </c>
      <c r="S225" s="572">
        <v>44.6</v>
      </c>
    </row>
    <row r="226" spans="1:19" ht="12" customHeight="1" x14ac:dyDescent="0.2">
      <c r="A226" s="1736"/>
      <c r="B226" s="1731"/>
      <c r="C226" s="2086"/>
      <c r="D226" s="1635"/>
      <c r="E226" s="1684"/>
      <c r="F226" s="1733"/>
      <c r="G226" s="2088"/>
      <c r="H226" s="1732"/>
      <c r="I226" s="378"/>
      <c r="J226" s="68" t="s">
        <v>77</v>
      </c>
      <c r="K226" s="92">
        <v>300</v>
      </c>
      <c r="L226" s="68"/>
      <c r="M226" s="68"/>
      <c r="N226" s="68"/>
      <c r="O226" s="2035"/>
      <c r="P226" s="272"/>
      <c r="Q226" s="272"/>
      <c r="R226" s="108"/>
      <c r="S226" s="43"/>
    </row>
    <row r="227" spans="1:19" ht="12.75" customHeight="1" x14ac:dyDescent="0.2">
      <c r="A227" s="1736"/>
      <c r="B227" s="1731"/>
      <c r="C227" s="2086"/>
      <c r="D227" s="1635"/>
      <c r="E227" s="1684"/>
      <c r="F227" s="1733"/>
      <c r="G227" s="2088"/>
      <c r="H227" s="1732"/>
      <c r="I227" s="378"/>
      <c r="J227" s="73" t="s">
        <v>107</v>
      </c>
      <c r="K227" s="163">
        <v>120</v>
      </c>
      <c r="L227" s="73">
        <v>120</v>
      </c>
      <c r="M227" s="73">
        <v>120</v>
      </c>
      <c r="N227" s="73">
        <v>120</v>
      </c>
      <c r="O227" s="1523"/>
      <c r="P227" s="1524"/>
      <c r="Q227" s="180"/>
      <c r="R227" s="142"/>
      <c r="S227" s="557"/>
    </row>
    <row r="228" spans="1:19" ht="21.75" customHeight="1" x14ac:dyDescent="0.2">
      <c r="A228" s="1736"/>
      <c r="B228" s="1731"/>
      <c r="C228" s="2086"/>
      <c r="D228" s="1635"/>
      <c r="E228" s="531"/>
      <c r="F228" s="1733"/>
      <c r="G228" s="2088"/>
      <c r="H228" s="1732"/>
      <c r="I228" s="378"/>
      <c r="J228" s="68" t="s">
        <v>25</v>
      </c>
      <c r="K228" s="82">
        <v>227.9</v>
      </c>
      <c r="L228" s="68"/>
      <c r="M228" s="68"/>
      <c r="N228" s="68"/>
      <c r="O228" s="1734" t="s">
        <v>210</v>
      </c>
      <c r="P228" s="1676">
        <v>100</v>
      </c>
      <c r="Q228" s="1680"/>
      <c r="R228" s="1996"/>
      <c r="S228" s="1756"/>
    </row>
    <row r="229" spans="1:19" ht="19.5" customHeight="1" x14ac:dyDescent="0.2">
      <c r="A229" s="1736"/>
      <c r="B229" s="1731"/>
      <c r="C229" s="2086"/>
      <c r="D229" s="2151"/>
      <c r="E229" s="165"/>
      <c r="F229" s="2183"/>
      <c r="G229" s="2088"/>
      <c r="H229" s="1732"/>
      <c r="I229" s="378"/>
      <c r="J229" s="67" t="s">
        <v>62</v>
      </c>
      <c r="K229" s="67">
        <v>67</v>
      </c>
      <c r="L229" s="67"/>
      <c r="M229" s="67"/>
      <c r="N229" s="67"/>
      <c r="O229" s="1735"/>
      <c r="P229" s="1677"/>
      <c r="Q229" s="1677"/>
      <c r="R229" s="1997"/>
      <c r="S229" s="1757"/>
    </row>
    <row r="230" spans="1:19" ht="18.75" customHeight="1" x14ac:dyDescent="0.2">
      <c r="A230" s="523"/>
      <c r="B230" s="524"/>
      <c r="C230" s="526"/>
      <c r="D230" s="532" t="s">
        <v>34</v>
      </c>
      <c r="E230" s="1758" t="s">
        <v>111</v>
      </c>
      <c r="F230" s="530"/>
      <c r="G230" s="2181" t="s">
        <v>143</v>
      </c>
      <c r="H230" s="528"/>
      <c r="I230" s="525"/>
      <c r="J230" s="68" t="s">
        <v>25</v>
      </c>
      <c r="K230" s="92">
        <f>1000-300</f>
        <v>700</v>
      </c>
      <c r="L230" s="68">
        <f>1000-350</f>
        <v>650</v>
      </c>
      <c r="M230" s="68">
        <f>300+350</f>
        <v>650</v>
      </c>
      <c r="N230" s="68">
        <f>300+350</f>
        <v>650</v>
      </c>
      <c r="O230" s="1760" t="s">
        <v>200</v>
      </c>
      <c r="P230" s="408">
        <v>20</v>
      </c>
      <c r="Q230" s="330">
        <v>15</v>
      </c>
      <c r="R230" s="384">
        <v>15</v>
      </c>
      <c r="S230" s="1433">
        <v>15</v>
      </c>
    </row>
    <row r="231" spans="1:19" ht="15.75" customHeight="1" x14ac:dyDescent="0.2">
      <c r="A231" s="291"/>
      <c r="B231" s="293"/>
      <c r="C231" s="464"/>
      <c r="D231" s="372"/>
      <c r="E231" s="1759"/>
      <c r="F231" s="164"/>
      <c r="G231" s="2182"/>
      <c r="H231" s="1425"/>
      <c r="I231" s="1439"/>
      <c r="J231" s="67"/>
      <c r="K231" s="95"/>
      <c r="L231" s="67"/>
      <c r="M231" s="67"/>
      <c r="N231" s="67"/>
      <c r="O231" s="1761"/>
      <c r="P231" s="22"/>
      <c r="Q231" s="22"/>
      <c r="R231" s="387"/>
      <c r="S231" s="23"/>
    </row>
    <row r="232" spans="1:19" ht="15.75" customHeight="1" x14ac:dyDescent="0.2">
      <c r="A232" s="298"/>
      <c r="B232" s="293"/>
      <c r="C232" s="475"/>
      <c r="D232" s="264" t="s">
        <v>35</v>
      </c>
      <c r="E232" s="1669" t="s">
        <v>39</v>
      </c>
      <c r="F232" s="356"/>
      <c r="G232" s="2181" t="s">
        <v>152</v>
      </c>
      <c r="H232" s="353"/>
      <c r="I232" s="376"/>
      <c r="J232" s="64" t="s">
        <v>107</v>
      </c>
      <c r="K232" s="68">
        <v>45</v>
      </c>
      <c r="L232" s="68">
        <v>82.2</v>
      </c>
      <c r="M232" s="68">
        <v>82.2</v>
      </c>
      <c r="N232" s="68">
        <v>82.2</v>
      </c>
      <c r="O232" s="299" t="s">
        <v>55</v>
      </c>
      <c r="P232" s="1484">
        <v>14</v>
      </c>
      <c r="Q232" s="292">
        <v>15</v>
      </c>
      <c r="R232" s="1435">
        <v>15</v>
      </c>
      <c r="S232" s="1460">
        <v>15</v>
      </c>
    </row>
    <row r="233" spans="1:19" ht="13.5" customHeight="1" x14ac:dyDescent="0.2">
      <c r="A233" s="540"/>
      <c r="B233" s="524"/>
      <c r="C233" s="527"/>
      <c r="D233" s="264"/>
      <c r="E233" s="1669"/>
      <c r="F233" s="530"/>
      <c r="G233" s="2181"/>
      <c r="H233" s="528"/>
      <c r="I233" s="694"/>
      <c r="J233" s="68" t="s">
        <v>25</v>
      </c>
      <c r="K233" s="687">
        <f>14+42.7+50</f>
        <v>106.7</v>
      </c>
      <c r="L233" s="68">
        <v>14</v>
      </c>
      <c r="M233" s="68">
        <v>14</v>
      </c>
      <c r="N233" s="68">
        <v>14</v>
      </c>
      <c r="O233" s="546"/>
      <c r="P233" s="330"/>
      <c r="Q233" s="330"/>
      <c r="R233" s="384"/>
      <c r="S233" s="1433"/>
    </row>
    <row r="234" spans="1:19" ht="16.5" customHeight="1" x14ac:dyDescent="0.2">
      <c r="A234" s="298"/>
      <c r="B234" s="293"/>
      <c r="C234" s="475"/>
      <c r="D234" s="102"/>
      <c r="E234" s="1669"/>
      <c r="F234" s="356"/>
      <c r="G234" s="2181"/>
      <c r="H234" s="353"/>
      <c r="I234" s="367"/>
      <c r="J234" s="67" t="s">
        <v>62</v>
      </c>
      <c r="K234" s="67">
        <v>6</v>
      </c>
      <c r="L234" s="67"/>
      <c r="M234" s="67"/>
      <c r="N234" s="67"/>
      <c r="O234" s="365"/>
      <c r="P234" s="330"/>
      <c r="Q234" s="330"/>
      <c r="R234" s="384"/>
      <c r="S234" s="23"/>
    </row>
    <row r="235" spans="1:19" ht="14.25" customHeight="1" thickBot="1" x14ac:dyDescent="0.25">
      <c r="A235" s="75"/>
      <c r="B235" s="297"/>
      <c r="C235" s="216"/>
      <c r="D235" s="334"/>
      <c r="E235" s="461"/>
      <c r="F235" s="462"/>
      <c r="G235" s="463"/>
      <c r="H235" s="334"/>
      <c r="I235" s="259"/>
      <c r="J235" s="156" t="s">
        <v>6</v>
      </c>
      <c r="K235" s="246">
        <f>SUM(K199:K234)</f>
        <v>5945.5</v>
      </c>
      <c r="L235" s="246">
        <f>SUM(L199:L234)</f>
        <v>4551.6000000000004</v>
      </c>
      <c r="M235" s="156">
        <f>SUM(M199:M234)</f>
        <v>4660</v>
      </c>
      <c r="N235" s="156">
        <f>SUM(N199:N234)</f>
        <v>3620</v>
      </c>
      <c r="O235" s="466"/>
      <c r="P235" s="467"/>
      <c r="Q235" s="468"/>
      <c r="R235" s="468"/>
      <c r="S235" s="469"/>
    </row>
    <row r="236" spans="1:19" ht="28.5" customHeight="1" x14ac:dyDescent="0.2">
      <c r="A236" s="298" t="s">
        <v>5</v>
      </c>
      <c r="B236" s="293" t="s">
        <v>33</v>
      </c>
      <c r="C236" s="265" t="s">
        <v>7</v>
      </c>
      <c r="D236" s="1732"/>
      <c r="E236" s="1668" t="s">
        <v>182</v>
      </c>
      <c r="F236" s="1671"/>
      <c r="G236" s="2124" t="s">
        <v>144</v>
      </c>
      <c r="H236" s="1654" t="s">
        <v>43</v>
      </c>
      <c r="I236" s="2190" t="s">
        <v>145</v>
      </c>
      <c r="J236" s="68" t="s">
        <v>25</v>
      </c>
      <c r="K236" s="92">
        <f>100-30-34</f>
        <v>36</v>
      </c>
      <c r="L236" s="68">
        <v>194.1</v>
      </c>
      <c r="M236" s="68"/>
      <c r="N236" s="68"/>
      <c r="O236" s="697" t="s">
        <v>192</v>
      </c>
      <c r="P236" s="238">
        <v>1</v>
      </c>
      <c r="Q236" s="238"/>
      <c r="R236" s="637"/>
      <c r="S236" s="638"/>
    </row>
    <row r="237" spans="1:19" ht="27" customHeight="1" x14ac:dyDescent="0.2">
      <c r="A237" s="696"/>
      <c r="B237" s="695"/>
      <c r="C237" s="265"/>
      <c r="D237" s="1732"/>
      <c r="E237" s="1669"/>
      <c r="F237" s="1671"/>
      <c r="G237" s="2125"/>
      <c r="H237" s="1654"/>
      <c r="I237" s="2107"/>
      <c r="J237" s="68" t="s">
        <v>62</v>
      </c>
      <c r="K237" s="92">
        <v>64</v>
      </c>
      <c r="L237" s="68"/>
      <c r="M237" s="68"/>
      <c r="N237" s="68"/>
      <c r="O237" s="94" t="s">
        <v>328</v>
      </c>
      <c r="P237" s="27">
        <v>100</v>
      </c>
      <c r="Q237" s="27"/>
      <c r="R237" s="396"/>
      <c r="S237" s="28"/>
    </row>
    <row r="238" spans="1:19" ht="15.75" customHeight="1" x14ac:dyDescent="0.2">
      <c r="A238" s="298"/>
      <c r="B238" s="293"/>
      <c r="C238" s="265"/>
      <c r="D238" s="1732"/>
      <c r="E238" s="1669"/>
      <c r="F238" s="1671"/>
      <c r="G238" s="2126"/>
      <c r="H238" s="1655"/>
      <c r="I238" s="2107"/>
      <c r="J238" s="67"/>
      <c r="K238" s="95"/>
      <c r="L238" s="67"/>
      <c r="M238" s="67"/>
      <c r="N238" s="67"/>
      <c r="O238" s="1657" t="s">
        <v>187</v>
      </c>
      <c r="P238" s="40"/>
      <c r="Q238" s="40" t="s">
        <v>117</v>
      </c>
      <c r="R238" s="705"/>
      <c r="S238" s="440"/>
    </row>
    <row r="239" spans="1:19" ht="17.25" customHeight="1" thickBot="1" x14ac:dyDescent="0.25">
      <c r="A239" s="75"/>
      <c r="B239" s="297"/>
      <c r="C239" s="104"/>
      <c r="D239" s="109"/>
      <c r="E239" s="1670"/>
      <c r="F239" s="1672"/>
      <c r="G239" s="2127"/>
      <c r="H239" s="1656"/>
      <c r="I239" s="2082"/>
      <c r="J239" s="156" t="s">
        <v>6</v>
      </c>
      <c r="K239" s="246">
        <f>SUM(K236:K238)</f>
        <v>100</v>
      </c>
      <c r="L239" s="156">
        <f>SUM(L236:L238)</f>
        <v>194.1</v>
      </c>
      <c r="M239" s="156">
        <f t="shared" ref="M239:N239" si="15">SUM(M236:M238)</f>
        <v>0</v>
      </c>
      <c r="N239" s="156">
        <f t="shared" si="15"/>
        <v>0</v>
      </c>
      <c r="O239" s="1658"/>
      <c r="P239" s="237"/>
      <c r="Q239" s="237"/>
      <c r="R239" s="1155"/>
      <c r="S239" s="1235"/>
    </row>
    <row r="240" spans="1:19" ht="14.25" customHeight="1" thickBot="1" x14ac:dyDescent="0.25">
      <c r="A240" s="75" t="s">
        <v>5</v>
      </c>
      <c r="B240" s="297" t="s">
        <v>33</v>
      </c>
      <c r="C240" s="1659" t="s">
        <v>8</v>
      </c>
      <c r="D240" s="1659"/>
      <c r="E240" s="1659"/>
      <c r="F240" s="1659"/>
      <c r="G240" s="1659"/>
      <c r="H240" s="1659"/>
      <c r="I240" s="1659"/>
      <c r="J240" s="2187"/>
      <c r="K240" s="1221">
        <f t="shared" ref="K240:N240" si="16">K239+K235</f>
        <v>6045.5</v>
      </c>
      <c r="L240" s="1029">
        <f t="shared" si="16"/>
        <v>4745.7</v>
      </c>
      <c r="M240" s="1029">
        <f t="shared" ref="M240" si="17">M239+M235</f>
        <v>4660</v>
      </c>
      <c r="N240" s="1029">
        <f t="shared" si="16"/>
        <v>3620</v>
      </c>
      <c r="O240" s="2122"/>
      <c r="P240" s="2122"/>
      <c r="Q240" s="2122"/>
      <c r="R240" s="2122"/>
      <c r="S240" s="2123"/>
    </row>
    <row r="241" spans="1:19" ht="14.25" customHeight="1" thickBot="1" x14ac:dyDescent="0.25">
      <c r="A241" s="99" t="s">
        <v>5</v>
      </c>
      <c r="B241" s="1663" t="s">
        <v>9</v>
      </c>
      <c r="C241" s="1664"/>
      <c r="D241" s="1664"/>
      <c r="E241" s="1664"/>
      <c r="F241" s="1664"/>
      <c r="G241" s="1664"/>
      <c r="H241" s="1664"/>
      <c r="I241" s="1664"/>
      <c r="J241" s="1665"/>
      <c r="K241" s="75">
        <f>K240+K196+K149+K107</f>
        <v>27065.7</v>
      </c>
      <c r="L241" s="160">
        <f>L240+L196+L149+L107</f>
        <v>37550</v>
      </c>
      <c r="M241" s="160">
        <f>M240+M196+M149+M107</f>
        <v>29741.7</v>
      </c>
      <c r="N241" s="160">
        <f>N240+N196+N149+N107</f>
        <v>14833.3</v>
      </c>
      <c r="O241" s="1666"/>
      <c r="P241" s="1666"/>
      <c r="Q241" s="1666"/>
      <c r="R241" s="1666"/>
      <c r="S241" s="1667"/>
    </row>
    <row r="242" spans="1:19" ht="14.25" customHeight="1" thickBot="1" x14ac:dyDescent="0.25">
      <c r="A242" s="110" t="s">
        <v>35</v>
      </c>
      <c r="B242" s="1722" t="s">
        <v>58</v>
      </c>
      <c r="C242" s="1723"/>
      <c r="D242" s="1723"/>
      <c r="E242" s="1723"/>
      <c r="F242" s="1723"/>
      <c r="G242" s="1723"/>
      <c r="H242" s="1723"/>
      <c r="I242" s="1723"/>
      <c r="J242" s="1724"/>
      <c r="K242" s="1229">
        <f t="shared" ref="K242:N242" si="18">SUM(K241)</f>
        <v>27065.7</v>
      </c>
      <c r="L242" s="161">
        <f>SUM(L241)</f>
        <v>37550</v>
      </c>
      <c r="M242" s="161">
        <f>SUM(M241)</f>
        <v>29741.7</v>
      </c>
      <c r="N242" s="161">
        <f t="shared" si="18"/>
        <v>14833.3</v>
      </c>
      <c r="O242" s="1740"/>
      <c r="P242" s="1740"/>
      <c r="Q242" s="1740"/>
      <c r="R242" s="1740"/>
      <c r="S242" s="1741"/>
    </row>
    <row r="243" spans="1:19" s="5" customFormat="1" ht="17.25" customHeight="1" x14ac:dyDescent="0.2">
      <c r="A243" s="2120" t="s">
        <v>223</v>
      </c>
      <c r="B243" s="2121"/>
      <c r="C243" s="2121"/>
      <c r="D243" s="2121"/>
      <c r="E243" s="2121"/>
      <c r="F243" s="2121"/>
      <c r="G243" s="2121"/>
      <c r="H243" s="2121"/>
      <c r="I243" s="2121"/>
      <c r="J243" s="2121"/>
      <c r="K243" s="2121"/>
      <c r="L243" s="2121"/>
      <c r="M243" s="2121"/>
      <c r="N243" s="2121"/>
      <c r="O243" s="412"/>
      <c r="P243" s="412"/>
      <c r="Q243" s="412"/>
      <c r="R243" s="412"/>
      <c r="S243" s="412"/>
    </row>
    <row r="244" spans="1:19" s="4" customFormat="1" ht="17.25" customHeight="1" x14ac:dyDescent="0.2">
      <c r="A244" s="2188" t="s">
        <v>336</v>
      </c>
      <c r="B244" s="2189"/>
      <c r="C244" s="2189"/>
      <c r="D244" s="2189"/>
      <c r="E244" s="2189"/>
      <c r="F244" s="2189"/>
      <c r="G244" s="2189"/>
      <c r="H244" s="2189"/>
      <c r="I244" s="2189"/>
      <c r="J244" s="2189"/>
      <c r="K244" s="2189"/>
      <c r="L244" s="2189"/>
      <c r="M244" s="2189"/>
      <c r="N244" s="2189"/>
      <c r="O244" s="2189"/>
      <c r="P244" s="411"/>
      <c r="Q244" s="411"/>
      <c r="R244" s="1458"/>
      <c r="S244" s="411"/>
    </row>
    <row r="245" spans="1:19" s="4" customFormat="1" ht="17.25" customHeight="1" x14ac:dyDescent="0.2">
      <c r="A245" s="942"/>
      <c r="B245" s="943"/>
      <c r="C245" s="943"/>
      <c r="D245" s="943"/>
      <c r="E245" s="943"/>
      <c r="F245" s="943"/>
      <c r="G245" s="943"/>
      <c r="H245" s="943"/>
      <c r="I245" s="943"/>
      <c r="J245" s="943"/>
      <c r="K245" s="943"/>
      <c r="L245" s="943"/>
      <c r="M245" s="1459"/>
      <c r="N245" s="943"/>
      <c r="O245" s="943"/>
      <c r="P245" s="942"/>
      <c r="Q245" s="942"/>
      <c r="R245" s="1458"/>
      <c r="S245" s="942"/>
    </row>
    <row r="246" spans="1:19" s="5" customFormat="1" ht="15" customHeight="1" thickBot="1" x14ac:dyDescent="0.25">
      <c r="A246" s="1742" t="s">
        <v>13</v>
      </c>
      <c r="B246" s="1742"/>
      <c r="C246" s="1742"/>
      <c r="D246" s="1742"/>
      <c r="E246" s="1742"/>
      <c r="F246" s="1742"/>
      <c r="G246" s="1742"/>
      <c r="H246" s="1742"/>
      <c r="I246" s="1742"/>
      <c r="J246" s="1742"/>
      <c r="K246" s="171"/>
      <c r="L246" s="171"/>
      <c r="M246" s="171"/>
      <c r="N246" s="171"/>
      <c r="O246" s="111"/>
      <c r="P246" s="111"/>
      <c r="Q246" s="111"/>
      <c r="R246" s="111"/>
      <c r="S246" s="111"/>
    </row>
    <row r="247" spans="1:19" ht="62.25" customHeight="1" thickBot="1" x14ac:dyDescent="0.25">
      <c r="A247" s="1651" t="s">
        <v>10</v>
      </c>
      <c r="B247" s="1652"/>
      <c r="C247" s="1652"/>
      <c r="D247" s="1652"/>
      <c r="E247" s="1652"/>
      <c r="F247" s="1652"/>
      <c r="G247" s="1652"/>
      <c r="H247" s="1652"/>
      <c r="I247" s="1652"/>
      <c r="J247" s="1653"/>
      <c r="K247" s="1451" t="s">
        <v>370</v>
      </c>
      <c r="L247" s="1479" t="s">
        <v>156</v>
      </c>
      <c r="M247" s="1479" t="s">
        <v>217</v>
      </c>
      <c r="N247" s="1479" t="s">
        <v>402</v>
      </c>
      <c r="O247" s="14"/>
      <c r="P247" s="14"/>
      <c r="Q247" s="14"/>
      <c r="R247" s="14"/>
      <c r="S247" s="14"/>
    </row>
    <row r="248" spans="1:19" ht="14.25" customHeight="1" x14ac:dyDescent="0.2">
      <c r="A248" s="1713" t="s">
        <v>14</v>
      </c>
      <c r="B248" s="1714"/>
      <c r="C248" s="1714"/>
      <c r="D248" s="1714"/>
      <c r="E248" s="1714"/>
      <c r="F248" s="1714"/>
      <c r="G248" s="1714"/>
      <c r="H248" s="1714"/>
      <c r="I248" s="1714"/>
      <c r="J248" s="1715"/>
      <c r="K248" s="1452">
        <f>K249+K255+K256+K257</f>
        <v>23803.9</v>
      </c>
      <c r="L248" s="338">
        <f>L249+L255+L256+L257</f>
        <v>34347.199999999997</v>
      </c>
      <c r="M248" s="338">
        <f>M249+M255+M256+M257</f>
        <v>26867.8</v>
      </c>
      <c r="N248" s="338">
        <f>N249+N255+N256+N257</f>
        <v>13742.3</v>
      </c>
      <c r="O248" s="14"/>
      <c r="P248" s="14"/>
      <c r="Q248" s="14"/>
      <c r="R248" s="14"/>
      <c r="S248" s="14"/>
    </row>
    <row r="249" spans="1:19" ht="14.25" customHeight="1" x14ac:dyDescent="0.2">
      <c r="A249" s="1716" t="s">
        <v>98</v>
      </c>
      <c r="B249" s="1717"/>
      <c r="C249" s="1717"/>
      <c r="D249" s="1717"/>
      <c r="E249" s="1717"/>
      <c r="F249" s="1717"/>
      <c r="G249" s="1717"/>
      <c r="H249" s="1717"/>
      <c r="I249" s="1717"/>
      <c r="J249" s="1718"/>
      <c r="K249" s="1453">
        <f>K250+K251+K252+K253+K254</f>
        <v>16215.7</v>
      </c>
      <c r="L249" s="254">
        <f>SUM(L250:L254)</f>
        <v>34347.199999999997</v>
      </c>
      <c r="M249" s="254">
        <f>SUM(M250:M254)</f>
        <v>26867.8</v>
      </c>
      <c r="N249" s="254">
        <f>SUM(N250:N254)</f>
        <v>13742.3</v>
      </c>
      <c r="O249" s="14"/>
      <c r="P249" s="14"/>
      <c r="Q249" s="14"/>
      <c r="R249" s="14"/>
      <c r="S249" s="14"/>
    </row>
    <row r="250" spans="1:19" ht="14.25" customHeight="1" x14ac:dyDescent="0.2">
      <c r="A250" s="1719" t="s">
        <v>19</v>
      </c>
      <c r="B250" s="1720"/>
      <c r="C250" s="1720"/>
      <c r="D250" s="1720"/>
      <c r="E250" s="1720"/>
      <c r="F250" s="1720"/>
      <c r="G250" s="1720"/>
      <c r="H250" s="1720"/>
      <c r="I250" s="1720"/>
      <c r="J250" s="1721"/>
      <c r="K250" s="1454">
        <f>SUMIF(J14:J242,"SB",K14:K242)</f>
        <v>10077.9</v>
      </c>
      <c r="L250" s="67">
        <f>SUMIF(J14:J242,"SB",L14:L242)</f>
        <v>21007.3</v>
      </c>
      <c r="M250" s="67">
        <f>SUMIF(J14:J242,"SB",M14:M242)</f>
        <v>19180.5</v>
      </c>
      <c r="N250" s="67">
        <f>SUMIF(J14:J242,"SB",N14:N242)</f>
        <v>11652.3</v>
      </c>
      <c r="O250" s="14"/>
      <c r="P250" s="14"/>
      <c r="Q250" s="14"/>
      <c r="R250" s="14"/>
      <c r="S250" s="14"/>
    </row>
    <row r="251" spans="1:19" ht="14.25" customHeight="1" x14ac:dyDescent="0.2">
      <c r="A251" s="1673" t="s">
        <v>20</v>
      </c>
      <c r="B251" s="1674"/>
      <c r="C251" s="1674"/>
      <c r="D251" s="1674"/>
      <c r="E251" s="1674"/>
      <c r="F251" s="1674"/>
      <c r="G251" s="1674"/>
      <c r="H251" s="1674"/>
      <c r="I251" s="1674"/>
      <c r="J251" s="1675"/>
      <c r="K251" s="1455">
        <f>SUMIF(J14:J242,"SB(P)",K14:K242)</f>
        <v>0</v>
      </c>
      <c r="L251" s="61">
        <f>SUMIF(J14:J242,"SB(P)",L14:L242)</f>
        <v>0</v>
      </c>
      <c r="M251" s="61">
        <f>SUMIF(J14:J242,"SB(P)",M14:M242)</f>
        <v>0</v>
      </c>
      <c r="N251" s="61">
        <f>SUMIF(J14:J242,"SB(P)",N14:N242)</f>
        <v>0</v>
      </c>
      <c r="O251" s="14"/>
      <c r="P251" s="14"/>
      <c r="Q251" s="14"/>
      <c r="R251" s="14"/>
      <c r="S251" s="14"/>
    </row>
    <row r="252" spans="1:19" ht="14.25" customHeight="1" x14ac:dyDescent="0.2">
      <c r="A252" s="1673" t="s">
        <v>71</v>
      </c>
      <c r="B252" s="1674"/>
      <c r="C252" s="1674"/>
      <c r="D252" s="1674"/>
      <c r="E252" s="1674"/>
      <c r="F252" s="1674"/>
      <c r="G252" s="1674"/>
      <c r="H252" s="1674"/>
      <c r="I252" s="1674"/>
      <c r="J252" s="1675"/>
      <c r="K252" s="1454">
        <f>SUMIF(J14:J242,"SB(VR)",K14:K242)</f>
        <v>1506.4</v>
      </c>
      <c r="L252" s="67">
        <f>SUMIF(J14:J242,"SB(VR)",L14:L242)</f>
        <v>1160.4000000000001</v>
      </c>
      <c r="M252" s="67">
        <f>SUMIF(J14:J242,"SB(VR)",M14:M242)</f>
        <v>1312.3</v>
      </c>
      <c r="N252" s="67">
        <f>SUMIF(J14:J242,"SB(VR)",N14:N242)</f>
        <v>565</v>
      </c>
      <c r="O252" s="14"/>
      <c r="P252" s="14"/>
      <c r="Q252" s="14"/>
      <c r="R252" s="14"/>
      <c r="S252" s="14"/>
    </row>
    <row r="253" spans="1:19" ht="14.25" customHeight="1" x14ac:dyDescent="0.2">
      <c r="A253" s="1710" t="s">
        <v>105</v>
      </c>
      <c r="B253" s="1711"/>
      <c r="C253" s="1711"/>
      <c r="D253" s="1711"/>
      <c r="E253" s="1711"/>
      <c r="F253" s="1711"/>
      <c r="G253" s="1711"/>
      <c r="H253" s="1711"/>
      <c r="I253" s="1711"/>
      <c r="J253" s="1712"/>
      <c r="K253" s="1454">
        <f>SUMIF(J14:J241,"SB(KPP)",K14:K241)</f>
        <v>3991.4</v>
      </c>
      <c r="L253" s="61">
        <f>SUMIF(J14:J241,"SB(KPP)",L14:L241)</f>
        <v>8555</v>
      </c>
      <c r="M253" s="61">
        <f>SUMIF(J14:J241,"SB(KPP)",M14:M241)</f>
        <v>6375</v>
      </c>
      <c r="N253" s="61">
        <f>SUMIF(J14:J241,"SB(KPP)",N14:N241)</f>
        <v>1525</v>
      </c>
      <c r="O253" s="14"/>
      <c r="P253" s="14"/>
      <c r="Q253" s="14"/>
      <c r="R253" s="14"/>
      <c r="S253" s="14"/>
    </row>
    <row r="254" spans="1:19" ht="14.25" customHeight="1" x14ac:dyDescent="0.2">
      <c r="A254" s="1703" t="s">
        <v>208</v>
      </c>
      <c r="B254" s="1704"/>
      <c r="C254" s="1704"/>
      <c r="D254" s="1704"/>
      <c r="E254" s="1704"/>
      <c r="F254" s="1704"/>
      <c r="G254" s="1704"/>
      <c r="H254" s="1704"/>
      <c r="I254" s="1704"/>
      <c r="J254" s="1705"/>
      <c r="K254" s="1455">
        <f>SUMIF(J13:J236,"SB(ES)",K13:K236)</f>
        <v>640</v>
      </c>
      <c r="L254" s="61">
        <f>SUMIF(J13:J236,"SB(ES)",L13:L236)</f>
        <v>3624.5</v>
      </c>
      <c r="M254" s="61">
        <f>SUMIF(J13:J238,"SB(ES)",M13:M238)</f>
        <v>0</v>
      </c>
      <c r="N254" s="61">
        <f>SUMIF(J13:J236,"SB(ES)",N13:N236)</f>
        <v>0</v>
      </c>
      <c r="O254" s="14"/>
      <c r="P254" s="14"/>
      <c r="Q254" s="14"/>
      <c r="R254" s="14"/>
      <c r="S254" s="14"/>
    </row>
    <row r="255" spans="1:19" ht="14.25" customHeight="1" x14ac:dyDescent="0.2">
      <c r="A255" s="1706" t="s">
        <v>103</v>
      </c>
      <c r="B255" s="1707"/>
      <c r="C255" s="1707"/>
      <c r="D255" s="1707"/>
      <c r="E255" s="1707"/>
      <c r="F255" s="1707"/>
      <c r="G255" s="1707"/>
      <c r="H255" s="1707"/>
      <c r="I255" s="1707"/>
      <c r="J255" s="1708"/>
      <c r="K255" s="1456">
        <f>SUMIF(J14:J241,"SB(VRL)",K14:K241)</f>
        <v>768.9</v>
      </c>
      <c r="L255" s="339">
        <f>SUMIF(J17:J241,"SB(VRL)",L17:L241)</f>
        <v>0</v>
      </c>
      <c r="M255" s="339">
        <f>SUMIF(J14:J241,"SB(VRL)",M14:M241)</f>
        <v>0</v>
      </c>
      <c r="N255" s="339">
        <f>SUMIF(J14:J241,"SB(VRL)",N14:N241)</f>
        <v>0</v>
      </c>
      <c r="O255" s="14"/>
      <c r="P255" s="14"/>
      <c r="Q255" s="14"/>
      <c r="R255" s="14"/>
      <c r="S255" s="14"/>
    </row>
    <row r="256" spans="1:19" ht="14.25" customHeight="1" x14ac:dyDescent="0.2">
      <c r="A256" s="1709" t="s">
        <v>104</v>
      </c>
      <c r="B256" s="1707"/>
      <c r="C256" s="1707"/>
      <c r="D256" s="1707"/>
      <c r="E256" s="1707"/>
      <c r="F256" s="1707"/>
      <c r="G256" s="1707"/>
      <c r="H256" s="1707"/>
      <c r="I256" s="1707"/>
      <c r="J256" s="1708"/>
      <c r="K256" s="1456">
        <f>SUMIF(J10:J242,"SB(ŽPL)",K10:K242)</f>
        <v>1526.3</v>
      </c>
      <c r="L256" s="339">
        <f>SUMIF(J17:J242,"SB(ŽPL)",L17:L242)</f>
        <v>0</v>
      </c>
      <c r="M256" s="339">
        <f>SUMIF(J14:J242,"SB(ŽPL)",M14:M242)</f>
        <v>0</v>
      </c>
      <c r="N256" s="339">
        <f>SUMIF(J14:J242,"SB(ŽPL)",N14:N242)</f>
        <v>0</v>
      </c>
      <c r="O256" s="14"/>
      <c r="P256" s="14"/>
      <c r="Q256" s="14"/>
      <c r="R256" s="14"/>
      <c r="S256" s="14"/>
    </row>
    <row r="257" spans="1:19" ht="14.25" customHeight="1" x14ac:dyDescent="0.2">
      <c r="A257" s="1697" t="s">
        <v>224</v>
      </c>
      <c r="B257" s="1698"/>
      <c r="C257" s="1698"/>
      <c r="D257" s="1698"/>
      <c r="E257" s="1698"/>
      <c r="F257" s="1698"/>
      <c r="G257" s="1698"/>
      <c r="H257" s="1698"/>
      <c r="I257" s="1698"/>
      <c r="J257" s="1699"/>
      <c r="K257" s="1456">
        <f>SUMIF(J14:J242,"SB(L)",K14:K242)</f>
        <v>5293</v>
      </c>
      <c r="L257" s="339">
        <f>SUMIF(J17:J242,"SB(L)",L17:L242)</f>
        <v>0</v>
      </c>
      <c r="M257" s="339">
        <f>SUMIF(J14:J242,"SB(L)",M14:M242)</f>
        <v>0</v>
      </c>
      <c r="N257" s="339">
        <f>SUMIF(J14:J240,"SB(L)",N14:N242)</f>
        <v>0</v>
      </c>
      <c r="O257" s="14"/>
      <c r="P257" s="14"/>
      <c r="Q257" s="14"/>
      <c r="R257" s="14"/>
      <c r="S257" s="14"/>
    </row>
    <row r="258" spans="1:19" ht="14.25" customHeight="1" x14ac:dyDescent="0.2">
      <c r="A258" s="1700" t="s">
        <v>15</v>
      </c>
      <c r="B258" s="1701"/>
      <c r="C258" s="1701"/>
      <c r="D258" s="1701"/>
      <c r="E258" s="1701"/>
      <c r="F258" s="1701"/>
      <c r="G258" s="1701"/>
      <c r="H258" s="1701"/>
      <c r="I258" s="1701"/>
      <c r="J258" s="1702"/>
      <c r="K258" s="1457">
        <f>SUM(K259:K262)</f>
        <v>3261.8</v>
      </c>
      <c r="L258" s="340">
        <f>L260+L261+L262+L259</f>
        <v>3202.8</v>
      </c>
      <c r="M258" s="340">
        <f>M260+M261+M262+M259</f>
        <v>2873.9</v>
      </c>
      <c r="N258" s="340">
        <f>N260+N261+N262+N259</f>
        <v>1091</v>
      </c>
      <c r="O258" s="14"/>
      <c r="P258" s="14"/>
      <c r="Q258" s="14"/>
      <c r="R258" s="14"/>
      <c r="S258" s="14"/>
    </row>
    <row r="259" spans="1:19" ht="14.25" customHeight="1" x14ac:dyDescent="0.2">
      <c r="A259" s="1703" t="s">
        <v>21</v>
      </c>
      <c r="B259" s="1704"/>
      <c r="C259" s="1704"/>
      <c r="D259" s="1704"/>
      <c r="E259" s="1704"/>
      <c r="F259" s="1704"/>
      <c r="G259" s="1704"/>
      <c r="H259" s="1704"/>
      <c r="I259" s="1704"/>
      <c r="J259" s="1705"/>
      <c r="K259" s="1455">
        <f>SUMIF(J13:J242,"ES",K13:K242)</f>
        <v>1564</v>
      </c>
      <c r="L259" s="61">
        <f>SUMIF(J13:J242,"ES",L13:L242)</f>
        <v>1480.3</v>
      </c>
      <c r="M259" s="61">
        <f>SUMIF(J13:J242,"ES",M13:M242)</f>
        <v>1278.9000000000001</v>
      </c>
      <c r="N259" s="61">
        <f>SUMIF(J13:J242,"ES",N13:N242)</f>
        <v>1091</v>
      </c>
      <c r="O259" s="14"/>
      <c r="P259" s="14"/>
      <c r="Q259" s="14"/>
      <c r="R259" s="14"/>
      <c r="S259" s="14"/>
    </row>
    <row r="260" spans="1:19" ht="14.25" customHeight="1" x14ac:dyDescent="0.2">
      <c r="A260" s="1691" t="s">
        <v>22</v>
      </c>
      <c r="B260" s="1692"/>
      <c r="C260" s="1692"/>
      <c r="D260" s="1692"/>
      <c r="E260" s="1692"/>
      <c r="F260" s="1692"/>
      <c r="G260" s="1692"/>
      <c r="H260" s="1692"/>
      <c r="I260" s="1692"/>
      <c r="J260" s="1693"/>
      <c r="K260" s="1455">
        <f>SUMIF(J14:J242,"KVJUD",K14:K242)</f>
        <v>1593.4</v>
      </c>
      <c r="L260" s="61">
        <f>SUMIF(J14:J242,"KVJUD",L14:L242)</f>
        <v>1500</v>
      </c>
      <c r="M260" s="61">
        <f>SUMIF(J14:J242,"KVJUD",M14:M242)</f>
        <v>1500</v>
      </c>
      <c r="N260" s="61">
        <f>SUMIF(J14:J242,"KVJUD",N14:N242)</f>
        <v>0</v>
      </c>
      <c r="O260" s="54"/>
      <c r="P260" s="54"/>
      <c r="Q260" s="54"/>
      <c r="R260" s="54"/>
      <c r="S260" s="54"/>
    </row>
    <row r="261" spans="1:19" ht="14.25" customHeight="1" x14ac:dyDescent="0.2">
      <c r="A261" s="1673" t="s">
        <v>23</v>
      </c>
      <c r="B261" s="1674"/>
      <c r="C261" s="1674"/>
      <c r="D261" s="1674"/>
      <c r="E261" s="1674"/>
      <c r="F261" s="1674"/>
      <c r="G261" s="1674"/>
      <c r="H261" s="1674"/>
      <c r="I261" s="1674"/>
      <c r="J261" s="1675"/>
      <c r="K261" s="1455">
        <f>SUMIF(J14:J242,"LRVB",K14:K242)</f>
        <v>0</v>
      </c>
      <c r="L261" s="61">
        <f>SUMIF(J14:J242,"LRVB",L14:L242)</f>
        <v>0</v>
      </c>
      <c r="M261" s="61">
        <f>SUMIF(J14:J242,"LRVB",M14:M242)</f>
        <v>0</v>
      </c>
      <c r="N261" s="61">
        <f>SUMIF(J14:J242,"LRVB",N14:N242)</f>
        <v>0</v>
      </c>
      <c r="O261" s="54"/>
      <c r="P261" s="54"/>
      <c r="Q261" s="54"/>
      <c r="R261" s="54"/>
      <c r="S261" s="54"/>
    </row>
    <row r="262" spans="1:19" ht="14.25" customHeight="1" x14ac:dyDescent="0.2">
      <c r="A262" s="1694" t="s">
        <v>24</v>
      </c>
      <c r="B262" s="1695"/>
      <c r="C262" s="1695"/>
      <c r="D262" s="1695"/>
      <c r="E262" s="1695"/>
      <c r="F262" s="1695"/>
      <c r="G262" s="1695"/>
      <c r="H262" s="1695"/>
      <c r="I262" s="1695"/>
      <c r="J262" s="1696"/>
      <c r="K262" s="1455">
        <f>SUMIF(J14:J242,"Kt",K14:K242)</f>
        <v>104.4</v>
      </c>
      <c r="L262" s="61">
        <f>SUMIF(J14:J242,"Kt",L14:L242)</f>
        <v>222.5</v>
      </c>
      <c r="M262" s="61">
        <f>SUMIF(J14:J242,"Kt",M14:M242)</f>
        <v>95</v>
      </c>
      <c r="N262" s="61">
        <f>SUMIF(J14:J242,"Kt",N14:N242)</f>
        <v>0</v>
      </c>
      <c r="O262" s="54"/>
      <c r="P262" s="54"/>
      <c r="Q262" s="54"/>
      <c r="R262" s="54"/>
      <c r="S262" s="54"/>
    </row>
    <row r="263" spans="1:19" ht="14.25" customHeight="1" thickBot="1" x14ac:dyDescent="0.25">
      <c r="A263" s="1642" t="s">
        <v>16</v>
      </c>
      <c r="B263" s="1643"/>
      <c r="C263" s="1643"/>
      <c r="D263" s="1643"/>
      <c r="E263" s="1643"/>
      <c r="F263" s="1643"/>
      <c r="G263" s="1643"/>
      <c r="H263" s="1643"/>
      <c r="I263" s="1643"/>
      <c r="J263" s="1644"/>
      <c r="K263" s="1450">
        <f>SUM(K248,K258)</f>
        <v>27065.7</v>
      </c>
      <c r="L263" s="341">
        <f>SUM(L248,L258)</f>
        <v>37550</v>
      </c>
      <c r="M263" s="341">
        <f>SUM(M248,M258)</f>
        <v>29741.7</v>
      </c>
      <c r="N263" s="341">
        <f>SUM(N248,N258)</f>
        <v>14833.3</v>
      </c>
      <c r="O263" s="54"/>
      <c r="P263" s="54"/>
      <c r="Q263" s="54"/>
      <c r="R263" s="54"/>
      <c r="S263" s="54"/>
    </row>
    <row r="264" spans="1:19" x14ac:dyDescent="0.2">
      <c r="J264" s="1271"/>
      <c r="K264" s="1272"/>
      <c r="L264" s="1272"/>
      <c r="M264" s="1272"/>
      <c r="N264" s="1272"/>
      <c r="O264" s="4"/>
    </row>
    <row r="265" spans="1:19" x14ac:dyDescent="0.2">
      <c r="J265" s="1271"/>
      <c r="K265" s="1410"/>
      <c r="L265" s="4"/>
      <c r="M265" s="4"/>
      <c r="N265" s="4"/>
      <c r="O265" s="4"/>
    </row>
    <row r="266" spans="1:19" x14ac:dyDescent="0.2">
      <c r="J266" s="1271"/>
      <c r="K266" s="4"/>
      <c r="L266" s="1410"/>
      <c r="M266" s="1410"/>
      <c r="N266" s="4"/>
      <c r="O266" s="4"/>
    </row>
    <row r="267" spans="1:19" x14ac:dyDescent="0.2">
      <c r="A267" s="1"/>
      <c r="B267" s="1"/>
      <c r="C267" s="1"/>
      <c r="D267" s="1"/>
      <c r="E267" s="1"/>
      <c r="F267" s="1"/>
      <c r="G267" s="1"/>
      <c r="H267" s="1"/>
      <c r="I267" s="1"/>
      <c r="J267" s="1"/>
      <c r="K267" s="54"/>
      <c r="L267" s="54"/>
      <c r="M267" s="54"/>
      <c r="N267" s="54"/>
      <c r="O267" s="1"/>
      <c r="P267" s="1"/>
      <c r="Q267" s="1"/>
      <c r="R267" s="1"/>
      <c r="S267" s="1"/>
    </row>
    <row r="268" spans="1:19" x14ac:dyDescent="0.2">
      <c r="A268" s="1"/>
      <c r="B268" s="1"/>
      <c r="C268" s="1"/>
      <c r="D268" s="1"/>
      <c r="E268" s="1"/>
      <c r="F268" s="1"/>
      <c r="G268" s="1"/>
      <c r="H268" s="1"/>
      <c r="I268" s="1"/>
      <c r="J268" s="1"/>
      <c r="K268" s="54"/>
      <c r="L268" s="54"/>
      <c r="M268" s="54"/>
      <c r="N268" s="54"/>
      <c r="O268" s="1"/>
      <c r="P268" s="1"/>
      <c r="Q268" s="1"/>
      <c r="R268" s="1"/>
      <c r="S268" s="1"/>
    </row>
  </sheetData>
  <mergeCells count="392">
    <mergeCell ref="A179:A181"/>
    <mergeCell ref="B179:B181"/>
    <mergeCell ref="A174:A176"/>
    <mergeCell ref="B174:B176"/>
    <mergeCell ref="G167:G170"/>
    <mergeCell ref="C174:C176"/>
    <mergeCell ref="D174:D176"/>
    <mergeCell ref="E167:E168"/>
    <mergeCell ref="A182:A183"/>
    <mergeCell ref="F174:F176"/>
    <mergeCell ref="F179:F181"/>
    <mergeCell ref="F182:F184"/>
    <mergeCell ref="G174:G176"/>
    <mergeCell ref="E174:E176"/>
    <mergeCell ref="E179:E181"/>
    <mergeCell ref="E171:E172"/>
    <mergeCell ref="B182:B183"/>
    <mergeCell ref="A254:J254"/>
    <mergeCell ref="A223:A224"/>
    <mergeCell ref="A244:O244"/>
    <mergeCell ref="A248:J248"/>
    <mergeCell ref="A252:J252"/>
    <mergeCell ref="A246:J246"/>
    <mergeCell ref="D225:D229"/>
    <mergeCell ref="A250:J250"/>
    <mergeCell ref="A249:J249"/>
    <mergeCell ref="O223:O224"/>
    <mergeCell ref="A225:A229"/>
    <mergeCell ref="B242:J242"/>
    <mergeCell ref="I236:I239"/>
    <mergeCell ref="E236:E239"/>
    <mergeCell ref="O228:O229"/>
    <mergeCell ref="O238:O239"/>
    <mergeCell ref="Q228:Q229"/>
    <mergeCell ref="C240:J240"/>
    <mergeCell ref="H236:H239"/>
    <mergeCell ref="P228:P229"/>
    <mergeCell ref="O230:O231"/>
    <mergeCell ref="G232:G234"/>
    <mergeCell ref="E230:E231"/>
    <mergeCell ref="B241:J241"/>
    <mergeCell ref="F236:F239"/>
    <mergeCell ref="F185:F187"/>
    <mergeCell ref="B223:B224"/>
    <mergeCell ref="B185:B187"/>
    <mergeCell ref="G223:G224"/>
    <mergeCell ref="E182:E184"/>
    <mergeCell ref="C197:S197"/>
    <mergeCell ref="H225:H229"/>
    <mergeCell ref="G230:G231"/>
    <mergeCell ref="E223:E224"/>
    <mergeCell ref="F225:F229"/>
    <mergeCell ref="D200:D207"/>
    <mergeCell ref="E220:E222"/>
    <mergeCell ref="D208:D215"/>
    <mergeCell ref="D216:D219"/>
    <mergeCell ref="C223:C224"/>
    <mergeCell ref="S228:S229"/>
    <mergeCell ref="E188:E190"/>
    <mergeCell ref="I188:I190"/>
    <mergeCell ref="I199:I200"/>
    <mergeCell ref="H185:H187"/>
    <mergeCell ref="I185:I187"/>
    <mergeCell ref="C185:C187"/>
    <mergeCell ref="D185:D187"/>
    <mergeCell ref="E185:E187"/>
    <mergeCell ref="O69:O70"/>
    <mergeCell ref="O71:O72"/>
    <mergeCell ref="F69:F72"/>
    <mergeCell ref="E69:E72"/>
    <mergeCell ref="D69:D72"/>
    <mergeCell ref="D75:D77"/>
    <mergeCell ref="A247:J247"/>
    <mergeCell ref="A263:J263"/>
    <mergeCell ref="A262:J262"/>
    <mergeCell ref="A251:J251"/>
    <mergeCell ref="A261:J261"/>
    <mergeCell ref="A257:J257"/>
    <mergeCell ref="A255:J255"/>
    <mergeCell ref="A253:J253"/>
    <mergeCell ref="A260:J260"/>
    <mergeCell ref="A258:J258"/>
    <mergeCell ref="A259:J259"/>
    <mergeCell ref="A256:J256"/>
    <mergeCell ref="O196:S196"/>
    <mergeCell ref="B225:B229"/>
    <mergeCell ref="E232:E234"/>
    <mergeCell ref="C196:J196"/>
    <mergeCell ref="G220:G222"/>
    <mergeCell ref="G225:G229"/>
    <mergeCell ref="I44:I45"/>
    <mergeCell ref="O60:O61"/>
    <mergeCell ref="C52:C59"/>
    <mergeCell ref="D52:D59"/>
    <mergeCell ref="E52:E53"/>
    <mergeCell ref="F52:F59"/>
    <mergeCell ref="G52:G59"/>
    <mergeCell ref="H52:H59"/>
    <mergeCell ref="I52:I58"/>
    <mergeCell ref="H48:H49"/>
    <mergeCell ref="I48:I49"/>
    <mergeCell ref="E48:E49"/>
    <mergeCell ref="D48:D49"/>
    <mergeCell ref="F48:F49"/>
    <mergeCell ref="G48:G49"/>
    <mergeCell ref="E60:E62"/>
    <mergeCell ref="O52:O53"/>
    <mergeCell ref="G44:G45"/>
    <mergeCell ref="D44:D45"/>
    <mergeCell ref="E44:E45"/>
    <mergeCell ref="F44:F45"/>
    <mergeCell ref="H44:H45"/>
    <mergeCell ref="E46:E47"/>
    <mergeCell ref="B52:B59"/>
    <mergeCell ref="D63:D64"/>
    <mergeCell ref="D65:D66"/>
    <mergeCell ref="H63:H64"/>
    <mergeCell ref="G65:G66"/>
    <mergeCell ref="F60:F62"/>
    <mergeCell ref="F63:F64"/>
    <mergeCell ref="G60:G62"/>
    <mergeCell ref="E63:E64"/>
    <mergeCell ref="E65:E66"/>
    <mergeCell ref="H65:H66"/>
    <mergeCell ref="G63:G64"/>
    <mergeCell ref="I63:I64"/>
    <mergeCell ref="D60:D62"/>
    <mergeCell ref="H60:H62"/>
    <mergeCell ref="E73:E74"/>
    <mergeCell ref="F73:F74"/>
    <mergeCell ref="G73:G74"/>
    <mergeCell ref="H73:H74"/>
    <mergeCell ref="H75:H77"/>
    <mergeCell ref="I73:I74"/>
    <mergeCell ref="I65:I66"/>
    <mergeCell ref="I60:I62"/>
    <mergeCell ref="I69:I72"/>
    <mergeCell ref="F75:F77"/>
    <mergeCell ref="I75:I77"/>
    <mergeCell ref="D31:D32"/>
    <mergeCell ref="E33:E34"/>
    <mergeCell ref="G33:G34"/>
    <mergeCell ref="D41:D43"/>
    <mergeCell ref="E29:E30"/>
    <mergeCell ref="G29:G30"/>
    <mergeCell ref="F27:F28"/>
    <mergeCell ref="G37:G40"/>
    <mergeCell ref="G27:G28"/>
    <mergeCell ref="G41:G43"/>
    <mergeCell ref="G31:G32"/>
    <mergeCell ref="E27:E28"/>
    <mergeCell ref="A9:S9"/>
    <mergeCell ref="A10:S10"/>
    <mergeCell ref="B11:S11"/>
    <mergeCell ref="C12:S12"/>
    <mergeCell ref="O20:O21"/>
    <mergeCell ref="E20:E23"/>
    <mergeCell ref="C17:C19"/>
    <mergeCell ref="E24:E26"/>
    <mergeCell ref="F18:F19"/>
    <mergeCell ref="B14:B16"/>
    <mergeCell ref="I17:I20"/>
    <mergeCell ref="A14:A16"/>
    <mergeCell ref="A24:A26"/>
    <mergeCell ref="A17:A19"/>
    <mergeCell ref="H17:H19"/>
    <mergeCell ref="D17:D19"/>
    <mergeCell ref="C24:C26"/>
    <mergeCell ref="D14:D16"/>
    <mergeCell ref="E14:E16"/>
    <mergeCell ref="C14:C16"/>
    <mergeCell ref="D24:D26"/>
    <mergeCell ref="B24:B26"/>
    <mergeCell ref="B17:B19"/>
    <mergeCell ref="E17:E19"/>
    <mergeCell ref="H24:H26"/>
    <mergeCell ref="G20:G23"/>
    <mergeCell ref="F21:F23"/>
    <mergeCell ref="F15:F16"/>
    <mergeCell ref="O15:O16"/>
    <mergeCell ref="I37:I40"/>
    <mergeCell ref="E31:E32"/>
    <mergeCell ref="O41:O42"/>
    <mergeCell ref="H37:H40"/>
    <mergeCell ref="G14:G16"/>
    <mergeCell ref="H31:H32"/>
    <mergeCell ref="E41:E43"/>
    <mergeCell ref="I14:I16"/>
    <mergeCell ref="H14:H16"/>
    <mergeCell ref="G17:G19"/>
    <mergeCell ref="G24:G26"/>
    <mergeCell ref="O1:S1"/>
    <mergeCell ref="A2:S2"/>
    <mergeCell ref="A6:A8"/>
    <mergeCell ref="B6:B8"/>
    <mergeCell ref="C6:C8"/>
    <mergeCell ref="D6:D8"/>
    <mergeCell ref="E6:E8"/>
    <mergeCell ref="F6:F8"/>
    <mergeCell ref="G6:G8"/>
    <mergeCell ref="H6:H8"/>
    <mergeCell ref="I6:I8"/>
    <mergeCell ref="J6:J8"/>
    <mergeCell ref="L6:L8"/>
    <mergeCell ref="N6:N8"/>
    <mergeCell ref="O6:S6"/>
    <mergeCell ref="A3:S3"/>
    <mergeCell ref="O5:S5"/>
    <mergeCell ref="K6:K8"/>
    <mergeCell ref="O7:O8"/>
    <mergeCell ref="A4:S4"/>
    <mergeCell ref="M6:M8"/>
    <mergeCell ref="P7:S7"/>
    <mergeCell ref="A52:A59"/>
    <mergeCell ref="A243:N243"/>
    <mergeCell ref="O242:S242"/>
    <mergeCell ref="O240:S240"/>
    <mergeCell ref="O241:S241"/>
    <mergeCell ref="G236:G239"/>
    <mergeCell ref="C225:C229"/>
    <mergeCell ref="E225:E227"/>
    <mergeCell ref="D236:D238"/>
    <mergeCell ref="C136:C138"/>
    <mergeCell ref="E177:E178"/>
    <mergeCell ref="G162:G163"/>
    <mergeCell ref="C182:C183"/>
    <mergeCell ref="S123:S124"/>
    <mergeCell ref="Q123:Q124"/>
    <mergeCell ref="G84:G87"/>
    <mergeCell ref="C108:S108"/>
    <mergeCell ref="I84:I87"/>
    <mergeCell ref="F85:F87"/>
    <mergeCell ref="G96:G97"/>
    <mergeCell ref="E98:E100"/>
    <mergeCell ref="E111:E113"/>
    <mergeCell ref="E121:E122"/>
    <mergeCell ref="C107:J107"/>
    <mergeCell ref="A41:A43"/>
    <mergeCell ref="H41:H43"/>
    <mergeCell ref="A37:A40"/>
    <mergeCell ref="C41:C43"/>
    <mergeCell ref="O137:O138"/>
    <mergeCell ref="P123:P124"/>
    <mergeCell ref="B37:B40"/>
    <mergeCell ref="C37:C40"/>
    <mergeCell ref="E37:E40"/>
    <mergeCell ref="B41:B43"/>
    <mergeCell ref="A123:A124"/>
    <mergeCell ref="B123:B124"/>
    <mergeCell ref="G123:G124"/>
    <mergeCell ref="O123:O124"/>
    <mergeCell ref="F123:F124"/>
    <mergeCell ref="O121:O122"/>
    <mergeCell ref="O80:O82"/>
    <mergeCell ref="O84:O85"/>
    <mergeCell ref="I80:I83"/>
    <mergeCell ref="G80:G83"/>
    <mergeCell ref="C123:C124"/>
    <mergeCell ref="D123:D124"/>
    <mergeCell ref="E123:E124"/>
    <mergeCell ref="H123:H124"/>
    <mergeCell ref="O103:O105"/>
    <mergeCell ref="I96:I97"/>
    <mergeCell ref="E84:E87"/>
    <mergeCell ref="A73:A74"/>
    <mergeCell ref="B73:B74"/>
    <mergeCell ref="C73:C74"/>
    <mergeCell ref="D73:D74"/>
    <mergeCell ref="O76:O77"/>
    <mergeCell ref="A75:A77"/>
    <mergeCell ref="B75:B77"/>
    <mergeCell ref="G185:G187"/>
    <mergeCell ref="G182:G184"/>
    <mergeCell ref="G179:G181"/>
    <mergeCell ref="E132:E134"/>
    <mergeCell ref="G132:G134"/>
    <mergeCell ref="C150:S150"/>
    <mergeCell ref="G152:G158"/>
    <mergeCell ref="I152:I161"/>
    <mergeCell ref="F152:F154"/>
    <mergeCell ref="O160:O161"/>
    <mergeCell ref="Q164:Q165"/>
    <mergeCell ref="S164:S165"/>
    <mergeCell ref="P167:P168"/>
    <mergeCell ref="I143:I145"/>
    <mergeCell ref="E164:E166"/>
    <mergeCell ref="E152:E161"/>
    <mergeCell ref="G171:G172"/>
    <mergeCell ref="H174:H176"/>
    <mergeCell ref="I171:I172"/>
    <mergeCell ref="I136:I138"/>
    <mergeCell ref="E136:E138"/>
    <mergeCell ref="F143:F145"/>
    <mergeCell ref="I182:I183"/>
    <mergeCell ref="I179:I181"/>
    <mergeCell ref="E116:E117"/>
    <mergeCell ref="E96:E97"/>
    <mergeCell ref="G98:G100"/>
    <mergeCell ref="I102:I103"/>
    <mergeCell ref="C75:C77"/>
    <mergeCell ref="G75:G77"/>
    <mergeCell ref="E75:E77"/>
    <mergeCell ref="E80:E83"/>
    <mergeCell ref="G110:G113"/>
    <mergeCell ref="I110:I113"/>
    <mergeCell ref="C149:J149"/>
    <mergeCell ref="E139:E140"/>
    <mergeCell ref="E130:E131"/>
    <mergeCell ref="G130:G131"/>
    <mergeCell ref="I130:I131"/>
    <mergeCell ref="G143:G145"/>
    <mergeCell ref="H143:H145"/>
    <mergeCell ref="D128:D129"/>
    <mergeCell ref="D125:D127"/>
    <mergeCell ref="E128:E129"/>
    <mergeCell ref="I133:I134"/>
    <mergeCell ref="I125:I127"/>
    <mergeCell ref="F128:F129"/>
    <mergeCell ref="H125:H127"/>
    <mergeCell ref="H136:H138"/>
    <mergeCell ref="G136:G142"/>
    <mergeCell ref="G128:G129"/>
    <mergeCell ref="F136:F138"/>
    <mergeCell ref="D136:D138"/>
    <mergeCell ref="C125:C127"/>
    <mergeCell ref="A125:A127"/>
    <mergeCell ref="B125:B127"/>
    <mergeCell ref="A185:A187"/>
    <mergeCell ref="C179:C181"/>
    <mergeCell ref="B128:B129"/>
    <mergeCell ref="O171:O172"/>
    <mergeCell ref="H128:H129"/>
    <mergeCell ref="I167:I168"/>
    <mergeCell ref="I174:I176"/>
    <mergeCell ref="A136:A138"/>
    <mergeCell ref="B136:B138"/>
    <mergeCell ref="A128:A129"/>
    <mergeCell ref="O167:O168"/>
    <mergeCell ref="O143:O144"/>
    <mergeCell ref="O149:S149"/>
    <mergeCell ref="S167:S168"/>
    <mergeCell ref="Q167:Q168"/>
    <mergeCell ref="A143:A145"/>
    <mergeCell ref="B143:B145"/>
    <mergeCell ref="C143:C145"/>
    <mergeCell ref="D143:D145"/>
    <mergeCell ref="C128:C129"/>
    <mergeCell ref="F125:F127"/>
    <mergeCell ref="G125:G127"/>
    <mergeCell ref="R123:R124"/>
    <mergeCell ref="R164:R165"/>
    <mergeCell ref="R167:R168"/>
    <mergeCell ref="R228:R229"/>
    <mergeCell ref="H69:H72"/>
    <mergeCell ref="G69:G72"/>
    <mergeCell ref="E88:E89"/>
    <mergeCell ref="G88:G89"/>
    <mergeCell ref="I88:I89"/>
    <mergeCell ref="E92:E93"/>
    <mergeCell ref="G92:G93"/>
    <mergeCell ref="I92:I93"/>
    <mergeCell ref="E90:E91"/>
    <mergeCell ref="R90:R91"/>
    <mergeCell ref="O116:O118"/>
    <mergeCell ref="F188:F190"/>
    <mergeCell ref="O192:O193"/>
    <mergeCell ref="O225:O226"/>
    <mergeCell ref="E125:E127"/>
    <mergeCell ref="G164:G166"/>
    <mergeCell ref="I164:I165"/>
    <mergeCell ref="O164:O165"/>
    <mergeCell ref="P164:P165"/>
    <mergeCell ref="E143:E144"/>
    <mergeCell ref="A192:A194"/>
    <mergeCell ref="B192:B194"/>
    <mergeCell ref="C192:C194"/>
    <mergeCell ref="D192:D194"/>
    <mergeCell ref="E192:E194"/>
    <mergeCell ref="F192:F194"/>
    <mergeCell ref="G192:G194"/>
    <mergeCell ref="H192:H194"/>
    <mergeCell ref="I192:I194"/>
    <mergeCell ref="O146:O147"/>
    <mergeCell ref="A146:A148"/>
    <mergeCell ref="B146:B148"/>
    <mergeCell ref="C146:C148"/>
    <mergeCell ref="D146:D148"/>
    <mergeCell ref="E146:E147"/>
    <mergeCell ref="F146:F148"/>
    <mergeCell ref="G146:G148"/>
    <mergeCell ref="H146:H148"/>
    <mergeCell ref="I146:I148"/>
  </mergeCells>
  <phoneticPr fontId="13" type="noConversion"/>
  <printOptions horizontalCentered="1"/>
  <pageMargins left="0" right="0" top="0.59055118110236227" bottom="0.19685039370078741" header="0" footer="0"/>
  <pageSetup paperSize="9" scale="90" orientation="landscape" r:id="rId1"/>
  <headerFooter alignWithMargins="0"/>
  <rowBreaks count="4" manualBreakCount="4">
    <brk id="30" max="18" man="1"/>
    <brk id="51" max="18" man="1"/>
    <brk id="102" max="18" man="1"/>
    <brk id="124" max="1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6 programa</vt:lpstr>
      <vt:lpstr>Lyginamasis variantas</vt:lpstr>
      <vt:lpstr>aiškinamoji lentelė</vt:lpstr>
      <vt:lpstr>'6 programa'!Print_Area</vt:lpstr>
      <vt:lpstr>'aiškinamoji lentelė'!Print_Area</vt:lpstr>
      <vt:lpstr>'Lyginamasis variantas'!Print_Area</vt:lpstr>
      <vt:lpstr>'6 programa'!Print_Titles</vt:lpstr>
      <vt:lpstr>'aiškinamoji lentelė'!Print_Titles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2018-07-03T10:52:11Z</cp:lastPrinted>
  <dcterms:created xsi:type="dcterms:W3CDTF">2007-07-27T10:32:34Z</dcterms:created>
  <dcterms:modified xsi:type="dcterms:W3CDTF">2018-07-16T13:52:36Z</dcterms:modified>
</cp:coreProperties>
</file>