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1-7pr\"/>
    </mc:Choice>
  </mc:AlternateContent>
  <bookViews>
    <workbookView xWindow="0" yWindow="0" windowWidth="28800" windowHeight="12300" tabRatio="723" firstSheet="1" activeTab="1"/>
  </bookViews>
  <sheets>
    <sheet name="MVP" sheetId="46" state="hidden" r:id="rId1"/>
    <sheet name="10 programa" sheetId="48" r:id="rId2"/>
    <sheet name="Aiškinamoji lentelė" sheetId="44" r:id="rId3"/>
    <sheet name="LITNET" sheetId="50" state="hidden" r:id="rId4"/>
    <sheet name="Priešgaisrinė sauga" sheetId="51" state="hidden" r:id="rId5"/>
    <sheet name="Elektros instaliacijos remontas" sheetId="52" state="hidden" r:id="rId6"/>
    <sheet name="Sanitarinių patalpų remontas" sheetId="49" state="hidden" r:id="rId7"/>
    <sheet name="01.01.02 priemonė " sheetId="47" state="hidden" r:id="rId8"/>
    <sheet name="Lyginamasis 2018-10-25" sheetId="45" state="hidden" r:id="rId9"/>
  </sheets>
  <definedNames>
    <definedName name="_xlnm.Print_Area" localSheetId="1">'10 programa'!$A$1:$P$235</definedName>
    <definedName name="_xlnm.Print_Area" localSheetId="2">'Aiškinamoji lentelė'!$A$1:$S$269</definedName>
    <definedName name="_xlnm.Print_Area" localSheetId="8">'Lyginamasis 2018-10-25'!$A$1:$U$250</definedName>
    <definedName name="_xlnm.Print_Titles" localSheetId="1">'10 programa'!$6:$8</definedName>
    <definedName name="_xlnm.Print_Titles" localSheetId="2">'Aiškinamoji lentelė'!$6:$8</definedName>
    <definedName name="_xlnm.Print_Titles" localSheetId="8">'Lyginamasis 2018-10-25'!$6:$8</definedName>
  </definedNames>
  <calcPr calcId="162913"/>
</workbook>
</file>

<file path=xl/calcChain.xml><?xml version="1.0" encoding="utf-8"?>
<calcChain xmlns="http://schemas.openxmlformats.org/spreadsheetml/2006/main">
  <c r="L13" i="48" l="1"/>
  <c r="K13" i="48"/>
  <c r="M37" i="44"/>
  <c r="L14" i="48"/>
  <c r="K14" i="48"/>
  <c r="L37" i="44"/>
  <c r="J14" i="48"/>
  <c r="J13" i="48"/>
  <c r="L108" i="48" l="1"/>
  <c r="K108" i="48"/>
  <c r="N38" i="44" l="1"/>
  <c r="M38" i="44"/>
  <c r="L25" i="44"/>
  <c r="J232" i="48" l="1"/>
  <c r="K232" i="48"/>
  <c r="M265" i="44"/>
  <c r="L265" i="44"/>
  <c r="L83" i="44" l="1"/>
  <c r="J81" i="48"/>
  <c r="J180" i="48" l="1"/>
  <c r="J197" i="48" s="1"/>
  <c r="J227" i="48"/>
  <c r="J124" i="48"/>
  <c r="J216" i="48"/>
  <c r="L226" i="44"/>
  <c r="L132" i="48" l="1"/>
  <c r="N154" i="44"/>
  <c r="L147" i="48" l="1"/>
  <c r="N165" i="44"/>
  <c r="M165" i="44"/>
  <c r="K165" i="44"/>
  <c r="L216" i="48" l="1"/>
  <c r="K216" i="48"/>
  <c r="L197" i="48"/>
  <c r="K197" i="48"/>
  <c r="J176" i="48"/>
  <c r="L174" i="48"/>
  <c r="L176" i="48" s="1"/>
  <c r="K164" i="48"/>
  <c r="L164" i="48"/>
  <c r="J164" i="48"/>
  <c r="L150" i="48"/>
  <c r="L156" i="48" s="1"/>
  <c r="J148" i="48"/>
  <c r="K147" i="48"/>
  <c r="J147" i="48"/>
  <c r="K156" i="48" l="1"/>
  <c r="J156" i="48"/>
  <c r="J131" i="48"/>
  <c r="N228" i="44" l="1"/>
  <c r="L231" i="48" l="1"/>
  <c r="K231" i="48"/>
  <c r="K230" i="48" s="1"/>
  <c r="J231" i="48"/>
  <c r="J230" i="48" s="1"/>
  <c r="L229" i="48"/>
  <c r="K229" i="48"/>
  <c r="K228" i="48"/>
  <c r="J228" i="48"/>
  <c r="J226" i="48"/>
  <c r="L224" i="48"/>
  <c r="K224" i="48"/>
  <c r="J224" i="48"/>
  <c r="J202" i="48"/>
  <c r="L199" i="48"/>
  <c r="K199" i="48"/>
  <c r="J199" i="48"/>
  <c r="P188" i="48"/>
  <c r="P185" i="48"/>
  <c r="P183" i="48"/>
  <c r="L177" i="48"/>
  <c r="K174" i="48"/>
  <c r="K176" i="48" s="1"/>
  <c r="K168" i="48"/>
  <c r="J168" i="48"/>
  <c r="J177" i="48" s="1"/>
  <c r="K226" i="48"/>
  <c r="J229" i="48"/>
  <c r="L107" i="48"/>
  <c r="K107" i="48"/>
  <c r="J107" i="48"/>
  <c r="L98" i="48"/>
  <c r="K98" i="48"/>
  <c r="J98" i="48"/>
  <c r="L100" i="48"/>
  <c r="K100" i="48"/>
  <c r="L96" i="48"/>
  <c r="K96" i="48"/>
  <c r="J96" i="48"/>
  <c r="L94" i="48"/>
  <c r="K94" i="48"/>
  <c r="J94" i="48"/>
  <c r="L91" i="48"/>
  <c r="K91" i="48"/>
  <c r="J91" i="48"/>
  <c r="L89" i="48"/>
  <c r="K89" i="48"/>
  <c r="J89" i="48"/>
  <c r="J87" i="48"/>
  <c r="L84" i="48"/>
  <c r="K84" i="48"/>
  <c r="K83" i="48"/>
  <c r="P39" i="48"/>
  <c r="O39" i="48"/>
  <c r="N39" i="48"/>
  <c r="J217" i="48" l="1"/>
  <c r="K177" i="48"/>
  <c r="L230" i="48"/>
  <c r="K223" i="48"/>
  <c r="K217" i="48"/>
  <c r="K227" i="48"/>
  <c r="K131" i="48"/>
  <c r="J165" i="48"/>
  <c r="J223" i="48"/>
  <c r="L226" i="48"/>
  <c r="L131" i="48"/>
  <c r="L165" i="48" s="1"/>
  <c r="L217" i="48"/>
  <c r="K87" i="48"/>
  <c r="K225" i="48"/>
  <c r="L225" i="48"/>
  <c r="K81" i="48"/>
  <c r="L228" i="48" s="1"/>
  <c r="J225" i="48"/>
  <c r="J101" i="48"/>
  <c r="L83" i="48"/>
  <c r="L87" i="48" s="1"/>
  <c r="K101" i="48" l="1"/>
  <c r="K102" i="48" s="1"/>
  <c r="K165" i="48"/>
  <c r="K218" i="48" s="1"/>
  <c r="L227" i="48"/>
  <c r="J222" i="48"/>
  <c r="J233" i="48" s="1"/>
  <c r="J102" i="48"/>
  <c r="K222" i="48"/>
  <c r="K233" i="48" s="1"/>
  <c r="L218" i="48"/>
  <c r="J218" i="48"/>
  <c r="L81" i="48"/>
  <c r="L101" i="48" s="1"/>
  <c r="L102" i="48" s="1"/>
  <c r="L223" i="48"/>
  <c r="J219" i="48" l="1"/>
  <c r="L222" i="48"/>
  <c r="L233" i="48" s="1"/>
  <c r="K219" i="48"/>
  <c r="L219" i="48"/>
  <c r="L231" i="44"/>
  <c r="M231" i="44"/>
  <c r="N231" i="44"/>
  <c r="K231" i="44"/>
  <c r="N86" i="44" l="1"/>
  <c r="M86" i="44"/>
  <c r="N196" i="44"/>
  <c r="M196" i="44"/>
  <c r="L212" i="44" l="1"/>
  <c r="M139" i="44"/>
  <c r="N115" i="44" l="1"/>
  <c r="M115" i="44"/>
  <c r="L115" i="44"/>
  <c r="M249" i="44" l="1"/>
  <c r="K207" i="44" l="1"/>
  <c r="L94" i="44"/>
  <c r="M198" i="44"/>
  <c r="K266" i="44"/>
  <c r="K265" i="44"/>
  <c r="K263" i="44"/>
  <c r="K262" i="44"/>
  <c r="K260" i="44"/>
  <c r="K259" i="44"/>
  <c r="K257" i="44"/>
  <c r="L198" i="44"/>
  <c r="N198" i="44"/>
  <c r="N208" i="44" s="1"/>
  <c r="K174" i="44"/>
  <c r="K102" i="44"/>
  <c r="K94" i="44"/>
  <c r="L236" i="44" l="1"/>
  <c r="L238" i="44"/>
  <c r="L249" i="44" l="1"/>
  <c r="M53" i="44"/>
  <c r="N53" i="44" s="1"/>
  <c r="M28" i="44"/>
  <c r="N28" i="44" s="1"/>
  <c r="L23" i="44"/>
  <c r="M23" i="44" l="1"/>
  <c r="N23" i="44" s="1"/>
  <c r="N129" i="44"/>
  <c r="L221" i="44" l="1"/>
  <c r="L228" i="44" s="1"/>
  <c r="L168" i="44" l="1"/>
  <c r="M54" i="44" l="1"/>
  <c r="N54" i="44" s="1"/>
  <c r="M51" i="44"/>
  <c r="N51" i="44" s="1"/>
  <c r="M45" i="44"/>
  <c r="N45" i="44" s="1"/>
  <c r="M24" i="44"/>
  <c r="N24" i="44" s="1"/>
  <c r="M21" i="44"/>
  <c r="N21" i="44" s="1"/>
  <c r="M14" i="44"/>
  <c r="N14" i="44" s="1"/>
  <c r="M188" i="44" l="1"/>
  <c r="M208" i="44" s="1"/>
  <c r="M184" i="44"/>
  <c r="E175" i="47" l="1"/>
  <c r="E144" i="47"/>
  <c r="E124" i="47"/>
  <c r="E89" i="47"/>
  <c r="E65" i="47"/>
  <c r="E51" i="47"/>
  <c r="E17" i="47"/>
  <c r="E177" i="47" l="1"/>
  <c r="N173" i="44" l="1"/>
  <c r="M259" i="44"/>
  <c r="M174" i="44"/>
  <c r="L159" i="44"/>
  <c r="L165" i="44" s="1"/>
  <c r="N174" i="44" l="1"/>
  <c r="L179" i="44" l="1"/>
  <c r="L184" i="44" s="1"/>
  <c r="N37" i="44"/>
  <c r="K182" i="44" l="1"/>
  <c r="K184" i="44" s="1"/>
  <c r="K28" i="44" l="1"/>
  <c r="K25" i="44"/>
  <c r="K22" i="44"/>
  <c r="K190" i="44" l="1"/>
  <c r="K198" i="44" s="1"/>
  <c r="I102" i="45" l="1"/>
  <c r="I137" i="45" l="1"/>
  <c r="N96" i="44" l="1"/>
  <c r="N104" i="44"/>
  <c r="L174" i="44"/>
  <c r="L102" i="44"/>
  <c r="N263" i="44"/>
  <c r="N262" i="44"/>
  <c r="N259" i="44"/>
  <c r="M266" i="44"/>
  <c r="M263" i="44"/>
  <c r="M262" i="44"/>
  <c r="L266" i="44"/>
  <c r="L263" i="44"/>
  <c r="L262" i="44"/>
  <c r="L259" i="44"/>
  <c r="L258" i="44"/>
  <c r="L257" i="44"/>
  <c r="N184" i="44"/>
  <c r="M151" i="44"/>
  <c r="N151" i="44"/>
  <c r="K108" i="44"/>
  <c r="N264" i="44" l="1"/>
  <c r="M264" i="44"/>
  <c r="L264" i="44"/>
  <c r="N249" i="44" l="1"/>
  <c r="K241" i="44"/>
  <c r="K238" i="44"/>
  <c r="K249" i="44" s="1"/>
  <c r="M228" i="44"/>
  <c r="S222" i="44"/>
  <c r="Q218" i="44"/>
  <c r="S218" i="44" s="1"/>
  <c r="K218" i="44"/>
  <c r="Q217" i="44"/>
  <c r="Q215" i="44"/>
  <c r="S215" i="44" s="1"/>
  <c r="S213" i="44"/>
  <c r="K212" i="44"/>
  <c r="K228" i="44" l="1"/>
  <c r="M185" i="44"/>
  <c r="N185" i="44"/>
  <c r="K132" i="44" l="1"/>
  <c r="L119" i="44"/>
  <c r="M250" i="44"/>
  <c r="N250" i="44"/>
  <c r="L151" i="44" l="1"/>
  <c r="L185" i="44" s="1"/>
  <c r="K151" i="44"/>
  <c r="K185" i="44" s="1"/>
  <c r="K256" i="44"/>
  <c r="L256" i="44"/>
  <c r="N251" i="44"/>
  <c r="N108" i="44"/>
  <c r="N106" i="44"/>
  <c r="M106" i="44"/>
  <c r="L106" i="44"/>
  <c r="K106" i="44"/>
  <c r="N102" i="44"/>
  <c r="M102" i="44"/>
  <c r="N98" i="44"/>
  <c r="M85" i="44"/>
  <c r="N85" i="44" s="1"/>
  <c r="N94" i="44" s="1"/>
  <c r="M94" i="44" l="1"/>
  <c r="K79" i="44"/>
  <c r="M78" i="44"/>
  <c r="N78" i="44" s="1"/>
  <c r="K52" i="44"/>
  <c r="S40" i="44"/>
  <c r="R40" i="44"/>
  <c r="Q40" i="44"/>
  <c r="M40" i="44"/>
  <c r="M83" i="44" s="1"/>
  <c r="K40" i="44"/>
  <c r="K31" i="44"/>
  <c r="K18" i="44"/>
  <c r="K17" i="44"/>
  <c r="K258" i="44" s="1"/>
  <c r="K15" i="44"/>
  <c r="M108" i="44"/>
  <c r="M104" i="44"/>
  <c r="M98" i="44"/>
  <c r="M96" i="44"/>
  <c r="K83" i="44" l="1"/>
  <c r="K261" i="44"/>
  <c r="K255" i="44" s="1"/>
  <c r="L261" i="44"/>
  <c r="L255" i="44" s="1"/>
  <c r="L267" i="44" s="1"/>
  <c r="N261" i="44"/>
  <c r="M261" i="44"/>
  <c r="N40" i="44"/>
  <c r="N258" i="44" s="1"/>
  <c r="M258" i="44"/>
  <c r="N256" i="44"/>
  <c r="M256" i="44"/>
  <c r="N83" i="44"/>
  <c r="M251" i="44"/>
  <c r="I219" i="45"/>
  <c r="I220" i="45"/>
  <c r="N109" i="44" l="1"/>
  <c r="N110" i="44" s="1"/>
  <c r="N252" i="44" s="1"/>
  <c r="M255" i="44"/>
  <c r="M267" i="44" s="1"/>
  <c r="M109" i="44"/>
  <c r="M110" i="44" s="1"/>
  <c r="M252" i="44" s="1"/>
  <c r="N255" i="44"/>
  <c r="N267" i="44" s="1"/>
  <c r="J170" i="45"/>
  <c r="J137" i="45"/>
  <c r="I74" i="45"/>
  <c r="J74" i="45"/>
  <c r="K74" i="45"/>
  <c r="L74" i="45"/>
  <c r="M74" i="45"/>
  <c r="N74" i="45"/>
  <c r="O74" i="45"/>
  <c r="P74" i="45"/>
  <c r="H74" i="45"/>
  <c r="J190" i="45"/>
  <c r="J189" i="45"/>
  <c r="J176" i="45"/>
  <c r="I176" i="45"/>
  <c r="I13" i="45"/>
  <c r="I16" i="45" l="1"/>
  <c r="J16" i="45" l="1"/>
  <c r="J111" i="45" l="1"/>
  <c r="J110" i="45"/>
  <c r="M103" i="45" l="1"/>
  <c r="L103" i="45"/>
  <c r="M106" i="45"/>
  <c r="L106" i="45"/>
  <c r="I103" i="45"/>
  <c r="J103" i="45" s="1"/>
  <c r="J106" i="45"/>
  <c r="I106" i="45"/>
  <c r="N240" i="45" l="1"/>
  <c r="O240" i="45"/>
  <c r="O137" i="45"/>
  <c r="I14" i="45" l="1"/>
  <c r="J14" i="45" s="1"/>
  <c r="O249" i="46" l="1"/>
  <c r="N249" i="46"/>
  <c r="L249" i="46"/>
  <c r="K249" i="46"/>
  <c r="I249" i="46"/>
  <c r="H249" i="46"/>
  <c r="M248" i="46"/>
  <c r="L248" i="46"/>
  <c r="K248" i="46"/>
  <c r="I248" i="46"/>
  <c r="I246" i="46" s="1"/>
  <c r="H248" i="46"/>
  <c r="O247" i="46"/>
  <c r="P247" i="46" s="1"/>
  <c r="N247" i="46"/>
  <c r="L247" i="46"/>
  <c r="M247" i="46" s="1"/>
  <c r="M246" i="46" s="1"/>
  <c r="K247" i="46"/>
  <c r="J247" i="46"/>
  <c r="I247" i="46"/>
  <c r="H247" i="46"/>
  <c r="H246" i="46" s="1"/>
  <c r="L246" i="46"/>
  <c r="K246" i="46"/>
  <c r="P245" i="46"/>
  <c r="O245" i="46"/>
  <c r="N245" i="46"/>
  <c r="L245" i="46"/>
  <c r="M245" i="46" s="1"/>
  <c r="K245" i="46"/>
  <c r="I245" i="46"/>
  <c r="H245" i="46"/>
  <c r="J245" i="46" s="1"/>
  <c r="O244" i="46"/>
  <c r="N244" i="46"/>
  <c r="L244" i="46"/>
  <c r="K244" i="46"/>
  <c r="I244" i="46"/>
  <c r="H244" i="46"/>
  <c r="O243" i="46"/>
  <c r="I243" i="46"/>
  <c r="J243" i="46" s="1"/>
  <c r="H243" i="46"/>
  <c r="M242" i="46"/>
  <c r="L242" i="46"/>
  <c r="K242" i="46"/>
  <c r="K241" i="46"/>
  <c r="J241" i="46"/>
  <c r="I241" i="46"/>
  <c r="H241" i="46"/>
  <c r="O240" i="46"/>
  <c r="N240" i="46"/>
  <c r="L240" i="46"/>
  <c r="K240" i="46"/>
  <c r="I240" i="46"/>
  <c r="H240" i="46"/>
  <c r="O239" i="46"/>
  <c r="L238" i="46"/>
  <c r="M238" i="46" s="1"/>
  <c r="H238" i="46"/>
  <c r="H237" i="46" s="1"/>
  <c r="P231" i="46"/>
  <c r="M231" i="46"/>
  <c r="L231" i="46"/>
  <c r="L232" i="46" s="1"/>
  <c r="L233" i="46" s="1"/>
  <c r="O230" i="46"/>
  <c r="N230" i="46"/>
  <c r="L230" i="46"/>
  <c r="K230" i="46"/>
  <c r="I230" i="46"/>
  <c r="J223" i="46"/>
  <c r="J222" i="46"/>
  <c r="I221" i="46"/>
  <c r="H221" i="46"/>
  <c r="J221" i="46" s="1"/>
  <c r="J230" i="46" s="1"/>
  <c r="L220" i="46"/>
  <c r="K220" i="46"/>
  <c r="I220" i="46"/>
  <c r="H220" i="46"/>
  <c r="J218" i="46"/>
  <c r="J220" i="46" s="1"/>
  <c r="O217" i="46"/>
  <c r="N217" i="46"/>
  <c r="N231" i="46" s="1"/>
  <c r="L217" i="46"/>
  <c r="K217" i="46"/>
  <c r="I217" i="46"/>
  <c r="H217" i="46"/>
  <c r="O215" i="46"/>
  <c r="O231" i="46" s="1"/>
  <c r="O232" i="46" s="1"/>
  <c r="O233" i="46" s="1"/>
  <c r="N215" i="46"/>
  <c r="L215" i="46"/>
  <c r="K215" i="46"/>
  <c r="K231" i="46" s="1"/>
  <c r="S207" i="46"/>
  <c r="S206" i="46"/>
  <c r="S203" i="46"/>
  <c r="S202" i="46"/>
  <c r="S201" i="46"/>
  <c r="S200" i="46"/>
  <c r="O196" i="46"/>
  <c r="I194" i="46"/>
  <c r="I215" i="46" s="1"/>
  <c r="H194" i="46"/>
  <c r="H215" i="46" s="1"/>
  <c r="L192" i="46"/>
  <c r="K192" i="46"/>
  <c r="O191" i="46"/>
  <c r="O192" i="46" s="1"/>
  <c r="N191" i="46"/>
  <c r="N192" i="46" s="1"/>
  <c r="L191" i="46"/>
  <c r="K191" i="46"/>
  <c r="I191" i="46"/>
  <c r="I192" i="46" s="1"/>
  <c r="H191" i="46"/>
  <c r="H192" i="46" s="1"/>
  <c r="I177" i="46"/>
  <c r="H177" i="46"/>
  <c r="O175" i="46"/>
  <c r="N175" i="46"/>
  <c r="L175" i="46"/>
  <c r="K175" i="46"/>
  <c r="I175" i="46"/>
  <c r="H175" i="46"/>
  <c r="M172" i="46"/>
  <c r="M232" i="46" s="1"/>
  <c r="O171" i="46"/>
  <c r="N171" i="46"/>
  <c r="L171" i="46"/>
  <c r="K171" i="46"/>
  <c r="H171" i="46"/>
  <c r="J170" i="46"/>
  <c r="J171" i="46" s="1"/>
  <c r="I170" i="46"/>
  <c r="I166" i="46"/>
  <c r="I171" i="46" s="1"/>
  <c r="O164" i="46"/>
  <c r="O172" i="46" s="1"/>
  <c r="N164" i="46"/>
  <c r="M164" i="46"/>
  <c r="L164" i="46"/>
  <c r="L172" i="46" s="1"/>
  <c r="K164" i="46"/>
  <c r="J164" i="46"/>
  <c r="H164" i="46"/>
  <c r="H172" i="46" s="1"/>
  <c r="I157" i="46"/>
  <c r="I164" i="46" s="1"/>
  <c r="H157" i="46"/>
  <c r="P155" i="46"/>
  <c r="O155" i="46"/>
  <c r="N155" i="46"/>
  <c r="M155" i="46"/>
  <c r="L155" i="46"/>
  <c r="K155" i="46"/>
  <c r="J155" i="46"/>
  <c r="I141" i="46"/>
  <c r="I155" i="46" s="1"/>
  <c r="H141" i="46"/>
  <c r="H155" i="46" s="1"/>
  <c r="O140" i="46"/>
  <c r="N140" i="46"/>
  <c r="N238" i="46" s="1"/>
  <c r="M139" i="46"/>
  <c r="L139" i="46"/>
  <c r="H139" i="46"/>
  <c r="J131" i="46"/>
  <c r="I131" i="46"/>
  <c r="I139" i="46" s="1"/>
  <c r="H131" i="46"/>
  <c r="J127" i="46"/>
  <c r="I127" i="46"/>
  <c r="P123" i="46"/>
  <c r="J123" i="46"/>
  <c r="P122" i="46"/>
  <c r="O122" i="46"/>
  <c r="J122" i="46"/>
  <c r="O108" i="46"/>
  <c r="O248" i="46" s="1"/>
  <c r="N108" i="46"/>
  <c r="N139" i="46" s="1"/>
  <c r="N172" i="46" s="1"/>
  <c r="O106" i="46"/>
  <c r="O139" i="46" s="1"/>
  <c r="N106" i="46"/>
  <c r="N243" i="46" s="1"/>
  <c r="L106" i="46"/>
  <c r="L243" i="46" s="1"/>
  <c r="K106" i="46"/>
  <c r="K139" i="46" s="1"/>
  <c r="N104" i="46"/>
  <c r="N239" i="46" s="1"/>
  <c r="L104" i="46"/>
  <c r="L239" i="46" s="1"/>
  <c r="K104" i="46"/>
  <c r="K239" i="46" s="1"/>
  <c r="I104" i="46"/>
  <c r="I239" i="46" s="1"/>
  <c r="J239" i="46" s="1"/>
  <c r="H104" i="46"/>
  <c r="H239" i="46" s="1"/>
  <c r="P102" i="46"/>
  <c r="O102" i="46"/>
  <c r="O238" i="46" s="1"/>
  <c r="L102" i="46"/>
  <c r="K102" i="46"/>
  <c r="K238" i="46" s="1"/>
  <c r="J102" i="46"/>
  <c r="I102" i="46"/>
  <c r="H102" i="46"/>
  <c r="L98" i="46"/>
  <c r="L99" i="46" s="1"/>
  <c r="O97" i="46"/>
  <c r="N97" i="46"/>
  <c r="L97" i="46"/>
  <c r="K97" i="46"/>
  <c r="I97" i="46"/>
  <c r="H97" i="46"/>
  <c r="O95" i="46"/>
  <c r="N95" i="46"/>
  <c r="L95" i="46"/>
  <c r="K95" i="46"/>
  <c r="I95" i="46"/>
  <c r="H95" i="46"/>
  <c r="J94" i="46"/>
  <c r="J95" i="46" s="1"/>
  <c r="O93" i="46"/>
  <c r="N93" i="46"/>
  <c r="N98" i="46" s="1"/>
  <c r="N99" i="46" s="1"/>
  <c r="L93" i="46"/>
  <c r="K93" i="46"/>
  <c r="K98" i="46" s="1"/>
  <c r="K99" i="46" s="1"/>
  <c r="I93" i="46"/>
  <c r="I98" i="46" s="1"/>
  <c r="I99" i="46" s="1"/>
  <c r="H93" i="46"/>
  <c r="H98" i="46" s="1"/>
  <c r="H99" i="46" s="1"/>
  <c r="O90" i="46"/>
  <c r="O98" i="46" s="1"/>
  <c r="O99" i="46" s="1"/>
  <c r="N90" i="46"/>
  <c r="L90" i="46"/>
  <c r="K90" i="46"/>
  <c r="I90" i="46"/>
  <c r="H90" i="46"/>
  <c r="O88" i="46"/>
  <c r="N88" i="46"/>
  <c r="L88" i="46"/>
  <c r="K88" i="46"/>
  <c r="I88" i="46"/>
  <c r="H88" i="46"/>
  <c r="O86" i="46"/>
  <c r="N86" i="46"/>
  <c r="M86" i="46"/>
  <c r="M98" i="46" s="1"/>
  <c r="M99" i="46" s="1"/>
  <c r="L86" i="46"/>
  <c r="K86" i="46"/>
  <c r="J86" i="46"/>
  <c r="I86" i="46"/>
  <c r="H86" i="46"/>
  <c r="P84" i="46"/>
  <c r="M84" i="46"/>
  <c r="P76" i="46"/>
  <c r="P86" i="46" s="1"/>
  <c r="P98" i="46" s="1"/>
  <c r="P99" i="46" s="1"/>
  <c r="M76" i="46"/>
  <c r="P74" i="46"/>
  <c r="O74" i="46"/>
  <c r="N74" i="46"/>
  <c r="L74" i="46"/>
  <c r="K74" i="46"/>
  <c r="H74" i="46"/>
  <c r="I67" i="46"/>
  <c r="J67" i="46" s="1"/>
  <c r="I64" i="46"/>
  <c r="I74" i="46" s="1"/>
  <c r="J60" i="46"/>
  <c r="J58" i="46"/>
  <c r="J33" i="46"/>
  <c r="J22" i="46"/>
  <c r="P14" i="46"/>
  <c r="M14" i="46"/>
  <c r="P13" i="46"/>
  <c r="M13" i="46"/>
  <c r="M74" i="46" s="1"/>
  <c r="I13" i="46"/>
  <c r="I238" i="46" s="1"/>
  <c r="H13" i="46"/>
  <c r="O237" i="46" l="1"/>
  <c r="P238" i="46"/>
  <c r="P237" i="46" s="1"/>
  <c r="O246" i="46"/>
  <c r="O250" i="46" s="1"/>
  <c r="H231" i="46"/>
  <c r="H232" i="46" s="1"/>
  <c r="H233" i="46" s="1"/>
  <c r="N232" i="46"/>
  <c r="N233" i="46" s="1"/>
  <c r="K172" i="46"/>
  <c r="K232" i="46" s="1"/>
  <c r="K233" i="46" s="1"/>
  <c r="I231" i="46"/>
  <c r="P243" i="46"/>
  <c r="H250" i="46"/>
  <c r="J238" i="46"/>
  <c r="J237" i="46" s="1"/>
  <c r="I237" i="46"/>
  <c r="I250" i="46" s="1"/>
  <c r="N237" i="46"/>
  <c r="I172" i="46"/>
  <c r="M233" i="46"/>
  <c r="K243" i="46"/>
  <c r="K237" i="46" s="1"/>
  <c r="K250" i="46" s="1"/>
  <c r="J64" i="46"/>
  <c r="J74" i="46" s="1"/>
  <c r="J98" i="46" s="1"/>
  <c r="J99" i="46" s="1"/>
  <c r="J104" i="46"/>
  <c r="J139" i="46" s="1"/>
  <c r="J172" i="46" s="1"/>
  <c r="P104" i="46"/>
  <c r="P139" i="46" s="1"/>
  <c r="P172" i="46" s="1"/>
  <c r="P232" i="46" s="1"/>
  <c r="P233" i="46" s="1"/>
  <c r="L237" i="46"/>
  <c r="L250" i="46" s="1"/>
  <c r="J13" i="46"/>
  <c r="J194" i="46"/>
  <c r="J215" i="46" s="1"/>
  <c r="J231" i="46" s="1"/>
  <c r="H230" i="46"/>
  <c r="J248" i="46"/>
  <c r="J246" i="46" s="1"/>
  <c r="J250" i="46" s="1"/>
  <c r="N248" i="46"/>
  <c r="P248" i="46" s="1"/>
  <c r="P246" i="46" s="1"/>
  <c r="P250" i="46" s="1"/>
  <c r="M243" i="46" l="1"/>
  <c r="M237" i="46" s="1"/>
  <c r="M250" i="46" s="1"/>
  <c r="N246" i="46"/>
  <c r="N250" i="46" s="1"/>
  <c r="J232" i="46"/>
  <c r="J233" i="46" s="1"/>
  <c r="I232" i="46"/>
  <c r="I233" i="46" s="1"/>
  <c r="I129" i="45" l="1"/>
  <c r="O102" i="45" l="1"/>
  <c r="P121" i="45" l="1"/>
  <c r="O120" i="45"/>
  <c r="P120" i="45" s="1"/>
  <c r="I104" i="45"/>
  <c r="J121" i="45"/>
  <c r="J120" i="45"/>
  <c r="I125" i="45" l="1"/>
  <c r="J125" i="45" s="1"/>
  <c r="J94" i="45" l="1"/>
  <c r="J95" i="45" s="1"/>
  <c r="I164" i="45" l="1"/>
  <c r="I192" i="45"/>
  <c r="I236" i="45" l="1"/>
  <c r="I228" i="45"/>
  <c r="I168" i="45"/>
  <c r="J168" i="45" s="1"/>
  <c r="J169" i="45" s="1"/>
  <c r="K240" i="45" l="1"/>
  <c r="K239" i="45"/>
  <c r="H239" i="45"/>
  <c r="I238" i="45"/>
  <c r="H219" i="45"/>
  <c r="H218" i="45"/>
  <c r="H192" i="45"/>
  <c r="J192" i="45" s="1"/>
  <c r="N138" i="45"/>
  <c r="N108" i="45"/>
  <c r="N106" i="45"/>
  <c r="N104" i="45"/>
  <c r="P102" i="45"/>
  <c r="K106" i="45"/>
  <c r="K104" i="45"/>
  <c r="K102" i="45"/>
  <c r="H155" i="45"/>
  <c r="H139" i="45"/>
  <c r="H153" i="45" s="1"/>
  <c r="H129" i="45"/>
  <c r="H13" i="45"/>
  <c r="J129" i="45" l="1"/>
  <c r="J13" i="45"/>
  <c r="N137" i="45"/>
  <c r="P104" i="45"/>
  <c r="K137" i="45"/>
  <c r="J216" i="45" l="1"/>
  <c r="J218" i="45" s="1"/>
  <c r="L102" i="45" l="1"/>
  <c r="L240" i="45" l="1"/>
  <c r="M240" i="45" s="1"/>
  <c r="H247" i="45" l="1"/>
  <c r="H246" i="45"/>
  <c r="H245" i="45"/>
  <c r="H243" i="45"/>
  <c r="H242" i="45"/>
  <c r="H241" i="45"/>
  <c r="H238" i="45"/>
  <c r="J238" i="45" s="1"/>
  <c r="O106" i="45"/>
  <c r="O108" i="45"/>
  <c r="H244" i="45" l="1"/>
  <c r="O138" i="45" l="1"/>
  <c r="H162" i="45"/>
  <c r="L86" i="45"/>
  <c r="L169" i="45"/>
  <c r="L162" i="45"/>
  <c r="L153" i="45"/>
  <c r="M229" i="45"/>
  <c r="M153" i="45"/>
  <c r="I139" i="45"/>
  <c r="I153" i="45" s="1"/>
  <c r="I155" i="45"/>
  <c r="I162" i="45" s="1"/>
  <c r="K162" i="45"/>
  <c r="N162" i="45"/>
  <c r="O162" i="45"/>
  <c r="O153" i="45" l="1"/>
  <c r="P153" i="45"/>
  <c r="J153" i="45" l="1"/>
  <c r="J221" i="45" l="1"/>
  <c r="N86" i="45"/>
  <c r="K86" i="45"/>
  <c r="H86" i="45"/>
  <c r="P84" i="45"/>
  <c r="M84" i="45"/>
  <c r="I239" i="45"/>
  <c r="J239" i="45" s="1"/>
  <c r="J220" i="45" l="1"/>
  <c r="J219" i="45"/>
  <c r="J213" i="45"/>
  <c r="K153" i="45"/>
  <c r="H104" i="45"/>
  <c r="H102" i="45"/>
  <c r="J102" i="45" s="1"/>
  <c r="J104" i="45" l="1"/>
  <c r="H137" i="45"/>
  <c r="H237" i="45"/>
  <c r="H236" i="45"/>
  <c r="J236" i="45" s="1"/>
  <c r="J228" i="45"/>
  <c r="J229" i="45" s="1"/>
  <c r="H235" i="45" l="1"/>
  <c r="O86" i="45"/>
  <c r="I86" i="45"/>
  <c r="P13" i="45" l="1"/>
  <c r="M13" i="45"/>
  <c r="P76" i="45" l="1"/>
  <c r="P86" i="45" s="1"/>
  <c r="M76" i="45"/>
  <c r="M86" i="45" s="1"/>
  <c r="J86" i="45"/>
  <c r="J98" i="45" s="1"/>
  <c r="P14" i="45"/>
  <c r="M14" i="45"/>
  <c r="P98" i="45" l="1"/>
  <c r="P99" i="45" s="1"/>
  <c r="M98" i="45"/>
  <c r="M99" i="45" s="1"/>
  <c r="P229" i="45"/>
  <c r="O247" i="45"/>
  <c r="O246" i="45"/>
  <c r="O245" i="45"/>
  <c r="O243" i="45"/>
  <c r="O242" i="45"/>
  <c r="O238" i="45"/>
  <c r="O236" i="45"/>
  <c r="N247" i="45"/>
  <c r="N246" i="45"/>
  <c r="N245" i="45"/>
  <c r="N243" i="45"/>
  <c r="N242" i="45"/>
  <c r="N241" i="45"/>
  <c r="N238" i="45"/>
  <c r="N237" i="45"/>
  <c r="N236" i="45"/>
  <c r="O228" i="45"/>
  <c r="O215" i="45"/>
  <c r="O194" i="45"/>
  <c r="O241" i="45" s="1"/>
  <c r="O189" i="45"/>
  <c r="O173" i="45"/>
  <c r="O169" i="45"/>
  <c r="O97" i="45"/>
  <c r="O95" i="45"/>
  <c r="O93" i="45"/>
  <c r="O90" i="45"/>
  <c r="O88" i="45"/>
  <c r="N228" i="45"/>
  <c r="N215" i="45"/>
  <c r="N213" i="45"/>
  <c r="N189" i="45"/>
  <c r="N173" i="45"/>
  <c r="N169" i="45"/>
  <c r="N153" i="45"/>
  <c r="N97" i="45"/>
  <c r="N95" i="45"/>
  <c r="N93" i="45"/>
  <c r="N90" i="45"/>
  <c r="N88" i="45"/>
  <c r="O190" i="45" l="1"/>
  <c r="P137" i="45"/>
  <c r="P170" i="45" s="1"/>
  <c r="P230" i="45" s="1"/>
  <c r="P231" i="45" s="1"/>
  <c r="O213" i="45"/>
  <c r="O229" i="45" s="1"/>
  <c r="O170" i="45"/>
  <c r="O237" i="45"/>
  <c r="P236" i="45"/>
  <c r="P243" i="45"/>
  <c r="P241" i="45"/>
  <c r="P246" i="45"/>
  <c r="P245" i="45"/>
  <c r="N235" i="45"/>
  <c r="O244" i="45"/>
  <c r="O98" i="45"/>
  <c r="O99" i="45" s="1"/>
  <c r="N244" i="45"/>
  <c r="N190" i="45"/>
  <c r="N229" i="45"/>
  <c r="N98" i="45"/>
  <c r="N99" i="45" s="1"/>
  <c r="N170" i="45"/>
  <c r="M137" i="45"/>
  <c r="O235" i="45" l="1"/>
  <c r="P237" i="45"/>
  <c r="O230" i="45"/>
  <c r="O231" i="45" s="1"/>
  <c r="P235" i="45"/>
  <c r="P244" i="45"/>
  <c r="O248" i="45"/>
  <c r="N248" i="45"/>
  <c r="N230" i="45"/>
  <c r="N231" i="45" s="1"/>
  <c r="P248" i="45" l="1"/>
  <c r="L247" i="45" l="1"/>
  <c r="L246" i="45"/>
  <c r="L245" i="45"/>
  <c r="K243" i="45"/>
  <c r="L242" i="45"/>
  <c r="L243" i="45"/>
  <c r="L241" i="45"/>
  <c r="L238" i="45"/>
  <c r="L236" i="45"/>
  <c r="M243" i="45" l="1"/>
  <c r="I243" i="45"/>
  <c r="J243" i="45" s="1"/>
  <c r="M162" i="45"/>
  <c r="M170" i="45" s="1"/>
  <c r="L228" i="45"/>
  <c r="L218" i="45"/>
  <c r="L215" i="45"/>
  <c r="L213" i="45"/>
  <c r="L189" i="45"/>
  <c r="L173" i="45"/>
  <c r="L104" i="45"/>
  <c r="L137" i="45" s="1"/>
  <c r="L97" i="45"/>
  <c r="L95" i="45"/>
  <c r="L93" i="45"/>
  <c r="L90" i="45"/>
  <c r="L88" i="45"/>
  <c r="J162" i="45"/>
  <c r="L98" i="45" l="1"/>
  <c r="M230" i="45"/>
  <c r="M231" i="45" s="1"/>
  <c r="L99" i="45"/>
  <c r="L190" i="45"/>
  <c r="L170" i="45"/>
  <c r="L237" i="45"/>
  <c r="L235" i="45" s="1"/>
  <c r="L229" i="45"/>
  <c r="L230" i="45" l="1"/>
  <c r="L231" i="45" s="1"/>
  <c r="J230" i="45"/>
  <c r="I247" i="45" l="1"/>
  <c r="I246" i="45"/>
  <c r="I245" i="45"/>
  <c r="I242" i="45"/>
  <c r="I241" i="45"/>
  <c r="I218" i="45"/>
  <c r="I215" i="45"/>
  <c r="I213" i="45"/>
  <c r="I189" i="45"/>
  <c r="I175" i="45"/>
  <c r="I173" i="45"/>
  <c r="I169" i="45"/>
  <c r="I237" i="45"/>
  <c r="I97" i="45"/>
  <c r="I95" i="45"/>
  <c r="I93" i="45"/>
  <c r="I90" i="45"/>
  <c r="I88" i="45"/>
  <c r="K247" i="45"/>
  <c r="K246" i="45"/>
  <c r="M246" i="45" s="1"/>
  <c r="K245" i="45"/>
  <c r="M245" i="45" s="1"/>
  <c r="K242" i="45"/>
  <c r="K241" i="45"/>
  <c r="M241" i="45" s="1"/>
  <c r="K238" i="45"/>
  <c r="K236" i="45"/>
  <c r="M236" i="45" s="1"/>
  <c r="K228" i="45"/>
  <c r="H228" i="45"/>
  <c r="K218" i="45"/>
  <c r="K215" i="45"/>
  <c r="H215" i="45"/>
  <c r="K213" i="45"/>
  <c r="H213" i="45"/>
  <c r="S205" i="45"/>
  <c r="S204" i="45"/>
  <c r="S201" i="45"/>
  <c r="S200" i="45"/>
  <c r="S199" i="45"/>
  <c r="S198" i="45"/>
  <c r="K189" i="45"/>
  <c r="H189" i="45"/>
  <c r="H175" i="45"/>
  <c r="K173" i="45"/>
  <c r="H173" i="45"/>
  <c r="K169" i="45"/>
  <c r="H169" i="45"/>
  <c r="K237" i="45"/>
  <c r="K97" i="45"/>
  <c r="H97" i="45"/>
  <c r="K95" i="45"/>
  <c r="H95" i="45"/>
  <c r="K93" i="45"/>
  <c r="H93" i="45"/>
  <c r="K90" i="45"/>
  <c r="H90" i="45"/>
  <c r="K88" i="45"/>
  <c r="H88" i="45"/>
  <c r="I98" i="45" l="1"/>
  <c r="I170" i="45"/>
  <c r="M235" i="45"/>
  <c r="M244" i="45"/>
  <c r="J246" i="45"/>
  <c r="J241" i="45"/>
  <c r="J245" i="45"/>
  <c r="K235" i="45"/>
  <c r="K190" i="45"/>
  <c r="H170" i="45"/>
  <c r="K229" i="45"/>
  <c r="J99" i="45"/>
  <c r="J231" i="45" s="1"/>
  <c r="I99" i="45"/>
  <c r="J237" i="45"/>
  <c r="H229" i="45"/>
  <c r="I229" i="45"/>
  <c r="I190" i="45"/>
  <c r="K244" i="45"/>
  <c r="K98" i="45"/>
  <c r="K99" i="45" s="1"/>
  <c r="H190" i="45"/>
  <c r="H98" i="45"/>
  <c r="K170" i="45"/>
  <c r="M248" i="45" l="1"/>
  <c r="H248" i="45"/>
  <c r="J235" i="45"/>
  <c r="J244" i="45"/>
  <c r="I235" i="45"/>
  <c r="K248" i="45"/>
  <c r="H230" i="45"/>
  <c r="K230" i="45"/>
  <c r="K231" i="45" s="1"/>
  <c r="I230" i="45"/>
  <c r="I231" i="45" s="1"/>
  <c r="H99" i="45"/>
  <c r="J248" i="45" l="1"/>
  <c r="H231" i="45"/>
  <c r="I244" i="45"/>
  <c r="L244" i="45" l="1"/>
  <c r="I248" i="45"/>
  <c r="L248" i="45" l="1"/>
  <c r="K264" i="44" l="1"/>
  <c r="K267" i="44" l="1"/>
  <c r="L233" i="44" l="1"/>
  <c r="L250" i="44" s="1"/>
  <c r="K233" i="44"/>
  <c r="K250" i="44" s="1"/>
  <c r="L188" i="44"/>
  <c r="L208" i="44" s="1"/>
  <c r="K188" i="44"/>
  <c r="K208" i="44" s="1"/>
  <c r="L108" i="44"/>
  <c r="L104" i="44"/>
  <c r="K104" i="44"/>
  <c r="L98" i="44"/>
  <c r="K98" i="44"/>
  <c r="L96" i="44"/>
  <c r="K96" i="44"/>
  <c r="K251" i="44" l="1"/>
  <c r="K109" i="44"/>
  <c r="L109" i="44"/>
  <c r="L251" i="44"/>
  <c r="L110" i="44" l="1"/>
  <c r="L252" i="44" s="1"/>
  <c r="K110" i="44" l="1"/>
  <c r="K252" i="44" s="1"/>
</calcChain>
</file>

<file path=xl/comments1.xml><?xml version="1.0" encoding="utf-8"?>
<comments xmlns="http://schemas.openxmlformats.org/spreadsheetml/2006/main">
  <authors>
    <author>Snieguole Kacerauskaite</author>
  </authors>
  <commentList>
    <comment ref="R22" authorId="0" shapeId="0">
      <text>
        <r>
          <rPr>
            <sz val="9"/>
            <color indexed="81"/>
            <rFont val="Tahoma"/>
            <family val="2"/>
            <charset val="186"/>
          </rPr>
          <t>m/d „Pakalnutė“ ir „Šaltinėlis“ pakeitė statusą į lopšelį-darželį</t>
        </r>
      </text>
    </comment>
    <comment ref="R25" authorId="0" shapeId="0">
      <text>
        <r>
          <rPr>
            <sz val="9"/>
            <color indexed="81"/>
            <rFont val="Tahoma"/>
            <family val="2"/>
            <charset val="186"/>
          </rPr>
          <t>VšĮ: Mažųjų pasaulis, Jūros žvaigždutė, Pasakėlė, Vaikų giraitė, Saulė ir mėnulis, Laimingų vaikų pilis, Niektauza</t>
        </r>
      </text>
    </comment>
    <comment ref="R28" authorId="0" shapeId="0">
      <text>
        <r>
          <rPr>
            <sz val="9"/>
            <color indexed="81"/>
            <rFont val="Tahoma"/>
            <family val="2"/>
            <charset val="186"/>
          </rPr>
          <t>3 mokyklos-darželiai: „Varpelis“, M. Montesori ir „Saulutė“ ir pradinė m-kla „Gilija</t>
        </r>
        <r>
          <rPr>
            <b/>
            <sz val="9"/>
            <color indexed="81"/>
            <rFont val="Tahoma"/>
            <family val="2"/>
            <charset val="186"/>
          </rPr>
          <t>“</t>
        </r>
        <r>
          <rPr>
            <sz val="9"/>
            <color indexed="81"/>
            <rFont val="Tahoma"/>
            <family val="2"/>
            <charset val="186"/>
          </rPr>
          <t xml:space="preserve">
</t>
        </r>
      </text>
    </comment>
    <comment ref="R35" authorId="0" shapeId="0">
      <text>
        <r>
          <rPr>
            <sz val="9"/>
            <color indexed="81"/>
            <rFont val="Tahoma"/>
            <family val="2"/>
            <charset val="186"/>
          </rPr>
          <t xml:space="preserve">VšĮ: Svetliačiok, Pajūrio Valdorfo bendruomenė, Universa Via, Klaipėdos licėjus, Vaivarykštės tako gimnazija
</t>
        </r>
      </text>
    </comment>
    <comment ref="Q39" authorId="0" shapeId="0">
      <text>
        <r>
          <rPr>
            <sz val="9"/>
            <color indexed="81"/>
            <rFont val="Tahoma"/>
            <family val="2"/>
            <charset val="186"/>
          </rPr>
          <t>Ekologiniame projekte  dalyvauja 45 7-8 klasių mokiniai</t>
        </r>
      </text>
    </comment>
    <comment ref="E62" authorId="0" shapeId="0">
      <text>
        <r>
          <rPr>
            <sz val="9"/>
            <color indexed="81"/>
            <rFont val="Tahoma"/>
            <family val="2"/>
            <charset val="186"/>
          </rPr>
          <t>"Diegti ir plėtoti nuotolinį mokymą užtikrinant nuosekliojo ir nepertraukiamo mokymosi galimybes pagal bendrojo ugdymo programas"</t>
        </r>
      </text>
    </comment>
    <comment ref="E91" authorId="0" shapeId="0">
      <text>
        <r>
          <rPr>
            <sz val="9"/>
            <color indexed="81"/>
            <rFont val="Tahoma"/>
            <family val="2"/>
            <charset val="186"/>
          </rPr>
          <t>"Didinti švietimo ir kitų paslaugų mokiniui prieinamumą ir kompleksiškumą diegiant e. paslaugas"</t>
        </r>
      </text>
    </comment>
    <comment ref="D96" authorId="0" shapeId="0">
      <text>
        <r>
          <rPr>
            <b/>
            <sz val="9"/>
            <color indexed="81"/>
            <rFont val="Tahoma"/>
            <family val="2"/>
            <charset val="186"/>
          </rPr>
          <t>Bus draudžiami vaikai</t>
        </r>
      </text>
    </comment>
    <comment ref="R110" authorId="0" shapeId="0">
      <text>
        <r>
          <rPr>
            <sz val="9"/>
            <color indexed="81"/>
            <rFont val="Tahoma"/>
            <family val="2"/>
            <charset val="186"/>
          </rPr>
          <t xml:space="preserve">„Smeltės“ir„Gedminų“ progimnazijos, „Vėtrungės“ gimnazija
</t>
        </r>
      </text>
    </comment>
    <comment ref="S110" authorId="0" shapeId="0">
      <text>
        <r>
          <rPr>
            <sz val="9"/>
            <color indexed="81"/>
            <rFont val="Tahoma"/>
            <family val="2"/>
            <charset val="186"/>
          </rPr>
          <t>„Sendvario“ ir „Verdenės“ progimnazijos</t>
        </r>
      </text>
    </comment>
    <comment ref="T110" authorId="0" shapeId="0">
      <text>
        <r>
          <rPr>
            <sz val="9"/>
            <color indexed="81"/>
            <rFont val="Tahoma"/>
            <family val="2"/>
            <charset val="186"/>
          </rPr>
          <t xml:space="preserve">Liudviko Stulpino progimnazija ir „Varpo“ gimnazija
</t>
        </r>
      </text>
    </comment>
    <comment ref="R131" authorId="0" shapeId="0">
      <text>
        <r>
          <rPr>
            <sz val="9"/>
            <color indexed="81"/>
            <rFont val="Tahoma"/>
            <family val="2"/>
            <charset val="186"/>
          </rPr>
          <t xml:space="preserve">1) Gedminų progimnazija (50 t.€)
2) „Verdenės“ progimnazija (700 t.€)
3) „Versmės“ progimnazija (180,7 t.€)
4) Vytauto Didžiojo gimnazija (280 t.€)
5) Žemynos gimnazija  (150 t.€)
6) Vydūno gimnazija (57,65 t.€)
</t>
        </r>
        <r>
          <rPr>
            <u/>
            <sz val="9"/>
            <color indexed="81"/>
            <rFont val="Tahoma"/>
            <family val="2"/>
            <charset val="186"/>
          </rPr>
          <t>7) Hermano Zudermano gimnazija (57,65 t.€)</t>
        </r>
        <r>
          <rPr>
            <sz val="9"/>
            <color indexed="81"/>
            <rFont val="Tahoma"/>
            <family val="2"/>
            <charset val="186"/>
          </rPr>
          <t xml:space="preserve">
</t>
        </r>
        <r>
          <rPr>
            <b/>
            <sz val="9"/>
            <color indexed="81"/>
            <rFont val="Tahoma"/>
            <family val="2"/>
            <charset val="186"/>
          </rPr>
          <t>Iš viso: 1476,1 t.€</t>
        </r>
        <r>
          <rPr>
            <sz val="9"/>
            <color indexed="81"/>
            <rFont val="Tahoma"/>
            <family val="2"/>
            <charset val="186"/>
          </rPr>
          <t xml:space="preserve">
</t>
        </r>
      </text>
    </comment>
    <comment ref="S131" authorId="0" shapeId="0">
      <text>
        <r>
          <rPr>
            <b/>
            <sz val="9"/>
            <color indexed="81"/>
            <rFont val="Tahoma"/>
            <family val="2"/>
            <charset val="186"/>
          </rPr>
          <t>Simono Dacho</t>
        </r>
        <r>
          <rPr>
            <sz val="9"/>
            <color indexed="81"/>
            <rFont val="Tahoma"/>
            <family val="2"/>
            <charset val="186"/>
          </rPr>
          <t xml:space="preserve"> progimnazija (200 t.€)
</t>
        </r>
        <r>
          <rPr>
            <b/>
            <sz val="9"/>
            <color indexed="81"/>
            <rFont val="Tahoma"/>
            <family val="2"/>
            <charset val="186"/>
          </rPr>
          <t>Maksimo Gorkio</t>
        </r>
        <r>
          <rPr>
            <sz val="9"/>
            <color indexed="81"/>
            <rFont val="Tahoma"/>
            <family val="2"/>
            <charset val="186"/>
          </rPr>
          <t xml:space="preserve"> progimnazija (100 t.€)
</t>
        </r>
        <r>
          <rPr>
            <b/>
            <sz val="9"/>
            <color indexed="81"/>
            <rFont val="Tahoma"/>
            <family val="2"/>
            <charset val="186"/>
          </rPr>
          <t>Hermano Zudermano</t>
        </r>
        <r>
          <rPr>
            <sz val="9"/>
            <color indexed="81"/>
            <rFont val="Tahoma"/>
            <family val="2"/>
            <charset val="186"/>
          </rPr>
          <t xml:space="preserve"> gimnazija II etapas (600 t.€) - 2019 m. lengvosios atletikos bėgimo takai, atnaujintas futbolo stadionas
</t>
        </r>
        <r>
          <rPr>
            <b/>
            <sz val="9"/>
            <color indexed="81"/>
            <rFont val="Tahoma"/>
            <family val="2"/>
            <charset val="186"/>
          </rPr>
          <t>Sendvario</t>
        </r>
        <r>
          <rPr>
            <sz val="9"/>
            <color indexed="81"/>
            <rFont val="Tahoma"/>
            <family val="2"/>
            <charset val="186"/>
          </rPr>
          <t xml:space="preserve"> progimnazija (520 t.€)
</t>
        </r>
        <r>
          <rPr>
            <u/>
            <sz val="9"/>
            <color indexed="81"/>
            <rFont val="Tahoma"/>
            <family val="2"/>
            <charset val="186"/>
          </rPr>
          <t>„</t>
        </r>
        <r>
          <rPr>
            <b/>
            <u/>
            <sz val="9"/>
            <color indexed="81"/>
            <rFont val="Tahoma"/>
            <family val="2"/>
            <charset val="186"/>
          </rPr>
          <t>Vyturio“</t>
        </r>
        <r>
          <rPr>
            <u/>
            <sz val="9"/>
            <color indexed="81"/>
            <rFont val="Tahoma"/>
            <family val="2"/>
            <charset val="186"/>
          </rPr>
          <t xml:space="preserve"> progimnazija (80 t.€)</t>
        </r>
        <r>
          <rPr>
            <sz val="9"/>
            <color indexed="81"/>
            <rFont val="Tahoma"/>
            <family val="2"/>
            <charset val="186"/>
          </rPr>
          <t xml:space="preserve">
</t>
        </r>
        <r>
          <rPr>
            <b/>
            <sz val="9"/>
            <color indexed="81"/>
            <rFont val="Tahoma"/>
            <family val="2"/>
            <charset val="186"/>
          </rPr>
          <t>Iš viso: 1500 t. €</t>
        </r>
      </text>
    </comment>
    <comment ref="T131" authorId="0" shapeId="0">
      <text>
        <r>
          <rPr>
            <b/>
            <sz val="9"/>
            <color indexed="81"/>
            <rFont val="Tahoma"/>
            <family val="2"/>
            <charset val="186"/>
          </rPr>
          <t>„Smeltės“</t>
        </r>
        <r>
          <rPr>
            <sz val="9"/>
            <color indexed="81"/>
            <rFont val="Tahoma"/>
            <family val="2"/>
            <charset val="186"/>
          </rPr>
          <t xml:space="preserve"> progimnazija (150 t. €)
</t>
        </r>
        <r>
          <rPr>
            <b/>
            <sz val="9"/>
            <color indexed="81"/>
            <rFont val="Tahoma"/>
            <family val="2"/>
            <charset val="186"/>
          </rPr>
          <t>Santarvės</t>
        </r>
        <r>
          <rPr>
            <sz val="9"/>
            <color indexed="81"/>
            <rFont val="Tahoma"/>
            <family val="2"/>
            <charset val="186"/>
          </rPr>
          <t xml:space="preserve"> progimnazija (50 t. €)
</t>
        </r>
        <r>
          <rPr>
            <b/>
            <sz val="9"/>
            <color indexed="81"/>
            <rFont val="Tahoma"/>
            <family val="2"/>
            <charset val="186"/>
          </rPr>
          <t>Baltijos gimnazija ir Martyno Mažvydo</t>
        </r>
        <r>
          <rPr>
            <sz val="9"/>
            <color indexed="81"/>
            <rFont val="Tahoma"/>
            <family val="2"/>
            <charset val="186"/>
          </rPr>
          <t xml:space="preserve">  progimnazija (450 t. €)
</t>
        </r>
        <r>
          <rPr>
            <b/>
            <sz val="9"/>
            <color indexed="81"/>
            <rFont val="Tahoma"/>
            <family val="2"/>
            <charset val="186"/>
          </rPr>
          <t>Gilijos</t>
        </r>
        <r>
          <rPr>
            <sz val="9"/>
            <color indexed="81"/>
            <rFont val="Tahoma"/>
            <family val="2"/>
            <charset val="186"/>
          </rPr>
          <t xml:space="preserve"> pradinė mokykla (500 t.€) (naudojasi kartu su Vydūno gimnazija)
</t>
        </r>
        <r>
          <rPr>
            <b/>
            <u/>
            <sz val="9"/>
            <color indexed="81"/>
            <rFont val="Tahoma"/>
            <family val="2"/>
            <charset val="186"/>
          </rPr>
          <t>„Varpo“</t>
        </r>
        <r>
          <rPr>
            <u/>
            <sz val="9"/>
            <color indexed="81"/>
            <rFont val="Tahoma"/>
            <family val="2"/>
            <charset val="186"/>
          </rPr>
          <t xml:space="preserve"> gimnazija (350 t.€)</t>
        </r>
        <r>
          <rPr>
            <sz val="9"/>
            <color indexed="81"/>
            <rFont val="Tahoma"/>
            <family val="2"/>
            <charset val="186"/>
          </rPr>
          <t xml:space="preserve">
</t>
        </r>
        <r>
          <rPr>
            <b/>
            <sz val="9"/>
            <color indexed="81"/>
            <rFont val="Tahoma"/>
            <family val="2"/>
            <charset val="186"/>
          </rPr>
          <t>Iš viso: 1.500 tūkst. Eur</t>
        </r>
      </text>
    </comment>
    <comment ref="R132" authorId="0" shapeId="0">
      <text>
        <r>
          <rPr>
            <sz val="9"/>
            <color indexed="81"/>
            <rFont val="Tahoma"/>
            <family val="2"/>
            <charset val="186"/>
          </rPr>
          <t xml:space="preserve">1) „Verdenės“ progimnazijoje,
2) Simono Dacho progimnazijoje (12 t.€)
</t>
        </r>
      </text>
    </comment>
    <comment ref="S132" authorId="0" shapeId="0">
      <text>
        <r>
          <rPr>
            <sz val="9"/>
            <color indexed="81"/>
            <rFont val="Tahoma"/>
            <family val="2"/>
            <charset val="186"/>
          </rPr>
          <t xml:space="preserve">1) Hermano Zudermano gimnazijoje, 
2) Sendvario progimnazija,
</t>
        </r>
      </text>
    </comment>
    <comment ref="T132" authorId="0" shapeId="0">
      <text>
        <r>
          <rPr>
            <b/>
            <sz val="9"/>
            <color indexed="81"/>
            <rFont val="Tahoma"/>
            <family val="2"/>
            <charset val="186"/>
          </rPr>
          <t>- Baltijos gimnazija ir Martyno Mažvydo</t>
        </r>
        <r>
          <rPr>
            <sz val="9"/>
            <color indexed="81"/>
            <rFont val="Tahoma"/>
            <family val="2"/>
            <charset val="186"/>
          </rPr>
          <t xml:space="preserve"> progimnazija  (naudojasi vienu stadionu),</t>
        </r>
        <r>
          <rPr>
            <b/>
            <sz val="9"/>
            <color indexed="81"/>
            <rFont val="Tahoma"/>
            <family val="2"/>
            <charset val="186"/>
          </rPr>
          <t xml:space="preserve">
- Gilijos </t>
        </r>
        <r>
          <rPr>
            <sz val="9"/>
            <color indexed="81"/>
            <rFont val="Tahoma"/>
            <family val="2"/>
            <charset val="186"/>
          </rPr>
          <t>pradinė mokykla (naudojasi kartu su Vydūno gimnazija),
- „</t>
        </r>
        <r>
          <rPr>
            <b/>
            <sz val="9"/>
            <color indexed="81"/>
            <rFont val="Tahoma"/>
            <family val="2"/>
            <charset val="186"/>
          </rPr>
          <t>Varpo</t>
        </r>
        <r>
          <rPr>
            <sz val="9"/>
            <color indexed="81"/>
            <rFont val="Tahoma"/>
            <family val="2"/>
            <charset val="186"/>
          </rPr>
          <t xml:space="preserve">“ gimnazija
</t>
        </r>
      </text>
    </comment>
    <comment ref="G144" authorId="0" shapeId="0">
      <text>
        <r>
          <rPr>
            <b/>
            <sz val="9"/>
            <color indexed="81"/>
            <rFont val="Tahoma"/>
            <family val="2"/>
            <charset val="186"/>
          </rPr>
          <t>Vienuolių lėšos</t>
        </r>
        <r>
          <rPr>
            <sz val="9"/>
            <color indexed="81"/>
            <rFont val="Tahoma"/>
            <family val="2"/>
            <charset val="186"/>
          </rPr>
          <t xml:space="preserve">
</t>
        </r>
      </text>
    </comment>
    <comment ref="S166" authorId="0" shapeId="0">
      <text>
        <r>
          <rPr>
            <b/>
            <sz val="9"/>
            <color indexed="81"/>
            <rFont val="Tahoma"/>
            <family val="2"/>
            <charset val="186"/>
          </rPr>
          <t>Snieguole Kacerauskaite:</t>
        </r>
        <r>
          <rPr>
            <sz val="9"/>
            <color indexed="81"/>
            <rFont val="Tahoma"/>
            <family val="2"/>
            <charset val="186"/>
          </rPr>
          <t xml:space="preserve">
l/d „Volungėlė“, „Vyturėlis“, „Čiauškutė“, „Papartėlis“ ir „Pingvinukas“</t>
        </r>
      </text>
    </comment>
    <comment ref="T166" authorId="0" shapeId="0">
      <text>
        <r>
          <rPr>
            <b/>
            <sz val="9"/>
            <color indexed="81"/>
            <rFont val="Tahoma"/>
            <family val="2"/>
            <charset val="186"/>
          </rPr>
          <t>Snieguole Kacerauskaite:</t>
        </r>
        <r>
          <rPr>
            <sz val="9"/>
            <color indexed="81"/>
            <rFont val="Tahoma"/>
            <family val="2"/>
            <charset val="186"/>
          </rPr>
          <t xml:space="preserve">
l/d „Bitutė“, „Rūta“, „Nykštukas“, „Pumpurėlis“, „Žiogelis“ ir „Linelis“</t>
        </r>
      </text>
    </comment>
    <comment ref="D176" authorId="0" shapeId="0">
      <text>
        <r>
          <rPr>
            <b/>
            <sz val="9"/>
            <color indexed="81"/>
            <rFont val="Tahoma"/>
            <family val="2"/>
            <charset val="186"/>
          </rPr>
          <t>2017 m. - Luizės jaunimo centras</t>
        </r>
        <r>
          <rPr>
            <sz val="9"/>
            <color indexed="81"/>
            <rFont val="Tahoma"/>
            <family val="2"/>
            <charset val="186"/>
          </rPr>
          <t xml:space="preserve">
</t>
        </r>
      </text>
    </comment>
    <comment ref="R197" authorId="0" shapeId="0">
      <text>
        <r>
          <rPr>
            <b/>
            <sz val="9"/>
            <color indexed="81"/>
            <rFont val="Tahoma"/>
            <family val="2"/>
            <charset val="186"/>
          </rPr>
          <t xml:space="preserve"> l/d „Berželis“ </t>
        </r>
        <r>
          <rPr>
            <sz val="9"/>
            <color indexed="81"/>
            <rFont val="Tahoma"/>
            <family val="2"/>
            <charset val="186"/>
          </rPr>
          <t xml:space="preserve">- virtuvės remontas,
</t>
        </r>
        <r>
          <rPr>
            <b/>
            <sz val="9"/>
            <color indexed="81"/>
            <rFont val="Tahoma"/>
            <family val="2"/>
            <charset val="186"/>
          </rPr>
          <t>„Kregždutė“</t>
        </r>
        <r>
          <rPr>
            <sz val="9"/>
            <color indexed="81"/>
            <rFont val="Tahoma"/>
            <family val="2"/>
            <charset val="186"/>
          </rPr>
          <t xml:space="preserve"> - laiptinės ir koridoriaus remontas,
</t>
        </r>
        <r>
          <rPr>
            <b/>
            <sz val="9"/>
            <color indexed="81"/>
            <rFont val="Tahoma"/>
            <family val="2"/>
            <charset val="186"/>
          </rPr>
          <t>„Ąžuoliukas“</t>
        </r>
        <r>
          <rPr>
            <sz val="9"/>
            <color indexed="81"/>
            <rFont val="Tahoma"/>
            <family val="2"/>
            <charset val="186"/>
          </rPr>
          <t xml:space="preserve"> - 2 a. grindų remontas,
</t>
        </r>
        <r>
          <rPr>
            <b/>
            <sz val="9"/>
            <color indexed="81"/>
            <rFont val="Tahoma"/>
            <family val="2"/>
            <charset val="186"/>
          </rPr>
          <t>„Aitvarėlis“</t>
        </r>
        <r>
          <rPr>
            <sz val="9"/>
            <color indexed="81"/>
            <rFont val="Tahoma"/>
            <family val="2"/>
            <charset val="186"/>
          </rPr>
          <t xml:space="preserve"> - fasado remontas, 
</t>
        </r>
        <r>
          <rPr>
            <b/>
            <sz val="9"/>
            <color indexed="81"/>
            <rFont val="Tahoma"/>
            <family val="2"/>
            <charset val="186"/>
          </rPr>
          <t>„Žemuogėlė“</t>
        </r>
        <r>
          <rPr>
            <sz val="9"/>
            <color indexed="81"/>
            <rFont val="Tahoma"/>
            <family val="2"/>
            <charset val="186"/>
          </rPr>
          <t xml:space="preserve"> - virtuvės ventiliacijos remontas, 
</t>
        </r>
        <r>
          <rPr>
            <b/>
            <sz val="9"/>
            <color indexed="81"/>
            <rFont val="Tahoma"/>
            <family val="2"/>
            <charset val="186"/>
          </rPr>
          <t>„Nykštukas“</t>
        </r>
        <r>
          <rPr>
            <sz val="9"/>
            <color indexed="81"/>
            <rFont val="Tahoma"/>
            <family val="2"/>
            <charset val="186"/>
          </rPr>
          <t xml:space="preserve"> - laiptinių ir grindų remontas, 
</t>
        </r>
        <r>
          <rPr>
            <b/>
            <sz val="9"/>
            <color indexed="81"/>
            <rFont val="Tahoma"/>
            <family val="2"/>
            <charset val="186"/>
          </rPr>
          <t>„Žilvitis“</t>
        </r>
        <r>
          <rPr>
            <sz val="9"/>
            <color indexed="81"/>
            <rFont val="Tahoma"/>
            <family val="2"/>
            <charset val="186"/>
          </rPr>
          <t xml:space="preserve"> - laiptinių remontas,
</t>
        </r>
        <r>
          <rPr>
            <b/>
            <sz val="9"/>
            <color indexed="81"/>
            <rFont val="Tahoma"/>
            <family val="2"/>
            <charset val="186"/>
          </rPr>
          <t>„Pumpurėlis“</t>
        </r>
        <r>
          <rPr>
            <sz val="9"/>
            <color indexed="81"/>
            <rFont val="Tahoma"/>
            <family val="2"/>
            <charset val="186"/>
          </rPr>
          <t xml:space="preserve"> - grindų remontas,
„Pagrandukas“ - stogo remontas,
„Eglutė“ - paprastasis remontas,
</t>
        </r>
        <r>
          <rPr>
            <b/>
            <sz val="9"/>
            <color indexed="81"/>
            <rFont val="Tahoma"/>
            <family val="2"/>
            <charset val="186"/>
          </rPr>
          <t>Luizės jaunimo centras</t>
        </r>
        <r>
          <rPr>
            <sz val="9"/>
            <color indexed="81"/>
            <rFont val="Tahoma"/>
            <family val="2"/>
            <charset val="186"/>
          </rPr>
          <t xml:space="preserve"> - Atvirų jaunimo erdvių patalpų remontas
</t>
        </r>
      </text>
    </comment>
    <comment ref="D206" authorId="0" shapeId="0">
      <text>
        <r>
          <rPr>
            <sz val="9"/>
            <color indexed="81"/>
            <rFont val="Tahoma"/>
            <family val="2"/>
            <charset val="186"/>
          </rPr>
          <t xml:space="preserve">2017 m. – „Varpo“ gimnazijos aktų salės ir bibliotekos remontas </t>
        </r>
      </text>
    </comment>
    <comment ref="R208" authorId="0" shapeId="0">
      <text>
        <r>
          <rPr>
            <sz val="9"/>
            <color indexed="81"/>
            <rFont val="Tahoma"/>
            <family val="2"/>
            <charset val="186"/>
          </rPr>
          <t>2018 m. - l/d „Berželis“, „Du gaideliai“, „Giliukas“, „Pumpurėlis“, „Dobiliukas“, „Radastėlė“, Simono Dacho progimnazija, "Baltijos" gimnazija, klubai „Saulutė“ ir „Liepsnelė“</t>
        </r>
      </text>
    </comment>
    <comment ref="E209" authorId="0" shapeId="0">
      <text>
        <r>
          <rPr>
            <sz val="9"/>
            <color indexed="81"/>
            <rFont val="Tahoma"/>
            <family val="2"/>
            <charset val="186"/>
          </rPr>
          <t>"Kompleksiškai sutvarkyti bendrojo ugdymo mokyklų ir ikimokyklinio ugdymo įstaigų teritorijas"</t>
        </r>
      </text>
    </comment>
    <comment ref="E212" authorId="0" shapeId="0">
      <text>
        <r>
          <rPr>
            <sz val="9"/>
            <color indexed="81"/>
            <rFont val="Tahoma"/>
            <family val="2"/>
            <charset val="186"/>
          </rPr>
          <t>"Kompleksiškai sutvarkyti bendrojo ugdymo mokyklų ir ikimokyklinio ugdymo įstaigų teritorijas"</t>
        </r>
      </text>
    </comment>
  </commentList>
</comments>
</file>

<file path=xl/comments2.xml><?xml version="1.0" encoding="utf-8"?>
<comments xmlns="http://schemas.openxmlformats.org/spreadsheetml/2006/main">
  <authors>
    <author>Snieguole Kacerauskaite</author>
    <author>Inga Mikalauskiene</author>
  </authors>
  <commentList>
    <comment ref="N23" authorId="0" shapeId="0">
      <text>
        <r>
          <rPr>
            <sz val="9"/>
            <color indexed="81"/>
            <rFont val="Tahoma"/>
            <family val="2"/>
            <charset val="186"/>
          </rPr>
          <t>VšĮ: Mažųjų pasaulis, Jūros žvaigždutė, Pasakėlė, Vaikų giraitė, Saulė ir mėnulis, Laimingų vaikų pilis, Niektauza</t>
        </r>
      </text>
    </comment>
    <comment ref="G68" authorId="0" shapeId="0">
      <text>
        <r>
          <rPr>
            <sz val="9"/>
            <color indexed="81"/>
            <rFont val="Tahoma"/>
            <family val="2"/>
            <charset val="186"/>
          </rPr>
          <t>"Diegti ir plėtoti nuotolinį mokymą užtikrinant nuosekliojo ir nepertraukiamo mokymosi galimybes pagal bendrojo ugdymo programas"</t>
        </r>
      </text>
    </comment>
    <comment ref="G92" authorId="0" shapeId="0">
      <text>
        <r>
          <rPr>
            <sz val="9"/>
            <color indexed="81"/>
            <rFont val="Tahoma"/>
            <family val="2"/>
            <charset val="186"/>
          </rPr>
          <t>"Didinti švietimo ir kitų paslaugų mokiniui prieinamumą ir kompleksiškumą diegiant e. paslaugas"</t>
        </r>
      </text>
    </comment>
    <comment ref="N125" authorId="0" shapeId="0">
      <text>
        <r>
          <rPr>
            <sz val="9"/>
            <color indexed="81"/>
            <rFont val="Tahoma"/>
            <family val="2"/>
            <charset val="186"/>
          </rPr>
          <t xml:space="preserve">Verdenės progimnazija (377,2 t.€)
Simono Dacho progimnazija (250 t.€)
</t>
        </r>
        <r>
          <rPr>
            <u/>
            <sz val="9"/>
            <color indexed="81"/>
            <rFont val="Tahoma"/>
            <family val="2"/>
            <charset val="186"/>
          </rPr>
          <t>„Vyturio“ progimnazija (123 t.€)</t>
        </r>
        <r>
          <rPr>
            <sz val="9"/>
            <color indexed="81"/>
            <rFont val="Tahoma"/>
            <family val="2"/>
            <charset val="186"/>
          </rPr>
          <t xml:space="preserve">
Iš viso: 750,2 t. €</t>
        </r>
      </text>
    </comment>
    <comment ref="O125" authorId="0" shapeId="0">
      <text>
        <r>
          <rPr>
            <sz val="9"/>
            <color indexed="81"/>
            <rFont val="Tahoma"/>
            <family val="2"/>
            <charset val="186"/>
          </rPr>
          <t xml:space="preserve">Vitės pagrindinė mokykla - 600 t. € (tech.projektą darys KLASCO) 
</t>
        </r>
        <r>
          <rPr>
            <u/>
            <sz val="9"/>
            <color indexed="81"/>
            <rFont val="Tahoma"/>
            <family val="2"/>
            <charset val="186"/>
          </rPr>
          <t>Maksimo Gorkio progimnazija - 270 t. Eur</t>
        </r>
        <r>
          <rPr>
            <sz val="9"/>
            <color indexed="81"/>
            <rFont val="Tahoma"/>
            <family val="2"/>
            <charset val="186"/>
          </rPr>
          <t xml:space="preserve"> 
Iš viso: 870 tūkst. Eur</t>
        </r>
      </text>
    </comment>
    <comment ref="P125" authorId="0" shapeId="0">
      <text>
        <r>
          <rPr>
            <sz val="9"/>
            <color indexed="81"/>
            <rFont val="Tahoma"/>
            <family val="2"/>
            <charset val="186"/>
          </rPr>
          <t>Sendvario progimnazija - 520  t. €
H. Zudermano</t>
        </r>
        <r>
          <rPr>
            <u/>
            <sz val="9"/>
            <color indexed="81"/>
            <rFont val="Tahoma"/>
            <family val="2"/>
            <charset val="186"/>
          </rPr>
          <t xml:space="preserve"> gimnazija - 670  t. €</t>
        </r>
        <r>
          <rPr>
            <b/>
            <sz val="9"/>
            <color indexed="81"/>
            <rFont val="Tahoma"/>
            <family val="2"/>
            <charset val="186"/>
          </rPr>
          <t xml:space="preserve">
</t>
        </r>
        <r>
          <rPr>
            <sz val="9"/>
            <color indexed="81"/>
            <rFont val="Tahoma"/>
            <family val="2"/>
            <charset val="186"/>
          </rPr>
          <t>Iš viso: 1190 tūkst. Eur</t>
        </r>
      </text>
    </comment>
    <comment ref="N126" authorId="0" shapeId="0">
      <text>
        <r>
          <rPr>
            <sz val="9"/>
            <color indexed="81"/>
            <rFont val="Tahoma"/>
            <family val="2"/>
            <charset val="186"/>
          </rPr>
          <t xml:space="preserve">H. Zudermano gimnazijoje - 20 tūkst. Eur, 
</t>
        </r>
      </text>
    </comment>
    <comment ref="O126" authorId="0" shapeId="0">
      <text>
        <r>
          <rPr>
            <sz val="9"/>
            <color indexed="81"/>
            <rFont val="Tahoma"/>
            <family val="2"/>
            <charset val="186"/>
          </rPr>
          <t>Sendvario progimnazija</t>
        </r>
      </text>
    </comment>
    <comment ref="N141" authorId="0" shapeId="0">
      <text>
        <r>
          <rPr>
            <sz val="9"/>
            <color indexed="81"/>
            <rFont val="Tahoma"/>
            <family val="2"/>
            <charset val="186"/>
          </rPr>
          <t xml:space="preserve">m/d "Saulutė" ir l/d "Vėrinėlis"
</t>
        </r>
      </text>
    </comment>
    <comment ref="F182" authorId="0" shapeId="0">
      <text>
        <r>
          <rPr>
            <sz val="9"/>
            <color indexed="81"/>
            <rFont val="Tahoma"/>
            <family val="2"/>
            <charset val="186"/>
          </rPr>
          <t xml:space="preserve">2018 m. – l.-d. „Berželis“, „Kregždutė“, „Ąžuoliukas“, „Aitvarėlis“, „Žemuogėlė“,  „Nykštukas“, „Žilvitis“, „Pumpurėlis“, „Pagrandukas“, „Eglutė“, Klaipėdos karalienės Luizės jaunimo centras, 3–6 švietimo įstaigų buitinių tinklų remontas
</t>
        </r>
      </text>
    </comment>
    <comment ref="N185" authorId="0" shapeId="0">
      <text>
        <r>
          <rPr>
            <sz val="9"/>
            <color indexed="81"/>
            <rFont val="Tahoma"/>
            <family val="2"/>
            <charset val="186"/>
          </rPr>
          <t xml:space="preserve">l/d "Varpelis", "Pingvinukas" ir "Du gaideliai"
</t>
        </r>
      </text>
    </comment>
    <comment ref="N187" authorId="0" shapeId="0">
      <text>
        <r>
          <rPr>
            <sz val="9"/>
            <color indexed="81"/>
            <rFont val="Tahoma"/>
            <family val="2"/>
            <charset val="186"/>
          </rPr>
          <t xml:space="preserve">l/d "Alksniukas", "Klevelis", "Pingvinukas", "Sakalėlis", "Švyturėlis", "Vėrinėlis" ir "Žemuogėlė
</t>
        </r>
      </text>
    </comment>
    <comment ref="N190" authorId="0" shapeId="0">
      <text>
        <r>
          <rPr>
            <sz val="9"/>
            <color indexed="81"/>
            <rFont val="Tahoma"/>
            <family val="2"/>
            <charset val="186"/>
          </rPr>
          <t xml:space="preserve">„Varpo“ gimnazija, S. Dacho progimnazija, L/d „Varpelis“, „Berželis“, „Alksniukas“, „Du  gaideliai“, „Putinėlis“, „Bangelė“, „Pumpurėlis“, „Pagrandukas“, „Inkarėlis“, “Linelis“ ir „Nykštukas“
</t>
        </r>
      </text>
    </comment>
    <comment ref="F191" authorId="0" shapeId="0">
      <text>
        <r>
          <rPr>
            <sz val="9"/>
            <color indexed="81"/>
            <rFont val="Tahoma"/>
            <family val="2"/>
            <charset val="186"/>
          </rPr>
          <t xml:space="preserve">2017 m. – „Varpo“ gimnazijos aktų salės ir bibliotekos remontas, 2018 m. – Sendvario progimnazijos bendro naudojimo koridorių remontas </t>
        </r>
      </text>
    </comment>
    <comment ref="N192" authorId="0" shapeId="0">
      <text>
        <r>
          <rPr>
            <sz val="9"/>
            <color indexed="81"/>
            <rFont val="Tahoma"/>
            <family val="2"/>
            <charset val="186"/>
          </rPr>
          <t>l/d "Liepaitė", "Pingvinukas", "Rūta", "Boružėlė", "Eglutė", Zudermano, Vydūno gimnazijos, Gabijos progimnazija, Sendvario m-kla, klubas "Draugystė"</t>
        </r>
      </text>
    </comment>
    <comment ref="F193" authorId="0" shapeId="0">
      <text>
        <r>
          <rPr>
            <sz val="9"/>
            <color indexed="81"/>
            <rFont val="Tahoma"/>
            <family val="2"/>
            <charset val="186"/>
          </rPr>
          <t xml:space="preserve">2019 m. - l/d "Ąžuoliukas", "Žuvėdra", "Radastėlė", "Žemuogėlė", "Linelis", "Šermukšnėlė", "Traukinukas", "Versmė", RUC, Gedminų prog., H. Zudermano gimnazija, klubas "Žuvėdra"
</t>
        </r>
      </text>
    </comment>
    <comment ref="N193" authorId="1" shapeId="0">
      <text>
        <r>
          <rPr>
            <sz val="9"/>
            <color indexed="81"/>
            <rFont val="Tahoma"/>
            <family val="2"/>
            <charset val="186"/>
          </rPr>
          <t>2019 m. - l/d "Ąžuoliukas", "Žuvėdra", "Radastėlė", "Žemuogėlė", "Linelis", "Šermukšnėlė", "Traukinukas", "Versmė", RUC, Gedminų prog., H. Zudermano gimnazija, klubas "Žuvėdra".</t>
        </r>
      </text>
    </comment>
    <comment ref="G194" authorId="0" shapeId="0">
      <text>
        <r>
          <rPr>
            <sz val="9"/>
            <color indexed="81"/>
            <rFont val="Tahoma"/>
            <family val="2"/>
            <charset val="186"/>
          </rPr>
          <t>"Kompleksiškai sutvarkyti bendrojo ugdymo mokyklų ir ikimokyklinio ugdymo įstaigų teritorijas"</t>
        </r>
      </text>
    </comment>
    <comment ref="N195" authorId="1" shapeId="0">
      <text>
        <r>
          <rPr>
            <sz val="9"/>
            <color indexed="81"/>
            <rFont val="Tahoma"/>
            <family val="2"/>
            <charset val="186"/>
          </rPr>
          <t xml:space="preserve">2019 m. - "Aitvaro", Vydūno gimnazijos lauko nuotekų tinklų remontas, "Žaliakalnio" gimnazijos, l/d „Radastėlė“ ir „Pingvinukas“ paviršinių ir buitinių nuotekų tinklų statybos darbai </t>
        </r>
      </text>
    </comment>
    <comment ref="O213" authorId="0" shapeId="0">
      <text>
        <r>
          <rPr>
            <sz val="9"/>
            <color indexed="81"/>
            <rFont val="Tahoma"/>
            <family val="2"/>
            <charset val="186"/>
          </rPr>
          <t xml:space="preserve">lopšeliuose-darželiuose „Aitvarėlis“ ir "Versmė"
</t>
        </r>
      </text>
    </comment>
  </commentList>
</comments>
</file>

<file path=xl/comments3.xml><?xml version="1.0" encoding="utf-8"?>
<comments xmlns="http://schemas.openxmlformats.org/spreadsheetml/2006/main">
  <authors>
    <author>Snieguole Kacerauskaite</author>
    <author>Ingrida Urbonaviciene</author>
    <author>Inga Mikalauskiene</author>
  </authors>
  <commentList>
    <comment ref="P14" authorId="0" shapeId="0">
      <text>
        <r>
          <rPr>
            <sz val="9"/>
            <color indexed="81"/>
            <rFont val="Tahoma"/>
            <family val="2"/>
            <charset val="186"/>
          </rPr>
          <t>m/d „Pakalnutė“ ir „Šaltinėlis“ pakeitė statusą į lopšelį-darželį</t>
        </r>
      </text>
    </comment>
    <comment ref="Q18" authorId="0" shapeId="0">
      <text>
        <r>
          <rPr>
            <sz val="9"/>
            <color indexed="81"/>
            <rFont val="Tahoma"/>
            <family val="2"/>
            <charset val="186"/>
          </rPr>
          <t>VšĮ: Mažųjų pasaulis, Jūros žvaigždutė, Pasakėlė, Vaikų giraitė, Saulė ir mėnulis, Laimingų vaikų pilis, Niektauza</t>
        </r>
      </text>
    </comment>
    <comment ref="P21" authorId="0" shapeId="0">
      <text>
        <r>
          <rPr>
            <sz val="9"/>
            <color indexed="81"/>
            <rFont val="Tahoma"/>
            <family val="2"/>
            <charset val="186"/>
          </rPr>
          <t>3 mokyklos-darželiai: „Varpelis“, M. Montesori ir „Saulutė“ ir pradinė m-kla „Gilija</t>
        </r>
        <r>
          <rPr>
            <b/>
            <sz val="9"/>
            <color indexed="81"/>
            <rFont val="Tahoma"/>
            <family val="2"/>
            <charset val="186"/>
          </rPr>
          <t>“</t>
        </r>
        <r>
          <rPr>
            <sz val="9"/>
            <color indexed="81"/>
            <rFont val="Tahoma"/>
            <family val="2"/>
            <charset val="186"/>
          </rPr>
          <t xml:space="preserve">
</t>
        </r>
      </text>
    </comment>
    <comment ref="P31" authorId="0" shapeId="0">
      <text>
        <r>
          <rPr>
            <sz val="9"/>
            <color indexed="81"/>
            <rFont val="Tahoma"/>
            <family val="2"/>
            <charset val="186"/>
          </rPr>
          <t xml:space="preserve">VšĮ: Svetliačiok, Pajūrio Valdorfo bendruomenė, Universa Via, Klaipėdos licėjus, Vaivarykštės tako gimnazija
</t>
        </r>
      </text>
    </comment>
    <comment ref="O35" authorId="0" shapeId="0">
      <text>
        <r>
          <rPr>
            <sz val="9"/>
            <color indexed="81"/>
            <rFont val="Tahoma"/>
            <family val="2"/>
            <charset val="186"/>
          </rPr>
          <t>Ekologiniame projekte  dalyvauja 45 7-8 klasių mokiniai</t>
        </r>
      </text>
    </comment>
    <comment ref="L54" authorId="1" shapeId="0">
      <text>
        <r>
          <rPr>
            <b/>
            <sz val="9"/>
            <color indexed="81"/>
            <rFont val="Tahoma"/>
            <family val="2"/>
            <charset val="186"/>
          </rPr>
          <t>Ingrida Urbonaviciene:</t>
        </r>
        <r>
          <rPr>
            <sz val="9"/>
            <color indexed="81"/>
            <rFont val="Tahoma"/>
            <family val="2"/>
            <charset val="186"/>
          </rPr>
          <t xml:space="preserve">
18,3 tūkst. edukaciniai</t>
        </r>
      </text>
    </comment>
    <comment ref="G69" authorId="0" shapeId="0">
      <text>
        <r>
          <rPr>
            <sz val="9"/>
            <color indexed="81"/>
            <rFont val="Tahoma"/>
            <family val="2"/>
            <charset val="186"/>
          </rPr>
          <t>"Diegti ir plėtoti nuotolinį mokymą užtikrinant nuosekliojo ir nepertraukiamo mokymosi galimybes pagal bendrojo ugdymo programas"</t>
        </r>
      </text>
    </comment>
    <comment ref="Q76" authorId="0" shapeId="0">
      <text>
        <r>
          <rPr>
            <sz val="9"/>
            <color indexed="81"/>
            <rFont val="Tahoma"/>
            <family val="2"/>
            <charset val="186"/>
          </rPr>
          <t>"Svetliačiok" padėjėjams</t>
        </r>
      </text>
    </comment>
    <comment ref="G99" authorId="0" shapeId="0">
      <text>
        <r>
          <rPr>
            <sz val="9"/>
            <color indexed="81"/>
            <rFont val="Tahoma"/>
            <family val="2"/>
            <charset val="186"/>
          </rPr>
          <t>"Didinti švietimo ir kitų paslaugų mokiniui prieinamumą ir kompleksiškumą diegiant e. paslaugas"</t>
        </r>
      </text>
    </comment>
    <comment ref="F107" authorId="0" shapeId="0">
      <text>
        <r>
          <rPr>
            <sz val="9"/>
            <color indexed="81"/>
            <rFont val="Tahoma"/>
            <family val="2"/>
            <charset val="186"/>
          </rPr>
          <t>Bus draudžiami vaikai</t>
        </r>
      </text>
    </comment>
    <comment ref="F129" authorId="0" shapeId="0">
      <text>
        <r>
          <rPr>
            <sz val="9"/>
            <color indexed="81"/>
            <rFont val="Tahoma"/>
            <family val="2"/>
            <charset val="186"/>
          </rPr>
          <t xml:space="preserve">planuojama imti paskolą iš VIPA
</t>
        </r>
      </text>
    </comment>
    <comment ref="K137" authorId="0" shapeId="0">
      <text>
        <r>
          <rPr>
            <b/>
            <sz val="9"/>
            <color indexed="81"/>
            <rFont val="Tahoma"/>
            <family val="2"/>
            <charset val="186"/>
          </rPr>
          <t>III ketv. ataskaita:</t>
        </r>
        <r>
          <rPr>
            <sz val="9"/>
            <color indexed="81"/>
            <rFont val="Tahoma"/>
            <family val="2"/>
            <charset val="186"/>
          </rPr>
          <t xml:space="preserve">
1. V. Didžiojo gimnazija I ir II etapo darbai baigti 100 proc. 
2. Žemynos gimnazija atlikta (5 sporto aikštelės) - 60 proc.
3. Vydūno gimnazijos atlikta (1 sporto aikštelė) - 70 proc.
4. Verdenės progimnazija atlikta (sporto aikštynas)-parengtas projektas, įkeltas į infostatybą.
5. H. Zudermano gimnazija atlikta (2 sporto aikštelės) - 50 proc. 
</t>
        </r>
        <r>
          <rPr>
            <u/>
            <sz val="9"/>
            <color indexed="81"/>
            <rFont val="Tahoma"/>
            <family val="2"/>
            <charset val="186"/>
          </rPr>
          <t>6. Gedminų progimnazija atlikta (2 sporto aikštelės) - 50 proc.</t>
        </r>
        <r>
          <rPr>
            <sz val="9"/>
            <color indexed="81"/>
            <rFont val="Tahoma"/>
            <family val="2"/>
            <charset val="186"/>
          </rPr>
          <t xml:space="preserve">
Panaudota </t>
        </r>
        <r>
          <rPr>
            <b/>
            <sz val="9"/>
            <color indexed="81"/>
            <rFont val="Tahoma"/>
            <family val="2"/>
            <charset val="186"/>
          </rPr>
          <t>575,8 tūkst. Eur</t>
        </r>
      </text>
    </comment>
    <comment ref="P137" authorId="0" shapeId="0">
      <text>
        <r>
          <rPr>
            <sz val="9"/>
            <color indexed="81"/>
            <rFont val="Tahoma"/>
            <family val="2"/>
            <charset val="186"/>
          </rPr>
          <t>1) Gedminų progimnazija (86 t.€)
2) „Verdenės“ progimnazija (500 t.€)
3) Vytauto Didžiojo gimnazija (306,3 t.€)
4) Žemynos gimnazija  (230 t.€)
5) Vydūno gimnazija (40 t.€)
6</t>
        </r>
        <r>
          <rPr>
            <u/>
            <sz val="9"/>
            <color indexed="81"/>
            <rFont val="Tahoma"/>
            <family val="2"/>
            <charset val="186"/>
          </rPr>
          <t>) Hermano Zudermano gimnazija (130 t.€)</t>
        </r>
        <r>
          <rPr>
            <sz val="9"/>
            <color indexed="81"/>
            <rFont val="Tahoma"/>
            <family val="2"/>
            <charset val="186"/>
          </rPr>
          <t xml:space="preserve">
Iš viso: 1292,3 t.€
</t>
        </r>
      </text>
    </comment>
    <comment ref="Q137" authorId="0" shapeId="0">
      <text>
        <r>
          <rPr>
            <sz val="9"/>
            <color indexed="81"/>
            <rFont val="Tahoma"/>
            <family val="2"/>
            <charset val="186"/>
          </rPr>
          <t xml:space="preserve">Verdenės progimnazija (377,2 t.€)
Simono Dacho progimnazija (250 t.€)
</t>
        </r>
        <r>
          <rPr>
            <u/>
            <sz val="9"/>
            <color indexed="81"/>
            <rFont val="Tahoma"/>
            <family val="2"/>
            <charset val="186"/>
          </rPr>
          <t>„Vyturio“ progimnazija (123 t.€)</t>
        </r>
        <r>
          <rPr>
            <sz val="9"/>
            <color indexed="81"/>
            <rFont val="Tahoma"/>
            <family val="2"/>
            <charset val="186"/>
          </rPr>
          <t xml:space="preserve">
Iš viso: 750,2 t. €</t>
        </r>
      </text>
    </comment>
    <comment ref="R137" authorId="0" shapeId="0">
      <text>
        <r>
          <rPr>
            <sz val="9"/>
            <color indexed="81"/>
            <rFont val="Tahoma"/>
            <family val="2"/>
            <charset val="186"/>
          </rPr>
          <t xml:space="preserve">Vitės pagrindinė mokykla - 600 t. € (tech.projektą darys KLASCO) 
</t>
        </r>
        <r>
          <rPr>
            <u/>
            <sz val="9"/>
            <color indexed="81"/>
            <rFont val="Tahoma"/>
            <family val="2"/>
            <charset val="186"/>
          </rPr>
          <t>Maksimo Gorkio progimnazija - 270 t. Eur</t>
        </r>
        <r>
          <rPr>
            <sz val="9"/>
            <color indexed="81"/>
            <rFont val="Tahoma"/>
            <family val="2"/>
            <charset val="186"/>
          </rPr>
          <t xml:space="preserve"> 
Iš viso: 870 tūkst. Eur</t>
        </r>
      </text>
    </comment>
    <comment ref="S137" authorId="0" shapeId="0">
      <text>
        <r>
          <rPr>
            <sz val="9"/>
            <color indexed="81"/>
            <rFont val="Tahoma"/>
            <family val="2"/>
            <charset val="186"/>
          </rPr>
          <t>Sendvario progimnazija - 520  t. €
H. Zudermano</t>
        </r>
        <r>
          <rPr>
            <u/>
            <sz val="9"/>
            <color indexed="81"/>
            <rFont val="Tahoma"/>
            <family val="2"/>
            <charset val="186"/>
          </rPr>
          <t xml:space="preserve"> gimnazija - 670  t. €</t>
        </r>
        <r>
          <rPr>
            <b/>
            <sz val="9"/>
            <color indexed="81"/>
            <rFont val="Tahoma"/>
            <family val="2"/>
            <charset val="186"/>
          </rPr>
          <t xml:space="preserve">
</t>
        </r>
        <r>
          <rPr>
            <sz val="9"/>
            <color indexed="81"/>
            <rFont val="Tahoma"/>
            <family val="2"/>
            <charset val="186"/>
          </rPr>
          <t>Iš viso: 1190 tūkst. Eur</t>
        </r>
      </text>
    </comment>
    <comment ref="P138" authorId="0" shapeId="0">
      <text>
        <r>
          <rPr>
            <sz val="9"/>
            <color indexed="81"/>
            <rFont val="Tahoma"/>
            <family val="2"/>
            <charset val="186"/>
          </rPr>
          <t xml:space="preserve">1) „Verdenės“ progimnazijoje,
2) S. Dacho progimnazijoje (15 t.€)
</t>
        </r>
      </text>
    </comment>
    <comment ref="Q138" authorId="0" shapeId="0">
      <text>
        <r>
          <rPr>
            <sz val="9"/>
            <color indexed="81"/>
            <rFont val="Tahoma"/>
            <family val="2"/>
            <charset val="186"/>
          </rPr>
          <t xml:space="preserve">H. Zudermano gimnazijoje - 20 tūkst. Eur, 
</t>
        </r>
      </text>
    </comment>
    <comment ref="R138" authorId="0" shapeId="0">
      <text>
        <r>
          <rPr>
            <sz val="9"/>
            <color indexed="81"/>
            <rFont val="Tahoma"/>
            <family val="2"/>
            <charset val="186"/>
          </rPr>
          <t>Sendvario progimnazija</t>
        </r>
      </text>
    </comment>
    <comment ref="F156" authorId="0" shapeId="0">
      <text>
        <r>
          <rPr>
            <sz val="9"/>
            <color indexed="81"/>
            <rFont val="Tahoma"/>
            <family val="2"/>
            <charset val="186"/>
          </rPr>
          <t>Buvęs pavadinimas "BĮ Klaipėdos lopšelio-darželio „Svirpliukas“ (Liepų g. 43A) pastato energinio efektyvumo didinimas" pakeistas, atsižvelgiant į pasirašomą ES finansavimo sutartį</t>
        </r>
      </text>
    </comment>
    <comment ref="Q160" authorId="0" shapeId="0">
      <text>
        <r>
          <rPr>
            <sz val="9"/>
            <color indexed="81"/>
            <rFont val="Tahoma"/>
            <family val="2"/>
            <charset val="186"/>
          </rPr>
          <t xml:space="preserve">m/d "Saulutė" ir l/d "Vėrinėlis"
</t>
        </r>
      </text>
    </comment>
    <comment ref="K176" authorId="0" shapeId="0">
      <text>
        <r>
          <rPr>
            <sz val="9"/>
            <color indexed="81"/>
            <rFont val="Tahoma"/>
            <family val="2"/>
            <charset val="186"/>
          </rPr>
          <t xml:space="preserve">2018 m. - "Savivaldybės ikimokyklinio ugdymo įstaigų sporto aikštelių dangos atnaujinimas (2018 m. – l.-d. „Ąžuoliukas“, „Dobiliukas“ ir „Traukinukas“)" - 48,2 tūkst. Eur
</t>
        </r>
      </text>
    </comment>
    <comment ref="F212" authorId="0" shapeId="0">
      <text>
        <r>
          <rPr>
            <sz val="9"/>
            <color indexed="81"/>
            <rFont val="Tahoma"/>
            <family val="2"/>
            <charset val="186"/>
          </rPr>
          <t xml:space="preserve">2018 m. – l.-d. „Berželis“, „Kregždutė“, „Ąžuoliukas“, „Aitvarėlis“, „Žemuogėlė“,  „Nykštukas“, „Žilvitis“, „Pumpurėlis“, „Pagrandukas“, „Eglutė“, Klaipėdos karalienės Luizės jaunimo centras, 3–6 švietimo įstaigų buitinių tinklų remontas
</t>
        </r>
      </text>
    </comment>
    <comment ref="Q215" authorId="0" shapeId="0">
      <text>
        <r>
          <rPr>
            <sz val="9"/>
            <color indexed="81"/>
            <rFont val="Tahoma"/>
            <family val="2"/>
            <charset val="186"/>
          </rPr>
          <t xml:space="preserve">l/d "Varpelis", "Pingvinukas" ir "Du gaideliai"
</t>
        </r>
      </text>
    </comment>
    <comment ref="Q217" authorId="0" shapeId="0">
      <text>
        <r>
          <rPr>
            <sz val="9"/>
            <color indexed="81"/>
            <rFont val="Tahoma"/>
            <family val="2"/>
            <charset val="186"/>
          </rPr>
          <t xml:space="preserve">l/d "Alksniukas", "Klevelis", "Pingvinukas", "Sakalėlis", "Švyturėlis", "Vėrinėlis" ir "Žemuogėlė"
</t>
        </r>
      </text>
    </comment>
    <comment ref="Q221" authorId="0" shapeId="0">
      <text>
        <r>
          <rPr>
            <sz val="9"/>
            <color indexed="81"/>
            <rFont val="Tahoma"/>
            <family val="2"/>
            <charset val="186"/>
          </rPr>
          <t xml:space="preserve">„Varpo“ gimnazija, S. Dacho progimnazija, L/d „Varpelis“, „Berželis“, „Alksniukas“, „Du  gaideliai“, „Putinėlis“, „Bangelė“, „Pumpurėlis“, „Pagrandukas“, „Inkarėlis“, “Linelis“ ir „Nykštukas“
</t>
        </r>
      </text>
    </comment>
    <comment ref="F222" authorId="0" shapeId="0">
      <text>
        <r>
          <rPr>
            <sz val="9"/>
            <color indexed="81"/>
            <rFont val="Tahoma"/>
            <family val="2"/>
            <charset val="186"/>
          </rPr>
          <t xml:space="preserve">2017 m. – „Varpo“ gimnazijos aktų salės ir bibliotekos remontas, 2018 m. – Sendvario progimnazijos bendro naudojimo koridorių remontas </t>
        </r>
      </text>
    </comment>
    <comment ref="Q223" authorId="0" shapeId="0">
      <text>
        <r>
          <rPr>
            <sz val="9"/>
            <color indexed="81"/>
            <rFont val="Tahoma"/>
            <family val="2"/>
            <charset val="186"/>
          </rPr>
          <t xml:space="preserve">l/d "Liepaitė", "Pingvinukas", "Rūta", "Boružėlė", "Eglutė", Zudermano, Vydūno gimnazijos, Gabijos progimnazija, Sendvario m-kla, klubas "Draugystė"
</t>
        </r>
      </text>
    </comment>
    <comment ref="P224" authorId="0" shapeId="0">
      <text>
        <r>
          <rPr>
            <sz val="9"/>
            <color indexed="81"/>
            <rFont val="Tahoma"/>
            <family val="2"/>
            <charset val="186"/>
          </rPr>
          <t>2018 m. - l/d „Berželis“, „Du gaideliai“, „Giliukas“, „Pumpurėlis“, „Dobiliukas“, „Radastėlė“, "Žilvitis", "Sakalėlis", "Berželis", "Pagrandukas", "Švyturėlis", Simono Dacho, Zudermano  progimnazijos, "Baltijos" gimnazija, klubai „Saulutė“, „Liepsnelė“, Žuvėdra</t>
        </r>
      </text>
    </comment>
    <comment ref="Q224" authorId="2" shapeId="0">
      <text>
        <r>
          <rPr>
            <b/>
            <sz val="9"/>
            <color indexed="81"/>
            <rFont val="Tahoma"/>
            <family val="2"/>
            <charset val="186"/>
          </rPr>
          <t>Inga Mikalauskiene:</t>
        </r>
        <r>
          <rPr>
            <sz val="9"/>
            <color indexed="81"/>
            <rFont val="Tahoma"/>
            <family val="2"/>
            <charset val="186"/>
          </rPr>
          <t xml:space="preserve">
2019 m. - l/d "Ąžuoliukas", "Žuvėdra", "Radastėlė", "Žemuogėlė", "Linelis", "Šermukšnėlė", "Traukinukas", "Versmė", RUC, Gedminų prog., H. Zudermano gimnazija, klubas "Žuvėdra"</t>
        </r>
      </text>
    </comment>
    <comment ref="F225" authorId="0" shapeId="0">
      <text>
        <r>
          <rPr>
            <sz val="9"/>
            <color indexed="81"/>
            <rFont val="Tahoma"/>
            <family val="2"/>
            <charset val="186"/>
          </rPr>
          <t xml:space="preserve">2018 m. – „Žaliakalnio“ gimnazijos, l.-d. „Pingvinukas“ ir „Radastėlė“
</t>
        </r>
      </text>
    </comment>
    <comment ref="G225" authorId="0" shapeId="0">
      <text>
        <r>
          <rPr>
            <sz val="9"/>
            <color indexed="81"/>
            <rFont val="Tahoma"/>
            <family val="2"/>
            <charset val="186"/>
          </rPr>
          <t>"Kompleksiškai sutvarkyti bendrojo ugdymo mokyklų ir ikimokyklinio ugdymo įstaigų teritorijas"</t>
        </r>
      </text>
    </comment>
    <comment ref="P226" authorId="2" shapeId="0">
      <text>
        <r>
          <rPr>
            <b/>
            <sz val="9"/>
            <color indexed="81"/>
            <rFont val="Tahoma"/>
            <family val="2"/>
            <charset val="186"/>
          </rPr>
          <t>Inga Mikalauskiene:</t>
        </r>
        <r>
          <rPr>
            <sz val="9"/>
            <color indexed="81"/>
            <rFont val="Tahoma"/>
            <family val="2"/>
            <charset val="186"/>
          </rPr>
          <t xml:space="preserve">
2018 m. - "Žaliakalnio" gimnazijos, l/d "Pingvinukas", "Radastėlė" darbai su projekto parengimu</t>
        </r>
      </text>
    </comment>
    <comment ref="Q226" authorId="2" shapeId="0">
      <text>
        <r>
          <rPr>
            <sz val="9"/>
            <color indexed="81"/>
            <rFont val="Tahoma"/>
            <family val="2"/>
            <charset val="186"/>
          </rPr>
          <t>2019 m. - "Aitvaro", Vydūno gimnazijos lauko nuotekų tinklų remontas ir "Žaliakalnio" gimnazijos paviršinių ir buitinių nuotekų tinklų statybos darbai, l/d "Radastėlė" ir "Pingvinukas"</t>
        </r>
      </text>
    </comment>
    <comment ref="Q245" authorId="0" shapeId="0">
      <text>
        <r>
          <rPr>
            <sz val="9"/>
            <color indexed="81"/>
            <rFont val="Tahoma"/>
            <family val="2"/>
            <charset val="186"/>
          </rPr>
          <t xml:space="preserve">l/d „Ąžuoliukas“ ir „Verdenės“ progimnazijos
</t>
        </r>
      </text>
    </comment>
    <comment ref="R245" authorId="0" shapeId="0">
      <text>
        <r>
          <rPr>
            <sz val="9"/>
            <color indexed="81"/>
            <rFont val="Tahoma"/>
            <family val="2"/>
            <charset val="186"/>
          </rPr>
          <t xml:space="preserve">lopšeliuose-darželiuose „Aitvarėlis“ ir "Versmė"
</t>
        </r>
      </text>
    </comment>
  </commentList>
</comments>
</file>

<file path=xl/comments4.xml><?xml version="1.0" encoding="utf-8"?>
<comments xmlns="http://schemas.openxmlformats.org/spreadsheetml/2006/main">
  <authors>
    <author>Snieguole Kacerauskaite</author>
  </authors>
  <commentList>
    <comment ref="R22" authorId="0" shapeId="0">
      <text>
        <r>
          <rPr>
            <sz val="9"/>
            <color indexed="81"/>
            <rFont val="Tahoma"/>
            <family val="2"/>
            <charset val="186"/>
          </rPr>
          <t>m/d „Pakalnutė“ ir „Šaltinėlis“ pakeitė statusą į lopšelį-darželį</t>
        </r>
      </text>
    </comment>
    <comment ref="R25" authorId="0" shapeId="0">
      <text>
        <r>
          <rPr>
            <sz val="9"/>
            <color indexed="81"/>
            <rFont val="Tahoma"/>
            <family val="2"/>
            <charset val="186"/>
          </rPr>
          <t>VšĮ: Mažųjų pasaulis, Jūros žvaigždutė, Pasakėlė, Vaikų giraitė, Saulė ir mėnulis, Laimingų vaikų pilis, Niektauza</t>
        </r>
      </text>
    </comment>
    <comment ref="R28" authorId="0" shapeId="0">
      <text>
        <r>
          <rPr>
            <sz val="9"/>
            <color indexed="81"/>
            <rFont val="Tahoma"/>
            <family val="2"/>
            <charset val="186"/>
          </rPr>
          <t>3 mokyklos-darželiai: „Varpelis“, M. Montesori ir „Saulutė“ ir pradinė m-kla „Gilija</t>
        </r>
        <r>
          <rPr>
            <b/>
            <sz val="9"/>
            <color indexed="81"/>
            <rFont val="Tahoma"/>
            <family val="2"/>
            <charset val="186"/>
          </rPr>
          <t>“</t>
        </r>
        <r>
          <rPr>
            <sz val="9"/>
            <color indexed="81"/>
            <rFont val="Tahoma"/>
            <family val="2"/>
            <charset val="186"/>
          </rPr>
          <t xml:space="preserve">
</t>
        </r>
      </text>
    </comment>
    <comment ref="R35" authorId="0" shapeId="0">
      <text>
        <r>
          <rPr>
            <sz val="9"/>
            <color indexed="81"/>
            <rFont val="Tahoma"/>
            <family val="2"/>
            <charset val="186"/>
          </rPr>
          <t xml:space="preserve">VšĮ: Svetliačiok, Pajūrio Valdorfo bendruomenė, Universa Via, Klaipėdos licėjus, Vaivarykštės tako gimnazija
</t>
        </r>
      </text>
    </comment>
    <comment ref="Q39" authorId="0" shapeId="0">
      <text>
        <r>
          <rPr>
            <sz val="9"/>
            <color indexed="81"/>
            <rFont val="Tahoma"/>
            <family val="2"/>
            <charset val="186"/>
          </rPr>
          <t>Ekologiniame projekte  dalyvauja 45 7-8 klasių mokiniai</t>
        </r>
      </text>
    </comment>
    <comment ref="E62" authorId="0" shapeId="0">
      <text>
        <r>
          <rPr>
            <sz val="9"/>
            <color indexed="81"/>
            <rFont val="Tahoma"/>
            <family val="2"/>
            <charset val="186"/>
          </rPr>
          <t>"Diegti ir plėtoti nuotolinį mokymą užtikrinant nuosekliojo ir nepertraukiamo mokymosi galimybes pagal bendrojo ugdymo programas"</t>
        </r>
      </text>
    </comment>
    <comment ref="E91" authorId="0" shapeId="0">
      <text>
        <r>
          <rPr>
            <sz val="9"/>
            <color indexed="81"/>
            <rFont val="Tahoma"/>
            <family val="2"/>
            <charset val="186"/>
          </rPr>
          <t>"Didinti švietimo ir kitų paslaugų mokiniui prieinamumą ir kompleksiškumą diegiant e. paslaugas"</t>
        </r>
      </text>
    </comment>
    <comment ref="D96" authorId="0" shapeId="0">
      <text>
        <r>
          <rPr>
            <b/>
            <sz val="9"/>
            <color indexed="81"/>
            <rFont val="Tahoma"/>
            <family val="2"/>
            <charset val="186"/>
          </rPr>
          <t>Bus draudžiami vaikai</t>
        </r>
      </text>
    </comment>
    <comment ref="R129" authorId="0" shapeId="0">
      <text>
        <r>
          <rPr>
            <sz val="9"/>
            <color indexed="81"/>
            <rFont val="Tahoma"/>
            <family val="2"/>
            <charset val="186"/>
          </rPr>
          <t xml:space="preserve">1) Gedminų progimnazija (50 t.€)
2) „Verdenės“ progimnazija (700 t.€)
3) „Versmės“ progimnazija (180,7 t.€)
4) Vytauto Didžiojo gimnazija (280 t.€)
5) Žemynos gimnazija  (150 t.€)
6) Vydūno gimnazija (57,65 t.€)
</t>
        </r>
        <r>
          <rPr>
            <u/>
            <sz val="9"/>
            <color indexed="81"/>
            <rFont val="Tahoma"/>
            <family val="2"/>
            <charset val="186"/>
          </rPr>
          <t>7) Hermano Zudermano gimnazija (57,65 t.€)</t>
        </r>
        <r>
          <rPr>
            <sz val="9"/>
            <color indexed="81"/>
            <rFont val="Tahoma"/>
            <family val="2"/>
            <charset val="186"/>
          </rPr>
          <t xml:space="preserve">
</t>
        </r>
        <r>
          <rPr>
            <b/>
            <sz val="9"/>
            <color indexed="81"/>
            <rFont val="Tahoma"/>
            <family val="2"/>
            <charset val="186"/>
          </rPr>
          <t>Iš viso: 1476,1 t.€</t>
        </r>
        <r>
          <rPr>
            <sz val="9"/>
            <color indexed="81"/>
            <rFont val="Tahoma"/>
            <family val="2"/>
            <charset val="186"/>
          </rPr>
          <t xml:space="preserve">
</t>
        </r>
      </text>
    </comment>
    <comment ref="S129" authorId="0" shapeId="0">
      <text>
        <r>
          <rPr>
            <b/>
            <sz val="9"/>
            <color indexed="81"/>
            <rFont val="Tahoma"/>
            <family val="2"/>
            <charset val="186"/>
          </rPr>
          <t>Simono Dacho</t>
        </r>
        <r>
          <rPr>
            <sz val="9"/>
            <color indexed="81"/>
            <rFont val="Tahoma"/>
            <family val="2"/>
            <charset val="186"/>
          </rPr>
          <t xml:space="preserve"> progimnazija (200 t.€)
</t>
        </r>
        <r>
          <rPr>
            <b/>
            <sz val="9"/>
            <color indexed="81"/>
            <rFont val="Tahoma"/>
            <family val="2"/>
            <charset val="186"/>
          </rPr>
          <t>Maksimo Gorkio</t>
        </r>
        <r>
          <rPr>
            <sz val="9"/>
            <color indexed="81"/>
            <rFont val="Tahoma"/>
            <family val="2"/>
            <charset val="186"/>
          </rPr>
          <t xml:space="preserve"> progimnazija (100 t.€)
</t>
        </r>
        <r>
          <rPr>
            <b/>
            <sz val="9"/>
            <color indexed="81"/>
            <rFont val="Tahoma"/>
            <family val="2"/>
            <charset val="186"/>
          </rPr>
          <t>Hermano Zudermano</t>
        </r>
        <r>
          <rPr>
            <sz val="9"/>
            <color indexed="81"/>
            <rFont val="Tahoma"/>
            <family val="2"/>
            <charset val="186"/>
          </rPr>
          <t xml:space="preserve"> gimnazija II etapas (600 t.€) - 2019 m. lengvosios atletikos bėgimo takai, atnaujintas futbolo stadionas
</t>
        </r>
        <r>
          <rPr>
            <b/>
            <sz val="9"/>
            <color indexed="81"/>
            <rFont val="Tahoma"/>
            <family val="2"/>
            <charset val="186"/>
          </rPr>
          <t>Sendvario</t>
        </r>
        <r>
          <rPr>
            <sz val="9"/>
            <color indexed="81"/>
            <rFont val="Tahoma"/>
            <family val="2"/>
            <charset val="186"/>
          </rPr>
          <t xml:space="preserve"> progimnazija (520 t.€)
</t>
        </r>
        <r>
          <rPr>
            <u/>
            <sz val="9"/>
            <color indexed="81"/>
            <rFont val="Tahoma"/>
            <family val="2"/>
            <charset val="186"/>
          </rPr>
          <t>„</t>
        </r>
        <r>
          <rPr>
            <b/>
            <u/>
            <sz val="9"/>
            <color indexed="81"/>
            <rFont val="Tahoma"/>
            <family val="2"/>
            <charset val="186"/>
          </rPr>
          <t>Vyturio“</t>
        </r>
        <r>
          <rPr>
            <u/>
            <sz val="9"/>
            <color indexed="81"/>
            <rFont val="Tahoma"/>
            <family val="2"/>
            <charset val="186"/>
          </rPr>
          <t xml:space="preserve"> progimnazija (80 t.€)</t>
        </r>
        <r>
          <rPr>
            <sz val="9"/>
            <color indexed="81"/>
            <rFont val="Tahoma"/>
            <family val="2"/>
            <charset val="186"/>
          </rPr>
          <t xml:space="preserve">
</t>
        </r>
        <r>
          <rPr>
            <b/>
            <sz val="9"/>
            <color indexed="81"/>
            <rFont val="Tahoma"/>
            <family val="2"/>
            <charset val="186"/>
          </rPr>
          <t>Iš viso: 1500 t. €</t>
        </r>
      </text>
    </comment>
    <comment ref="T129" authorId="0" shapeId="0">
      <text>
        <r>
          <rPr>
            <b/>
            <sz val="9"/>
            <color indexed="81"/>
            <rFont val="Tahoma"/>
            <family val="2"/>
            <charset val="186"/>
          </rPr>
          <t>„Smeltės“</t>
        </r>
        <r>
          <rPr>
            <sz val="9"/>
            <color indexed="81"/>
            <rFont val="Tahoma"/>
            <family val="2"/>
            <charset val="186"/>
          </rPr>
          <t xml:space="preserve"> progimnazija (150 t. €)
</t>
        </r>
        <r>
          <rPr>
            <b/>
            <sz val="9"/>
            <color indexed="81"/>
            <rFont val="Tahoma"/>
            <family val="2"/>
            <charset val="186"/>
          </rPr>
          <t>Santarvės</t>
        </r>
        <r>
          <rPr>
            <sz val="9"/>
            <color indexed="81"/>
            <rFont val="Tahoma"/>
            <family val="2"/>
            <charset val="186"/>
          </rPr>
          <t xml:space="preserve"> progimnazija (50 t. €)
</t>
        </r>
        <r>
          <rPr>
            <b/>
            <sz val="9"/>
            <color indexed="81"/>
            <rFont val="Tahoma"/>
            <family val="2"/>
            <charset val="186"/>
          </rPr>
          <t>Baltijos gimnazija ir Martyno Mažvydo</t>
        </r>
        <r>
          <rPr>
            <sz val="9"/>
            <color indexed="81"/>
            <rFont val="Tahoma"/>
            <family val="2"/>
            <charset val="186"/>
          </rPr>
          <t xml:space="preserve">  progimnazija (450 t. €)
</t>
        </r>
        <r>
          <rPr>
            <b/>
            <sz val="9"/>
            <color indexed="81"/>
            <rFont val="Tahoma"/>
            <family val="2"/>
            <charset val="186"/>
          </rPr>
          <t>Gilijos</t>
        </r>
        <r>
          <rPr>
            <sz val="9"/>
            <color indexed="81"/>
            <rFont val="Tahoma"/>
            <family val="2"/>
            <charset val="186"/>
          </rPr>
          <t xml:space="preserve"> pradinė mokykla (500 t.€) (naudojasi kartu su Vydūno gimnazija)
</t>
        </r>
        <r>
          <rPr>
            <b/>
            <u/>
            <sz val="9"/>
            <color indexed="81"/>
            <rFont val="Tahoma"/>
            <family val="2"/>
            <charset val="186"/>
          </rPr>
          <t>„Varpo“</t>
        </r>
        <r>
          <rPr>
            <u/>
            <sz val="9"/>
            <color indexed="81"/>
            <rFont val="Tahoma"/>
            <family val="2"/>
            <charset val="186"/>
          </rPr>
          <t xml:space="preserve"> gimnazija (350 t.€)</t>
        </r>
        <r>
          <rPr>
            <sz val="9"/>
            <color indexed="81"/>
            <rFont val="Tahoma"/>
            <family val="2"/>
            <charset val="186"/>
          </rPr>
          <t xml:space="preserve">
</t>
        </r>
        <r>
          <rPr>
            <b/>
            <sz val="9"/>
            <color indexed="81"/>
            <rFont val="Tahoma"/>
            <family val="2"/>
            <charset val="186"/>
          </rPr>
          <t>Iš viso: 1.500 tūkst. Eur</t>
        </r>
      </text>
    </comment>
    <comment ref="R130" authorId="0" shapeId="0">
      <text>
        <r>
          <rPr>
            <sz val="9"/>
            <color indexed="81"/>
            <rFont val="Tahoma"/>
            <family val="2"/>
            <charset val="186"/>
          </rPr>
          <t xml:space="preserve">1) „Verdenės“ progimnazijoje,
2) Simono Dacho progimnazijoje (12 t.€)
</t>
        </r>
      </text>
    </comment>
    <comment ref="S130" authorId="0" shapeId="0">
      <text>
        <r>
          <rPr>
            <sz val="9"/>
            <color indexed="81"/>
            <rFont val="Tahoma"/>
            <family val="2"/>
            <charset val="186"/>
          </rPr>
          <t xml:space="preserve">1) Hermano Zudermano gimnazijoje, 
2) Sendvario progimnazija,
</t>
        </r>
      </text>
    </comment>
    <comment ref="T130" authorId="0" shapeId="0">
      <text>
        <r>
          <rPr>
            <b/>
            <sz val="9"/>
            <color indexed="81"/>
            <rFont val="Tahoma"/>
            <family val="2"/>
            <charset val="186"/>
          </rPr>
          <t>- Baltijos gimnazija ir Martyno Mažvydo</t>
        </r>
        <r>
          <rPr>
            <sz val="9"/>
            <color indexed="81"/>
            <rFont val="Tahoma"/>
            <family val="2"/>
            <charset val="186"/>
          </rPr>
          <t xml:space="preserve"> progimnazija  (naudojasi vienu stadionu),</t>
        </r>
        <r>
          <rPr>
            <b/>
            <sz val="9"/>
            <color indexed="81"/>
            <rFont val="Tahoma"/>
            <family val="2"/>
            <charset val="186"/>
          </rPr>
          <t xml:space="preserve">
- Gilijos </t>
        </r>
        <r>
          <rPr>
            <sz val="9"/>
            <color indexed="81"/>
            <rFont val="Tahoma"/>
            <family val="2"/>
            <charset val="186"/>
          </rPr>
          <t>pradinė mokykla (naudojasi kartu su Vydūno gimnazija),
- „</t>
        </r>
        <r>
          <rPr>
            <b/>
            <sz val="9"/>
            <color indexed="81"/>
            <rFont val="Tahoma"/>
            <family val="2"/>
            <charset val="186"/>
          </rPr>
          <t>Varpo</t>
        </r>
        <r>
          <rPr>
            <sz val="9"/>
            <color indexed="81"/>
            <rFont val="Tahoma"/>
            <family val="2"/>
            <charset val="186"/>
          </rPr>
          <t xml:space="preserve">“ gimnazija
</t>
        </r>
      </text>
    </comment>
    <comment ref="G142" authorId="0" shapeId="0">
      <text>
        <r>
          <rPr>
            <b/>
            <sz val="9"/>
            <color indexed="81"/>
            <rFont val="Tahoma"/>
            <family val="2"/>
            <charset val="186"/>
          </rPr>
          <t>Vienuolių lėšos</t>
        </r>
        <r>
          <rPr>
            <sz val="9"/>
            <color indexed="81"/>
            <rFont val="Tahoma"/>
            <family val="2"/>
            <charset val="186"/>
          </rPr>
          <t xml:space="preserve">
</t>
        </r>
      </text>
    </comment>
    <comment ref="S164" authorId="0" shapeId="0">
      <text>
        <r>
          <rPr>
            <b/>
            <sz val="9"/>
            <color indexed="81"/>
            <rFont val="Tahoma"/>
            <family val="2"/>
            <charset val="186"/>
          </rPr>
          <t>Snieguole Kacerauskaite:</t>
        </r>
        <r>
          <rPr>
            <sz val="9"/>
            <color indexed="81"/>
            <rFont val="Tahoma"/>
            <family val="2"/>
            <charset val="186"/>
          </rPr>
          <t xml:space="preserve">
l/d „Volungėlė“, „Vyturėlis“, „Čiauškutė“, „Papartėlis“ ir „Pingvinukas“</t>
        </r>
      </text>
    </comment>
    <comment ref="T164" authorId="0" shapeId="0">
      <text>
        <r>
          <rPr>
            <b/>
            <sz val="9"/>
            <color indexed="81"/>
            <rFont val="Tahoma"/>
            <family val="2"/>
            <charset val="186"/>
          </rPr>
          <t>Snieguole Kacerauskaite:</t>
        </r>
        <r>
          <rPr>
            <sz val="9"/>
            <color indexed="81"/>
            <rFont val="Tahoma"/>
            <family val="2"/>
            <charset val="186"/>
          </rPr>
          <t xml:space="preserve">
l/d „Bitutė“, „Rūta“, „Nykštukas“, „Pumpurėlis“, „Žiogelis“ ir „Linelis“</t>
        </r>
      </text>
    </comment>
    <comment ref="D174" authorId="0" shapeId="0">
      <text>
        <r>
          <rPr>
            <b/>
            <sz val="9"/>
            <color indexed="81"/>
            <rFont val="Tahoma"/>
            <family val="2"/>
            <charset val="186"/>
          </rPr>
          <t>2017 m. - Luizės jaunimo centras</t>
        </r>
        <r>
          <rPr>
            <sz val="9"/>
            <color indexed="81"/>
            <rFont val="Tahoma"/>
            <family val="2"/>
            <charset val="186"/>
          </rPr>
          <t xml:space="preserve">
</t>
        </r>
      </text>
    </comment>
    <comment ref="R195" authorId="0" shapeId="0">
      <text>
        <r>
          <rPr>
            <b/>
            <sz val="9"/>
            <color indexed="81"/>
            <rFont val="Tahoma"/>
            <family val="2"/>
            <charset val="186"/>
          </rPr>
          <t xml:space="preserve"> l/d „Berželis“ </t>
        </r>
        <r>
          <rPr>
            <sz val="9"/>
            <color indexed="81"/>
            <rFont val="Tahoma"/>
            <family val="2"/>
            <charset val="186"/>
          </rPr>
          <t xml:space="preserve">- virtuvės remontas,
</t>
        </r>
        <r>
          <rPr>
            <b/>
            <sz val="9"/>
            <color indexed="81"/>
            <rFont val="Tahoma"/>
            <family val="2"/>
            <charset val="186"/>
          </rPr>
          <t>„Kregždutė“</t>
        </r>
        <r>
          <rPr>
            <sz val="9"/>
            <color indexed="81"/>
            <rFont val="Tahoma"/>
            <family val="2"/>
            <charset val="186"/>
          </rPr>
          <t xml:space="preserve"> - laiptinės ir koridoriaus remontas,
</t>
        </r>
        <r>
          <rPr>
            <b/>
            <sz val="9"/>
            <color indexed="81"/>
            <rFont val="Tahoma"/>
            <family val="2"/>
            <charset val="186"/>
          </rPr>
          <t>„Ąžuoliukas“</t>
        </r>
        <r>
          <rPr>
            <sz val="9"/>
            <color indexed="81"/>
            <rFont val="Tahoma"/>
            <family val="2"/>
            <charset val="186"/>
          </rPr>
          <t xml:space="preserve"> - 2 a. grindų remontas,
</t>
        </r>
        <r>
          <rPr>
            <b/>
            <sz val="9"/>
            <color indexed="81"/>
            <rFont val="Tahoma"/>
            <family val="2"/>
            <charset val="186"/>
          </rPr>
          <t>„Aitvarėlis“</t>
        </r>
        <r>
          <rPr>
            <sz val="9"/>
            <color indexed="81"/>
            <rFont val="Tahoma"/>
            <family val="2"/>
            <charset val="186"/>
          </rPr>
          <t xml:space="preserve"> - fasado remontas, 
</t>
        </r>
        <r>
          <rPr>
            <b/>
            <sz val="9"/>
            <color indexed="81"/>
            <rFont val="Tahoma"/>
            <family val="2"/>
            <charset val="186"/>
          </rPr>
          <t>„Žemuogėlė“</t>
        </r>
        <r>
          <rPr>
            <sz val="9"/>
            <color indexed="81"/>
            <rFont val="Tahoma"/>
            <family val="2"/>
            <charset val="186"/>
          </rPr>
          <t xml:space="preserve"> - virtuvės ventiliacijos remontas, 
</t>
        </r>
        <r>
          <rPr>
            <b/>
            <sz val="9"/>
            <color indexed="81"/>
            <rFont val="Tahoma"/>
            <family val="2"/>
            <charset val="186"/>
          </rPr>
          <t>„Nykštukas“</t>
        </r>
        <r>
          <rPr>
            <sz val="9"/>
            <color indexed="81"/>
            <rFont val="Tahoma"/>
            <family val="2"/>
            <charset val="186"/>
          </rPr>
          <t xml:space="preserve"> - laiptinių ir grindų remontas, 
</t>
        </r>
        <r>
          <rPr>
            <b/>
            <sz val="9"/>
            <color indexed="81"/>
            <rFont val="Tahoma"/>
            <family val="2"/>
            <charset val="186"/>
          </rPr>
          <t>„Žilvitis“</t>
        </r>
        <r>
          <rPr>
            <sz val="9"/>
            <color indexed="81"/>
            <rFont val="Tahoma"/>
            <family val="2"/>
            <charset val="186"/>
          </rPr>
          <t xml:space="preserve"> - laiptinių remontas,
</t>
        </r>
        <r>
          <rPr>
            <b/>
            <sz val="9"/>
            <color indexed="81"/>
            <rFont val="Tahoma"/>
            <family val="2"/>
            <charset val="186"/>
          </rPr>
          <t>„Pumpurėlis“</t>
        </r>
        <r>
          <rPr>
            <sz val="9"/>
            <color indexed="81"/>
            <rFont val="Tahoma"/>
            <family val="2"/>
            <charset val="186"/>
          </rPr>
          <t xml:space="preserve"> - grindų remontas,
„Pagrandukas“ - stogo remontas,
„Eglutė“ - paprastasis remontas,
</t>
        </r>
        <r>
          <rPr>
            <b/>
            <sz val="9"/>
            <color indexed="81"/>
            <rFont val="Tahoma"/>
            <family val="2"/>
            <charset val="186"/>
          </rPr>
          <t>Luizės jaunimo centras</t>
        </r>
        <r>
          <rPr>
            <sz val="9"/>
            <color indexed="81"/>
            <rFont val="Tahoma"/>
            <family val="2"/>
            <charset val="186"/>
          </rPr>
          <t xml:space="preserve"> - Atvirų jaunimo erdvių patalpų remontas
</t>
        </r>
      </text>
    </comment>
    <comment ref="D204" authorId="0" shapeId="0">
      <text>
        <r>
          <rPr>
            <sz val="9"/>
            <color indexed="81"/>
            <rFont val="Tahoma"/>
            <family val="2"/>
            <charset val="186"/>
          </rPr>
          <t xml:space="preserve">2017 m. – „Varpo“ gimnazijos aktų salės ir bibliotekos remontas </t>
        </r>
      </text>
    </comment>
    <comment ref="R206" authorId="0" shapeId="0">
      <text>
        <r>
          <rPr>
            <sz val="9"/>
            <color indexed="81"/>
            <rFont val="Tahoma"/>
            <family val="2"/>
            <charset val="186"/>
          </rPr>
          <t>2018 m. - l/d „Berželis“, „Du gaideliai“, „Giliukas“, „Pumpurėlis“, „Dobiliukas“, „Radastėlė“, Simono Dacho progimnazija, "Baltijos" gimnazija, klubai „Saulutė“ ir „Liepsnelė“</t>
        </r>
      </text>
    </comment>
    <comment ref="E207" authorId="0" shapeId="0">
      <text>
        <r>
          <rPr>
            <sz val="9"/>
            <color indexed="81"/>
            <rFont val="Tahoma"/>
            <family val="2"/>
            <charset val="186"/>
          </rPr>
          <t>"Kompleksiškai sutvarkyti bendrojo ugdymo mokyklų ir ikimokyklinio ugdymo įstaigų teritorijas"</t>
        </r>
      </text>
    </comment>
    <comment ref="E210" authorId="0" shapeId="0">
      <text>
        <r>
          <rPr>
            <sz val="9"/>
            <color indexed="81"/>
            <rFont val="Tahoma"/>
            <family val="2"/>
            <charset val="186"/>
          </rPr>
          <t>"Kompleksiškai sutvarkyti bendrojo ugdymo mokyklų ir ikimokyklinio ugdymo įstaigų teritorijas"</t>
        </r>
      </text>
    </comment>
  </commentList>
</comments>
</file>

<file path=xl/sharedStrings.xml><?xml version="1.0" encoding="utf-8"?>
<sst xmlns="http://schemas.openxmlformats.org/spreadsheetml/2006/main" count="2869" uniqueCount="820">
  <si>
    <t>Finansavimo šaltinių suvestinė</t>
  </si>
  <si>
    <t>Finansavimo šaltiniai</t>
  </si>
  <si>
    <t>I</t>
  </si>
  <si>
    <t>LRVB</t>
  </si>
  <si>
    <t>ES</t>
  </si>
  <si>
    <t>10</t>
  </si>
  <si>
    <t>Iš viso tikslui:</t>
  </si>
  <si>
    <t>Iš viso programai:</t>
  </si>
  <si>
    <t>Programos tikslo kodas</t>
  </si>
  <si>
    <t>Uždavinio kodas</t>
  </si>
  <si>
    <t>Priemonės kodas</t>
  </si>
  <si>
    <t>Priemonės požymis</t>
  </si>
  <si>
    <t>Asignavimų valdytojo kodas</t>
  </si>
  <si>
    <t>Finansavimo šaltinis</t>
  </si>
  <si>
    <t>01</t>
  </si>
  <si>
    <t>SB</t>
  </si>
  <si>
    <t>Iš viso:</t>
  </si>
  <si>
    <t>02</t>
  </si>
  <si>
    <t>SB(VB)</t>
  </si>
  <si>
    <t>03</t>
  </si>
  <si>
    <t>Iš viso uždaviniui:</t>
  </si>
  <si>
    <t>04</t>
  </si>
  <si>
    <t>05</t>
  </si>
  <si>
    <t>Pavadinimas</t>
  </si>
  <si>
    <t>SAVIVALDYBĖS  LĖŠOS, IŠ VISO:</t>
  </si>
  <si>
    <t>KITI ŠALTINIAI, IŠ VISO:</t>
  </si>
  <si>
    <t>IŠ VISO:</t>
  </si>
  <si>
    <r>
      <t xml:space="preserve">Savivaldybės biudžeto lėšos </t>
    </r>
    <r>
      <rPr>
        <b/>
        <sz val="10"/>
        <rFont val="Times New Roman"/>
        <family val="1"/>
      </rPr>
      <t>SB</t>
    </r>
  </si>
  <si>
    <r>
      <t xml:space="preserve">Valstybės biudžeto specialiosios tikslinės dotacijos lėšos </t>
    </r>
    <r>
      <rPr>
        <b/>
        <sz val="10"/>
        <rFont val="Times New Roman"/>
        <family val="1"/>
      </rPr>
      <t>SB(VB)</t>
    </r>
  </si>
  <si>
    <r>
      <t xml:space="preserve">Europos Sąjungos paramos lėšos </t>
    </r>
    <r>
      <rPr>
        <b/>
        <sz val="10"/>
        <rFont val="Times New Roman"/>
        <family val="1"/>
      </rPr>
      <t>ES</t>
    </r>
  </si>
  <si>
    <t>UGDYMO PROCESO UŽTIKRINIMO PROGRAMOS (NR. 10)</t>
  </si>
  <si>
    <t>10 Ugdymo proceso užtikrinimo programa</t>
  </si>
  <si>
    <r>
      <t xml:space="preserve">Pajamų įmokos už paslaugas </t>
    </r>
    <r>
      <rPr>
        <b/>
        <sz val="10"/>
        <rFont val="Times New Roman"/>
        <family val="1"/>
      </rPr>
      <t>SB(SP)</t>
    </r>
  </si>
  <si>
    <t>Renovuoti ugdymo įstaigų pastatus ir patalpas</t>
  </si>
  <si>
    <t>Organizuoti materialinį, ūkinį ir techninį ugdymo įstaigų aptarnavimą</t>
  </si>
  <si>
    <t>Ugdymo įstaigų ūkinio aptarnavimo organizavimas:</t>
  </si>
  <si>
    <t>Užtikrinti kokybišką ugdymo proceso organizavimą</t>
  </si>
  <si>
    <t>Gerinti ugdymo sąlygas ir aplinką</t>
  </si>
  <si>
    <t>Mokinių pavėžėjimo užtikrinimas</t>
  </si>
  <si>
    <t>Ryšių kabelių kanalų nuoma</t>
  </si>
  <si>
    <t>Šilumos ir karšto vandens tiekimo sistemų renovacija ir remontas</t>
  </si>
  <si>
    <t>Švietimo įstaigų pastatų apsauga</t>
  </si>
  <si>
    <t>Priešgaisrinių reikalavimų vykdymas švietimo įstaigose</t>
  </si>
  <si>
    <t>Kabelio tinklo ilgis, km</t>
  </si>
  <si>
    <t>SB(SP)</t>
  </si>
  <si>
    <t>Veiklos organizavimo užtikrinimas švietimo įstaigose:</t>
  </si>
  <si>
    <t>1.4.1.9.</t>
  </si>
  <si>
    <t>1.4.3.3.</t>
  </si>
  <si>
    <t>1.4.1.8.</t>
  </si>
  <si>
    <t>1.4.3.5.</t>
  </si>
  <si>
    <t>Švietimo įstaigų sanitarinių patalpų remontas</t>
  </si>
  <si>
    <r>
      <t xml:space="preserve">BĮ Klaipėdos pedagoginės psichologinės tarnybos </t>
    </r>
    <r>
      <rPr>
        <sz val="10"/>
        <rFont val="Times New Roman"/>
        <family val="1"/>
        <charset val="186"/>
      </rPr>
      <t>veiklos užtikrinimas</t>
    </r>
  </si>
  <si>
    <t>Kt</t>
  </si>
  <si>
    <r>
      <t xml:space="preserve">Kiti finansavimo šaltiniai </t>
    </r>
    <r>
      <rPr>
        <b/>
        <sz val="10"/>
        <rFont val="Times New Roman"/>
        <family val="1"/>
        <charset val="186"/>
      </rPr>
      <t>Kt</t>
    </r>
  </si>
  <si>
    <t>Iš viso priemonei:</t>
  </si>
  <si>
    <t xml:space="preserve"> TIKSLŲ, UŽDAVINIŲ, PRIEMONIŲ, PRIEMONIŲ IŠLAIDŲ IR PRODUKTO KRITERIJŲ SUVESTINĖ</t>
  </si>
  <si>
    <t>Parengtas techninis projektas, vnt.</t>
  </si>
  <si>
    <t>Vasaros poilsio organizavimas</t>
  </si>
  <si>
    <t xml:space="preserve">Brandos egzaminų administravimas </t>
  </si>
  <si>
    <t>Planas</t>
  </si>
  <si>
    <t>2018-ieji metai</t>
  </si>
  <si>
    <t>Švietimo įstaigų elektros instaliacijos remontas</t>
  </si>
  <si>
    <t xml:space="preserve">Parengtas techninis projektas, vnt.  </t>
  </si>
  <si>
    <t>Atlikta statybos darbų, proc.</t>
  </si>
  <si>
    <t>Parengtas techninis projektas</t>
  </si>
  <si>
    <t xml:space="preserve">Atlikta modernizavimo darbų, proc.
</t>
  </si>
  <si>
    <t>SB(SPL)</t>
  </si>
  <si>
    <t xml:space="preserve">03 Strateginis tikslas. Užtikrinti gyventojams aukštą švietimo, kultūros, socialinių, sporto ir sveikatos apsaugos paslaugų kokybę ir prieinamumą </t>
  </si>
  <si>
    <t>Savivaldybės administracijos vaiko gerovės komisijos veiklos užtikrinimas</t>
  </si>
  <si>
    <t>Nuotolinio mokymo savivaldybės švietimo įstaigose diegimas ir plėtojimas</t>
  </si>
  <si>
    <t>Įsigyta įrengimų, vnt.</t>
  </si>
  <si>
    <r>
      <t xml:space="preserve">Pajamų imokų likutis </t>
    </r>
    <r>
      <rPr>
        <b/>
        <sz val="10"/>
        <rFont val="Times New Roman"/>
        <family val="1"/>
        <charset val="186"/>
      </rPr>
      <t>SB(SPL)</t>
    </r>
  </si>
  <si>
    <t>Sudaryti sąlygas ugdytis ir gerinti ugdymo proceso kokybę</t>
  </si>
  <si>
    <t xml:space="preserve">Aprūpinti švietimo įstaigas reikalingu inventoriumi  </t>
  </si>
  <si>
    <r>
      <t xml:space="preserve">Ugdymo proceso ir aplinkos užtikrinimas </t>
    </r>
    <r>
      <rPr>
        <b/>
        <sz val="10"/>
        <rFont val="Times New Roman"/>
        <family val="1"/>
        <charset val="186"/>
      </rPr>
      <t>savivaldybės pradinėje mokykloje ir mokyklose-darželiuose</t>
    </r>
  </si>
  <si>
    <t>Įrengtas liftas, vnt.</t>
  </si>
  <si>
    <t>tūkst. Eur</t>
  </si>
  <si>
    <t>Neformaliojo vaikų švietimo programų įgyvendinimas ir neformaliojo vaikų švietimo paslaugų plėtra</t>
  </si>
  <si>
    <t>100</t>
  </si>
  <si>
    <t>2019-ųjų metų lėšų projektas</t>
  </si>
  <si>
    <t>2019 m. lėšų projektas</t>
  </si>
  <si>
    <t xml:space="preserve">   </t>
  </si>
  <si>
    <t>2019-ieji metai</t>
  </si>
  <si>
    <t>Atlikta modernizavimo darbų, proc.</t>
  </si>
  <si>
    <t>60</t>
  </si>
  <si>
    <t>Švietimo įstaigų patalpų šildymas</t>
  </si>
  <si>
    <t>Švietimo įstaigų stogų remontas</t>
  </si>
  <si>
    <t>Įgyvendintas projektas, proc.</t>
  </si>
  <si>
    <t xml:space="preserve">Ugdymo prieinamumo ir ugdymo formų įvairovės užtikrinimas </t>
  </si>
  <si>
    <t>Neformaliojo vaikų ir suaugusiųjų švietimo organizavimas:</t>
  </si>
  <si>
    <r>
      <rPr>
        <b/>
        <sz val="10"/>
        <rFont val="Times New Roman"/>
        <family val="1"/>
      </rPr>
      <t>Neformaliojo</t>
    </r>
    <r>
      <rPr>
        <sz val="10"/>
        <rFont val="Times New Roman"/>
        <family val="1"/>
      </rPr>
      <t xml:space="preserve"> vaikų ugdymo proceso užtikrinimas biudžetinėse </t>
    </r>
    <r>
      <rPr>
        <b/>
        <sz val="10"/>
        <rFont val="Times New Roman"/>
        <family val="1"/>
      </rPr>
      <t xml:space="preserve">sporto mokyklose </t>
    </r>
  </si>
  <si>
    <t xml:space="preserve">Baldų ir įrangos atnaujinimas:  </t>
  </si>
  <si>
    <t>Automatizuotos šilumos punkto  kontrolės ir valdymo sistemų aptarnavimas švietimo įstaigų pastatuose</t>
  </si>
  <si>
    <t>Atsinaujinančių energijos išteklių  panaudojimas švietimo įstaigų pastatuose</t>
  </si>
  <si>
    <t>SB'</t>
  </si>
  <si>
    <t>Šilumos ir karšto vandens tiekimo sistemų priežiūra</t>
  </si>
  <si>
    <t>Neformaliojo suaugusiųjų švietimo ir tęstinio mokymosi 2016–2019 metais veiksmų plano įgyvendinimas</t>
  </si>
  <si>
    <t xml:space="preserve">Įrenginių įsigijimas švietimo įstaigų maisto blokuose </t>
  </si>
  <si>
    <t>Švietimo įstaigų energinių išteklių efektyvinimas:</t>
  </si>
  <si>
    <t>Mokinių, aprūpintų elektroniniais pažymėjimais, skaičius, vnt.</t>
  </si>
  <si>
    <t>Atliktas energinis auditas, vnt.</t>
  </si>
  <si>
    <t>Atlikta sporto salės rekonstravimo darbų, proc.</t>
  </si>
  <si>
    <t xml:space="preserve">Atlikta rekonstravimo darbų, proc. </t>
  </si>
  <si>
    <t>Atlikta rekonstravimo darbų, proc.</t>
  </si>
  <si>
    <t>Mokymosi aplinkos pritaikymas švietimo reikmėms:</t>
  </si>
  <si>
    <t>Suremontuotų  patalpų skaičius, vnt.</t>
  </si>
  <si>
    <t>06</t>
  </si>
  <si>
    <t>07</t>
  </si>
  <si>
    <t>Lyginamasis variantas</t>
  </si>
  <si>
    <t>Skirtumas</t>
  </si>
  <si>
    <t>SB(L)</t>
  </si>
  <si>
    <r>
      <t xml:space="preserve">Apyvartos lėšų likutis </t>
    </r>
    <r>
      <rPr>
        <b/>
        <sz val="10"/>
        <rFont val="Times New Roman"/>
        <family val="1"/>
        <charset val="186"/>
      </rPr>
      <t>SB(L)</t>
    </r>
  </si>
  <si>
    <t>Įrengta vėdinimo sistema, proc.</t>
  </si>
  <si>
    <t>SB(ES)</t>
  </si>
  <si>
    <r>
      <t xml:space="preserve">Europos Sąjungos paramos lėšos, kurios įtrauktos į Savivaldybės biudžetą </t>
    </r>
    <r>
      <rPr>
        <b/>
        <sz val="10"/>
        <rFont val="Times New Roman"/>
        <family val="1"/>
        <charset val="186"/>
      </rPr>
      <t>SB(ES)</t>
    </r>
  </si>
  <si>
    <t>Modernizuota edukacinių erdvių, skaičius</t>
  </si>
  <si>
    <t>Ikimokyklinių  ugdymo  įstaigų aprūpinimas organizacine technika</t>
  </si>
  <si>
    <t>SB(L)'</t>
  </si>
  <si>
    <r>
      <t>Valstybės biudžeto lėšos</t>
    </r>
    <r>
      <rPr>
        <b/>
        <sz val="10"/>
        <rFont val="Times New Roman"/>
        <family val="1"/>
        <charset val="186"/>
      </rPr>
      <t xml:space="preserve"> LRVB</t>
    </r>
  </si>
  <si>
    <t>Atnaujinta sporto salė, proc.</t>
  </si>
  <si>
    <t>Maitinimo paslaugų kompensavimas</t>
  </si>
  <si>
    <t>2020-ieji metai</t>
  </si>
  <si>
    <t>Priemonės pavadinimas</t>
  </si>
  <si>
    <t>2018-ųjų metų asignavimų planas</t>
  </si>
  <si>
    <t>2020-ųjų metų lėšų projektas</t>
  </si>
  <si>
    <t>Produkto kriterijus</t>
  </si>
  <si>
    <t>2020 m. lėšų projektas</t>
  </si>
  <si>
    <t>LITNET programos plėtra</t>
  </si>
  <si>
    <t>Įsigyta įrangos, proc.</t>
  </si>
  <si>
    <t>Atlikta rangos darbų, proc.</t>
  </si>
  <si>
    <t xml:space="preserve">Atlikta rangos darbų, proc.
</t>
  </si>
  <si>
    <t>Įstaigų skaičius, vnt.</t>
  </si>
  <si>
    <t>Vaikų skaičius, vnt.</t>
  </si>
  <si>
    <t>Mokinių skaičius, vnt.</t>
  </si>
  <si>
    <t>BĮ Klaipėdos Sendvario progimnazijos dalyvavimas projekte „Padarykime tai!“</t>
  </si>
  <si>
    <t>45</t>
  </si>
  <si>
    <t>Aptarnautų asmenų skaičius, vnt.</t>
  </si>
  <si>
    <t>BĮ Klaipėdos pedagoginės psichologinės tarnybos dalyvavimas projekte pagal ES INTERREG V-A</t>
  </si>
  <si>
    <t>Renginių skaičius, vnt.</t>
  </si>
  <si>
    <t>Kvalifikacijos pažymėjimų skaičius, vnt.</t>
  </si>
  <si>
    <t xml:space="preserve">Pedagogų kompetencijų tobulinimas, siekiant įgyvendinti prevencines programas </t>
  </si>
  <si>
    <t>Mokytojų skaičius, vnt.</t>
  </si>
  <si>
    <t>Mokyklų skaičius, vnt.</t>
  </si>
  <si>
    <t>Sporto klasių steigimas</t>
  </si>
  <si>
    <t>Tarptautinių programų įgyvendinimas</t>
  </si>
  <si>
    <t>Etatų skaičius, vnt.</t>
  </si>
  <si>
    <t>Egzaminų skaičius, vnt.</t>
  </si>
  <si>
    <t>Centralizuotas paviršinių (lietaus) nuotekų tvarkymas</t>
  </si>
  <si>
    <t>Patalpų atnaujinimas užtikrinant atitiktį Higienos normoms</t>
  </si>
  <si>
    <t>Edukacinių-kultūrinių renginių organizavimas ir dalykinių projektų vykdymas</t>
  </si>
  <si>
    <t>Dalyvavimo Lietuvos šimtmečio dainų šventėje užtikrinimas</t>
  </si>
  <si>
    <t>Rugsėjo 1-osios šventės organizavimas (renginys „Švyturio“ arenoje)</t>
  </si>
  <si>
    <t>Prevencinių renginių skaičius, vnt.</t>
  </si>
  <si>
    <t>Elektroninio mokinio pažymėjimo diegimas ir naudojimo užtikrinimas savivaldybės bendrojo ugdymo mokyklose, neformaliojo švietimo ir sporto įstaigose</t>
  </si>
  <si>
    <t>Baldų skaičius, vnt.</t>
  </si>
  <si>
    <t>Priemonių skaičius, vnt.</t>
  </si>
  <si>
    <t>Kompiuterių atnaujinimas savivaldybės bendrojo ugdymo mokyklose</t>
  </si>
  <si>
    <t>Savivaldybės ikimokyklinio ugdymo įstaigų žaidimų aikštelių įrangos atnaujinimas</t>
  </si>
  <si>
    <t>Planšetinių kompiuterių skaičius, vnt.</t>
  </si>
  <si>
    <t>Krepšinio lankų skaičius, vnt.</t>
  </si>
  <si>
    <t>Įsigyta baldų, vnt.</t>
  </si>
  <si>
    <t xml:space="preserve">Parengtas techninis projektas, vnt.  </t>
  </si>
  <si>
    <t>Atlikta rekonstrukcijos darbų, proc.</t>
  </si>
  <si>
    <t xml:space="preserve">Miesto metodinių būrelių veiklos užtikrinimas </t>
  </si>
  <si>
    <r>
      <t xml:space="preserve">Ugdymo proceso ir aplinkos užtikrinimas </t>
    </r>
    <r>
      <rPr>
        <b/>
        <sz val="10"/>
        <rFont val="Times New Roman"/>
        <family val="1"/>
        <charset val="186"/>
      </rPr>
      <t>savivaldybės neformaliojo vaikų švietimo įstaigose</t>
    </r>
  </si>
  <si>
    <r>
      <t xml:space="preserve">Ugdymo proceso ir aplinkos užtikrinimas </t>
    </r>
    <r>
      <rPr>
        <b/>
        <sz val="10"/>
        <rFont val="Times New Roman"/>
        <family val="1"/>
        <charset val="186"/>
      </rPr>
      <t xml:space="preserve">savivaldybės </t>
    </r>
    <r>
      <rPr>
        <sz val="10"/>
        <rFont val="Times New Roman"/>
        <family val="1"/>
        <charset val="186"/>
      </rPr>
      <t>ikimokyklinio ugdymo įstaigose</t>
    </r>
  </si>
  <si>
    <r>
      <t xml:space="preserve">Ugdymo proceso ir aplinkos užtikrinimas </t>
    </r>
    <r>
      <rPr>
        <b/>
        <sz val="10"/>
        <rFont val="Times New Roman"/>
        <family val="1"/>
        <charset val="186"/>
      </rPr>
      <t>nevalstybinėse</t>
    </r>
    <r>
      <rPr>
        <sz val="10"/>
        <rFont val="Times New Roman"/>
        <family val="1"/>
        <charset val="186"/>
      </rPr>
      <t xml:space="preserve"> ikimokyklinio ugdymo įstaigose</t>
    </r>
  </si>
  <si>
    <r>
      <t xml:space="preserve">Ugdymo proceso ir aplinkos užtikrinimas </t>
    </r>
    <r>
      <rPr>
        <b/>
        <sz val="10"/>
        <rFont val="Times New Roman"/>
        <family val="1"/>
        <charset val="186"/>
      </rPr>
      <t>savivaldybės</t>
    </r>
    <r>
      <rPr>
        <sz val="10"/>
        <rFont val="Times New Roman"/>
        <family val="1"/>
        <charset val="186"/>
      </rPr>
      <t xml:space="preserve"> bendrojo ugdymo mokyklose </t>
    </r>
  </si>
  <si>
    <r>
      <t xml:space="preserve">Ugdymo proceso ir aplinkos užtikrinimas </t>
    </r>
    <r>
      <rPr>
        <b/>
        <sz val="10"/>
        <rFont val="Times New Roman"/>
        <family val="1"/>
        <charset val="186"/>
      </rPr>
      <t xml:space="preserve">nevalstybinėse </t>
    </r>
    <r>
      <rPr>
        <sz val="10"/>
        <rFont val="Times New Roman"/>
        <family val="1"/>
        <charset val="186"/>
      </rPr>
      <t xml:space="preserve">bendrojo ugdymo mokyklose </t>
    </r>
  </si>
  <si>
    <t xml:space="preserve">Savivaldybės bendrojo ugdymo mokyklų lauko aikštelių krepšinio inventoriaus atnaujinimas </t>
  </si>
  <si>
    <t>Švietimo įstaigų persikėlimo į kitas patalpas organizavimas</t>
  </si>
  <si>
    <t xml:space="preserve">Centralizuotas ugdymo įstaigų langų valymas </t>
  </si>
  <si>
    <t xml:space="preserve">Savivaldybės švietimo įstaigų civilinės atsakomybės draudimas  </t>
  </si>
  <si>
    <t>Projekto „Bendrojo ugdymo mokyklų (progimnazijų, pagrindinių mokyklų) modernizavimas ir šiuolaikinių mokymosi erdvių kūrimas“ įgyvendinimas</t>
  </si>
  <si>
    <r>
      <t xml:space="preserve">Naujos ikimokyklinio ugdymo įstaigos statyba šiaurinėje miesto dalyje </t>
    </r>
    <r>
      <rPr>
        <sz val="10"/>
        <rFont val="Times New Roman"/>
        <family val="1"/>
      </rPr>
      <t/>
    </r>
  </si>
  <si>
    <t xml:space="preserve">Iš jų mokinių skaičius, vnt. </t>
  </si>
  <si>
    <t xml:space="preserve">Ugdymo proceso ir aplinkos užtikrinimas  bendrojo ugdymo mokyklose: </t>
  </si>
  <si>
    <r>
      <t xml:space="preserve">BĮ Klaipėdos regos ugdymo centro </t>
    </r>
    <r>
      <rPr>
        <sz val="10"/>
        <rFont val="Times New Roman"/>
        <family val="1"/>
        <charset val="186"/>
      </rPr>
      <t>veiklos užtikrinimas</t>
    </r>
  </si>
  <si>
    <r>
      <t>BĮ Klaipėdos miesto pedagogų švietimo ir kultūros centro</t>
    </r>
    <r>
      <rPr>
        <sz val="10"/>
        <rFont val="Times New Roman"/>
        <family val="1"/>
        <charset val="186"/>
      </rPr>
      <t xml:space="preserve"> veiklos užtikrinimas</t>
    </r>
  </si>
  <si>
    <t>BĮ Klaipėdos jūrų kadetų mokyklos steigimas, ugdymo proceso ir aplinkos užtikrinimas</t>
  </si>
  <si>
    <t>Vaikų, kuriems iš dalies kompensuojamas ugdymas nevalstybinėse įstaigose, skaičius, vnt.</t>
  </si>
  <si>
    <t>Ugdymo proceso užtikrinimas  BĮ Klaipėdos sutrikusio vystymosi kūdikių namuose</t>
  </si>
  <si>
    <t>Renginių, skirtų Lietuvos šimtmečio paminėjimui, skaičius, vnt.</t>
  </si>
  <si>
    <t>Dalyvių skaičius, vnt.</t>
  </si>
  <si>
    <t>Programų skaičius, vnt.</t>
  </si>
  <si>
    <t>Metodinių būrelių skaičius, vnt.</t>
  </si>
  <si>
    <t>Mokinių priėmimo į savivaldybės bendrojo ugdymo mokyklas informacinės sistemos sukūrimas ir priežiūra</t>
  </si>
  <si>
    <t>Įsigyta programinės įrangos, vnt.</t>
  </si>
  <si>
    <t>Administruojama informacinė sistema, vnt.</t>
  </si>
  <si>
    <t>Savivaldybės bendrojo ugdymo mokyklų pastatų ir aplinkos modernizavimas bei plėtra:</t>
  </si>
  <si>
    <t>BĮ Klaipėdos Gedminų progimnazijos modernizavimas:</t>
  </si>
  <si>
    <r>
      <t xml:space="preserve">Klaipėdos Tauralaukio progimnazijos pastato (Klaipėdos g. 31) rekonstravimas, </t>
    </r>
    <r>
      <rPr>
        <sz val="10"/>
        <rFont val="Times New Roman"/>
        <family val="1"/>
      </rPr>
      <t xml:space="preserve">siekiant išplėsti ugdymui skirtas patalpas </t>
    </r>
  </si>
  <si>
    <t>Įstaigų, kuriose įsigyta įrangos ir baldų, skaičius, vnt.</t>
  </si>
  <si>
    <t>Parengtas techninis  projektas, vnt.</t>
  </si>
  <si>
    <r>
      <rPr>
        <b/>
        <sz val="10"/>
        <rFont val="Times New Roman"/>
        <family val="1"/>
        <charset val="186"/>
      </rPr>
      <t xml:space="preserve">BĮ </t>
    </r>
    <r>
      <rPr>
        <b/>
        <sz val="10"/>
        <rFont val="Times New Roman"/>
        <family val="1"/>
      </rPr>
      <t xml:space="preserve">Klaipėdos „Ąžuolyno“ gimnazijos </t>
    </r>
    <r>
      <rPr>
        <sz val="10"/>
        <rFont val="Times New Roman"/>
        <family val="1"/>
      </rPr>
      <t xml:space="preserve">modernizavimas </t>
    </r>
  </si>
  <si>
    <r>
      <rPr>
        <b/>
        <sz val="10"/>
        <rFont val="Times New Roman"/>
        <family val="1"/>
        <charset val="186"/>
      </rPr>
      <t>BĮ Klaipėdos Simono Dacho progimnazijos</t>
    </r>
    <r>
      <rPr>
        <sz val="10"/>
        <rFont val="Times New Roman"/>
        <family val="1"/>
        <charset val="186"/>
      </rPr>
      <t xml:space="preserve"> (Kuršių a. 2/3) modernizavimas (sporto salės atnaujinimas) </t>
    </r>
  </si>
  <si>
    <r>
      <t xml:space="preserve">BĮ Klaipėdos „Žaliakalnio“ gimnazijos </t>
    </r>
    <r>
      <rPr>
        <sz val="10"/>
        <rFont val="Times New Roman"/>
        <family val="1"/>
        <charset val="186"/>
      </rPr>
      <t xml:space="preserve">pastato inžinerinių sistemų ir vidaus patalpų remontas </t>
    </r>
  </si>
  <si>
    <t>Ikimokyklinio ugdymo įstaigų pastatų modernizavimas ir plėtra:</t>
  </si>
  <si>
    <t>BĮ Klaipėdos lopšelio-darželio „Žiogelis“ pastato (Kauno g. 27) modernizavimas</t>
  </si>
  <si>
    <t>Neformaliojo vaikų švietimo įstaigų pastatų rekonstravimas:</t>
  </si>
  <si>
    <t>BĮ Klaipėdos karalienės Luizės jaunimo centro (Puodžių g.) modernizavimas, plėtojant neformaliojo ugdymosi galimybes</t>
  </si>
  <si>
    <t>BĮ Klaipėdos Jeronimo Kačinsko muzikos mokyklos (Statybininkų pr. 5) pastato energinio efektyvumo didinimas</t>
  </si>
  <si>
    <t xml:space="preserve">Edukacinių erdvių įrengimas BĮ Klaipėdos lopšelyje-darželyje „Želmenėlis“ </t>
  </si>
  <si>
    <t>Patalpų pritaikymas BĮ Klaipėdos vaikų laisvalaikio centro klubo „Želmenėlis“ veiklai</t>
  </si>
  <si>
    <t>Vaikiškų lovyčių įsigijimas savivaldybės ikimokyklinio ugdymo įstaigose</t>
  </si>
  <si>
    <t xml:space="preserve">BĮ Klaipėdos lopšelyje-darželyje „Puriena“   </t>
  </si>
  <si>
    <t>BĮ Klaipėdos karalienės Luizės jaunimo centro Atvirose jaunimo erdvėse</t>
  </si>
  <si>
    <t>BĮ Klaipėdos Litorinos mokykloje</t>
  </si>
  <si>
    <t>Lovyčių skaičius, vnt.</t>
  </si>
  <si>
    <t>Įsigytas mikroautobusas, vnt.</t>
  </si>
  <si>
    <t>Įrengtų naujų darbo vietų skaičius, vnt.</t>
  </si>
  <si>
    <t>Įstaigų, kuriose atlikti remonto darbai, skaičius, vnt.</t>
  </si>
  <si>
    <t>Renovuotų, suremontuotų sistemų, skaičius, vnt.</t>
  </si>
  <si>
    <t>Įstaigų, kuriose likviduoti pažeidimai, skaičius, vnt.</t>
  </si>
  <si>
    <t>Prijungtų prie LITNET įstaigų skaičius, vnt.</t>
  </si>
  <si>
    <t>Saugomų pastatų, objektų skaičius, vnt.</t>
  </si>
  <si>
    <t>Parengta techninių projektų, vnt.</t>
  </si>
  <si>
    <t xml:space="preserve">Parengta techninių projektų, vnt.    </t>
  </si>
  <si>
    <t>Mokinių, kuriems kompensuojamos pavėžėjimo išlaidos, skaičius, vnt.</t>
  </si>
  <si>
    <t>Perkeltų įstaigų skaičius, vnt.</t>
  </si>
  <si>
    <t xml:space="preserve">Įstaigų skaičius, vnt.  </t>
  </si>
  <si>
    <t>Aptarnaujamų įstaigų skaičius, vnt.</t>
  </si>
  <si>
    <t>Įstaigų, kuriose diegiamos sistemos, skaičius, vnt.</t>
  </si>
  <si>
    <t>Parengta techninių darbo projektų, vnt.</t>
  </si>
  <si>
    <t>Įgyvendintų programų skaičius, vnt.</t>
  </si>
  <si>
    <t>STEAM laboratorijose ugdomų vaikų skaičius, vnt.</t>
  </si>
  <si>
    <t>SB(ESA)</t>
  </si>
  <si>
    <r>
      <t xml:space="preserve">Savivaldybės biudžeto apyvartos lėšos ES finansinės paramos programų laikinam lėšų stygiui dengti  </t>
    </r>
    <r>
      <rPr>
        <b/>
        <sz val="10"/>
        <rFont val="Times New Roman"/>
        <family val="1"/>
        <charset val="186"/>
      </rPr>
      <t>SB(ESA)</t>
    </r>
  </si>
  <si>
    <r>
      <rPr>
        <b/>
        <sz val="10"/>
        <rFont val="Times New Roman"/>
        <family val="1"/>
        <charset val="186"/>
      </rPr>
      <t xml:space="preserve">Modernių ugdymosi erdvių sukūrimas </t>
    </r>
    <r>
      <rPr>
        <sz val="10"/>
        <rFont val="Times New Roman"/>
        <family val="1"/>
      </rPr>
      <t xml:space="preserve">Klaipėdos miesto progimnazijose ir gimnazijose („Smeltės“, Liudviko Stulpino, Sendvario, Gedminų, „Verdenės“ progimnazijose ir  „Vėtrungės“, „Varpo“ gimnazijose ) </t>
    </r>
  </si>
  <si>
    <r>
      <rPr>
        <b/>
        <sz val="10"/>
        <rFont val="Times New Roman"/>
        <family val="1"/>
        <charset val="186"/>
      </rPr>
      <t xml:space="preserve">BĮ Klaipėdos „Gilijos“ pradinės mokyklos </t>
    </r>
    <r>
      <rPr>
        <sz val="10"/>
        <rFont val="Times New Roman"/>
        <family val="1"/>
      </rPr>
      <t>(Taikos pr. 68) pastato energinio efektyvumo didinimas</t>
    </r>
  </si>
  <si>
    <r>
      <rPr>
        <b/>
        <sz val="10"/>
        <rFont val="Times New Roman"/>
        <family val="1"/>
        <charset val="186"/>
      </rPr>
      <t>Bendrojo ugdymo mokyklos pastato statyba</t>
    </r>
    <r>
      <rPr>
        <sz val="10"/>
        <rFont val="Times New Roman"/>
        <family val="1"/>
      </rPr>
      <t xml:space="preserve"> šiaurinėje miesto dalyje</t>
    </r>
  </si>
  <si>
    <r>
      <t xml:space="preserve">BĮ Klaipėdos Vytauto Didžiojo gimnazijos </t>
    </r>
    <r>
      <rPr>
        <sz val="10"/>
        <rFont val="Times New Roman"/>
        <family val="1"/>
        <charset val="186"/>
      </rPr>
      <t>(</t>
    </r>
    <r>
      <rPr>
        <sz val="10"/>
        <rFont val="Times New Roman"/>
        <family val="1"/>
      </rPr>
      <t>S. Daukanto g. 31) pastato patalpų einamasis remontas bei vėdinimo sistemos įrengimas senajame pastato korpuse</t>
    </r>
  </si>
  <si>
    <t xml:space="preserve">Energinio efektyvumo didinimas lopšeliuose-darželiuose </t>
  </si>
  <si>
    <t>Suremontuotų įstaigų skaičius, vnt.</t>
  </si>
  <si>
    <t>Įsigyta programinė įranga, darbo vietų skaičius</t>
  </si>
  <si>
    <t xml:space="preserve"> 2018–2020 M. KLAIPĖDOS MIESTO SAVIVALDYBĖS </t>
  </si>
  <si>
    <t>Ugdymo proceso ir aplinkos užtikrinimas ikimokyklinio ugdymo įstaigose:</t>
  </si>
  <si>
    <t>Atnaujinta aikštynų, skaičius</t>
  </si>
  <si>
    <r>
      <rPr>
        <b/>
        <sz val="10"/>
        <rFont val="Times New Roman"/>
        <family val="1"/>
        <charset val="186"/>
      </rPr>
      <t xml:space="preserve">Sporto aikštynų atnaujinimas </t>
    </r>
    <r>
      <rPr>
        <sz val="10"/>
        <rFont val="Times New Roman"/>
        <family val="1"/>
        <charset val="186"/>
      </rPr>
      <t>(modernizavimas) („Verdenės“, Simono Dacho, Maksimo Gorkio, Gedminų progimnazijose, Hermano Zudermano, „Žemynos“, Vydūno, Vytauto Didžiojo gimnazijose)</t>
    </r>
  </si>
  <si>
    <t>P4</t>
  </si>
  <si>
    <t>P1 P4</t>
  </si>
  <si>
    <t>Bendrojo ugdymo mokyklų tinklo pertvarkos 2016–2020 metų bendrojo plano priemonių įgyvendinimas:</t>
  </si>
  <si>
    <r>
      <rPr>
        <b/>
        <sz val="10"/>
        <rFont val="Times New Roman"/>
        <family val="1"/>
        <charset val="186"/>
      </rPr>
      <t>BĮ Klaipėdos Prano Mašioto progimnazijos</t>
    </r>
    <r>
      <rPr>
        <sz val="10"/>
        <rFont val="Times New Roman"/>
        <family val="1"/>
      </rPr>
      <t xml:space="preserve"> pastato Varpų g. 3 rekonstravimas</t>
    </r>
  </si>
  <si>
    <r>
      <t xml:space="preserve">Klaipėdos „Versmės“ progimnazijos </t>
    </r>
    <r>
      <rPr>
        <sz val="10"/>
        <rFont val="Times New Roman"/>
        <family val="1"/>
        <charset val="186"/>
      </rPr>
      <t xml:space="preserve">sporto aikštyno Klaipėdoje, I. Simonaitytės g. 2, atnaujinimas </t>
    </r>
  </si>
  <si>
    <t>BĮ Klaipėdos lopšelio-darželio „Svirpliukas“ (Liepų g. 43A) pastato energinio efektyvumo didinimas</t>
  </si>
  <si>
    <t>Patalpų pritaikymas BĮ Klaipėdos I. Simonaitytės mokyklos veiklai ir suaugusiųjų ugdymui BĮ Klaipėdos suaugusiųjų gimnazijoje (I. Simonaitytės g. 24)</t>
  </si>
  <si>
    <t>Pertvarkytų patalpų plotas, kv. m</t>
  </si>
  <si>
    <t>Patalpų plotas, kv. m</t>
  </si>
  <si>
    <t>Transporto priemonių atnaujinimas (2018 m. – Moksleivių saviraiškos centre)</t>
  </si>
  <si>
    <t>Stacionarių ar nešiojamųjų kompiuterių skaičius, vnt.</t>
  </si>
  <si>
    <t>Vidaus patalpų remontas po šiluminės renovacijos (2018 m. – Sendvario progimnazijos bendro naudojimo koridorių remontas)</t>
  </si>
  <si>
    <t>Ikimokyklinio ugdymo įstaigų teritorijų aptvėrimas (2018 m. – „Šaltinėlio“ m.-d., l.-d. „Vėrinėlis“, „Putinėlis“, Regos ugdymo centras, „Gilijos“ pradinė mokykla)</t>
  </si>
  <si>
    <t>Ikimokyklinio ugdymo įstaigų pastatų remontas (l.-d. „Alksniukas“ ir „Želmenėlis“)</t>
  </si>
  <si>
    <t>Švietimo įstaigų lauko inžinerinių tinklų remontas (2018 m. – „Žaliakalnio“ gimnazijos, l.-d. „Pingvinukas“ ir „Radastėlė“)</t>
  </si>
  <si>
    <t>Savivaldybės biudžetinės įstaigos bandomojo energijos vartojimo efektyvumo didinimo projekto įgyvendinimas (2018 m. – l-d „Klevelis“)</t>
  </si>
  <si>
    <t>____________________________</t>
  </si>
  <si>
    <t>2018-ųjų metų asignavi-mų planas</t>
  </si>
  <si>
    <t>Siūlomas keisti 2018-ųjų metų asignavimų planas</t>
  </si>
  <si>
    <t>BĮ Klaipėdos pedagoginėje  psichologinėje tarnyboje</t>
  </si>
  <si>
    <t>Siūlomas keisti 2018-ųjų metų asignavi-mų planas</t>
  </si>
  <si>
    <t>Paaiškinimai</t>
  </si>
  <si>
    <t>Siūlomas keisti 2019-ųjų metų lėšų projektas</t>
  </si>
  <si>
    <t>Siūlomas keisti  020-ųjų metų lėšų projektas</t>
  </si>
  <si>
    <t>Siūlomas keisti 2019 m. lėšų projektas</t>
  </si>
  <si>
    <t>Siūlomas keisti 2020 m. lėšų projektas</t>
  </si>
  <si>
    <t>Parengta pastato energijos vartojimo audito ataskaita, vnt.</t>
  </si>
  <si>
    <t>Švietimo įstaigų paprastasis remontas (2018 m. – l.-d. „Berželis“, „Kregždutė“, „Ąžuoliukas“, „Aitvarėlis“, „Žemuogėlė“,  „Nykštukas“, „Žilvitis“, „Pumpurėlis“, „Pagrandukas“, „Eglutė“, Klaipėdos karalienės Luizės jaunimo centras, 3–6 švietimo įstaigų buitinių tinklų remontas)</t>
  </si>
  <si>
    <t>Atleista pedagogų pagal optimizavimo projektą</t>
  </si>
  <si>
    <t>SB(P)</t>
  </si>
  <si>
    <r>
      <t xml:space="preserve">Savivaldybės paskolų lėšos </t>
    </r>
    <r>
      <rPr>
        <b/>
        <sz val="10"/>
        <rFont val="Times New Roman"/>
        <family val="1"/>
      </rPr>
      <t>SB(P)</t>
    </r>
  </si>
  <si>
    <r>
      <t xml:space="preserve">paskolų lėšos </t>
    </r>
    <r>
      <rPr>
        <b/>
        <sz val="10"/>
        <rFont val="Times New Roman"/>
        <family val="1"/>
        <charset val="186"/>
      </rPr>
      <t>SB(P)</t>
    </r>
  </si>
  <si>
    <t>________________________________________</t>
  </si>
  <si>
    <t xml:space="preserve">Klaipėdos miesto bendrojo ugdymo mokyklų antrųjų klasių mokinių mokymas plaukti </t>
  </si>
  <si>
    <t>Apmokyta plaukti vaikų, skaičius</t>
  </si>
  <si>
    <r>
      <rPr>
        <b/>
        <sz val="10"/>
        <rFont val="Times New Roman"/>
        <family val="1"/>
        <charset val="186"/>
      </rPr>
      <t xml:space="preserve">BĮ Klaipėdos „Gilijos“ pradinės mokyklos </t>
    </r>
    <r>
      <rPr>
        <sz val="10"/>
        <rFont val="Times New Roman"/>
        <family val="1"/>
        <charset val="186"/>
      </rPr>
      <t>(Taikos pr. 68) pastato energinio efektyvumo didinimas</t>
    </r>
  </si>
  <si>
    <r>
      <rPr>
        <b/>
        <sz val="10"/>
        <rFont val="Times New Roman"/>
        <family val="1"/>
        <charset val="186"/>
      </rPr>
      <t>BĮ Klaipėdos Prano Mašioto progimnazijos</t>
    </r>
    <r>
      <rPr>
        <sz val="10"/>
        <rFont val="Times New Roman"/>
        <family val="1"/>
        <charset val="186"/>
      </rPr>
      <t xml:space="preserve"> pastato Varpų g. 3 rekonstravimas</t>
    </r>
  </si>
  <si>
    <r>
      <rPr>
        <b/>
        <sz val="10"/>
        <rFont val="Times New Roman"/>
        <family val="1"/>
        <charset val="186"/>
      </rPr>
      <t xml:space="preserve">BĮ Klaipėdos „Ąžuolyno“ gimnazijos </t>
    </r>
    <r>
      <rPr>
        <sz val="10"/>
        <rFont val="Times New Roman"/>
        <family val="1"/>
        <charset val="186"/>
      </rPr>
      <t xml:space="preserve">modernizavimas </t>
    </r>
  </si>
  <si>
    <r>
      <t xml:space="preserve">Įstaigų </t>
    </r>
    <r>
      <rPr>
        <sz val="10"/>
        <rFont val="Times New Roman"/>
        <family val="1"/>
        <charset val="186"/>
      </rPr>
      <t xml:space="preserve">(lopšeliuose-darželiuose „Aitvarėlis“,  „Ąžuoliukas“, „Versmė“, „Verdenės“ progimnazijoje), kuriose įrengtos saulės (fotovoltinės) elektrinės, </t>
    </r>
    <r>
      <rPr>
        <sz val="10"/>
        <rFont val="Times New Roman"/>
        <family val="1"/>
      </rPr>
      <t>skaičius</t>
    </r>
  </si>
  <si>
    <r>
      <t xml:space="preserve">19 </t>
    </r>
    <r>
      <rPr>
        <strike/>
        <sz val="10"/>
        <color rgb="FFFF0000"/>
        <rFont val="Times New Roman"/>
        <family val="1"/>
      </rPr>
      <t>16</t>
    </r>
  </si>
  <si>
    <r>
      <t>19</t>
    </r>
    <r>
      <rPr>
        <strike/>
        <sz val="10"/>
        <color rgb="FFFF0000"/>
        <rFont val="Times New Roman"/>
        <family val="1"/>
        <charset val="186"/>
      </rPr>
      <t xml:space="preserve"> 17</t>
    </r>
  </si>
  <si>
    <t xml:space="preserve">Siūloma mažinti papriemonės finansavimo apimtį atsižvelgiant į tai, kad l/d „Klevelis“ techninio projekto parengimo paslauga nupirkta už mažesnę kainą </t>
  </si>
  <si>
    <r>
      <rPr>
        <sz val="10"/>
        <color rgb="FFFF0000"/>
        <rFont val="Times New Roman"/>
        <family val="1"/>
        <charset val="186"/>
      </rPr>
      <t xml:space="preserve">0 </t>
    </r>
    <r>
      <rPr>
        <strike/>
        <sz val="10"/>
        <color rgb="FFFF0000"/>
        <rFont val="Times New Roman"/>
        <family val="1"/>
      </rPr>
      <t>4</t>
    </r>
  </si>
  <si>
    <t xml:space="preserve">Savivaldybės ikimokyklinio ugdymo įstaigų sporto aikštelių dangos atnaujinimas (2018 m. – l.-d. „Ąžuoliukas“, „Dobiliukas“ ir „Traukinukas“) </t>
  </si>
  <si>
    <r>
      <t xml:space="preserve">31 </t>
    </r>
    <r>
      <rPr>
        <strike/>
        <sz val="10"/>
        <color rgb="FFFF0000"/>
        <rFont val="Times New Roman"/>
        <family val="1"/>
        <charset val="186"/>
      </rPr>
      <t>25</t>
    </r>
  </si>
  <si>
    <r>
      <t xml:space="preserve">470 </t>
    </r>
    <r>
      <rPr>
        <strike/>
        <sz val="10"/>
        <color rgb="FFFF0000"/>
        <rFont val="Times New Roman"/>
        <family val="1"/>
      </rPr>
      <t xml:space="preserve"> 448</t>
    </r>
  </si>
  <si>
    <r>
      <t xml:space="preserve">10 </t>
    </r>
    <r>
      <rPr>
        <strike/>
        <sz val="10"/>
        <color rgb="FFFF0000"/>
        <rFont val="Times New Roman"/>
        <family val="1"/>
      </rPr>
      <t xml:space="preserve"> 9</t>
    </r>
  </si>
  <si>
    <t xml:space="preserve">Reikia padidinti papriemonės finansavimo apimtį ir pakeisti rodiklį, nes nuo 2018-09-01 padidėjo vaikų, kuriems iš dalies kompensuojamas ugdymas nevalstybinėse įstaigose, skaičius </t>
  </si>
  <si>
    <t xml:space="preserve">Reikia padidinti papriemonės finansavimo apimtį ir pakeisti rodiklį pagal 2018-09-06 Administracijos direktoriaus įsakymą Nr. AD1-2147 papildomai įsteigtiems mokytojų padėjėjų etatams VšĮ „Vaivorykštės tako“ gimnazijoje (1 et.) ir Klaipėdos licėjuje (1 et.) nuo 2018-09-01 </t>
  </si>
  <si>
    <r>
      <t xml:space="preserve">0 </t>
    </r>
    <r>
      <rPr>
        <strike/>
        <sz val="10"/>
        <color rgb="FFFF0000"/>
        <rFont val="Times New Roman"/>
        <family val="1"/>
        <charset val="186"/>
      </rPr>
      <t xml:space="preserve"> 1</t>
    </r>
  </si>
  <si>
    <r>
      <t xml:space="preserve">Lifto įrengimas </t>
    </r>
    <r>
      <rPr>
        <b/>
        <sz val="10"/>
        <color rgb="FFFF0000"/>
        <rFont val="Times New Roman"/>
        <family val="1"/>
        <charset val="186"/>
      </rPr>
      <t xml:space="preserve">Martyno Mažvydo progimnazijoje </t>
    </r>
  </si>
  <si>
    <r>
      <rPr>
        <b/>
        <sz val="10"/>
        <color rgb="FFFF0000"/>
        <rFont val="Times New Roman"/>
        <family val="1"/>
        <charset val="186"/>
      </rPr>
      <t>Bendrojo ugdymo mokyklos pastato statyba</t>
    </r>
    <r>
      <rPr>
        <sz val="10"/>
        <color rgb="FFFF0000"/>
        <rFont val="Times New Roman"/>
        <family val="1"/>
        <charset val="186"/>
      </rPr>
      <t xml:space="preserve"> šiaurinėje miesto dalyje</t>
    </r>
  </si>
  <si>
    <r>
      <t xml:space="preserve">0 </t>
    </r>
    <r>
      <rPr>
        <strike/>
        <sz val="10"/>
        <color rgb="FFFF0000"/>
        <rFont val="Times New Roman"/>
        <family val="1"/>
        <charset val="186"/>
      </rPr>
      <t xml:space="preserve"> 10</t>
    </r>
  </si>
  <si>
    <r>
      <t xml:space="preserve">50  </t>
    </r>
    <r>
      <rPr>
        <strike/>
        <sz val="10"/>
        <color rgb="FFFF0000"/>
        <rFont val="Times New Roman"/>
        <family val="1"/>
        <charset val="186"/>
      </rPr>
      <t>80</t>
    </r>
  </si>
  <si>
    <t>Siūloma pakeisti projekto finansavimo apimtis 2018 ir 2020 m., nes laiku neparengtas techninis projektas ir nepradėtas rangos darbų pirkimas</t>
  </si>
  <si>
    <t>Siūloma didinti priemonės finansavimo apimtį, nes reikalinga atnaujinti seną takelių dangą šalia remontuojamo „Versmės“ progimnazijos sporto aikštyno (5,5 tūkst. Eur), atlikti "Žemynos" gimnazijos rūbinėje esančių sanitarinių patalpų, kanalizacijos bei cokolio remonto darbus (21,8 tūkst. Eur), įrengti Vitės progimnazijos ugdymui skirtas ir sanitarines patalpas (10 tūkst. Eur), suremontuoti grindis Gedminų progimnazijoje (17,7 tūkst. Eur) ir įsigyti šaldymo spintą (1,7 tūkst. Eur) lopšeliui-darželiui „Volungėlė“. Remonto darbus organizuos pačios švietimo įstaigos.</t>
  </si>
  <si>
    <r>
      <t xml:space="preserve">Reikalinga pakeisti papriemonės rodiklį, nes padidėjo mokinių skaičius Vytauto Didžiojo gimnazijos sporto klasėje, taip pat siūloma padidinti finansavimo apimtį (1,3 tūkst. Eur) mokinių  maitinimui </t>
    </r>
    <r>
      <rPr>
        <sz val="10"/>
        <color rgb="FFFF0000"/>
        <rFont val="Times New Roman"/>
        <family val="1"/>
        <charset val="186"/>
      </rPr>
      <t>O KITAIS METAIS KAIP SU RODIKLIAIS?</t>
    </r>
  </si>
  <si>
    <t>Siūloma mažinti papriemonės finansavimo apimtį, nes lėšos, planuotos įstaigų (VšĮ „Universa Via“ ir Klaipėdos licėjus) pasiruošimui įgyvendinti Tarptautinio bakalaureato vidurinio ugdymo programą, nepanaudotos. Šios įstaigos iš savo lėšų apmokėjo Mokytojų profesinio tobulėjimo kursus ir kandidato mokesčius.</t>
  </si>
  <si>
    <t xml:space="preserve">VIENAS KLAUSIMAS - REIKIA TARP PAPRIEMONIŲ RODYTI PAKEITIMUS? </t>
  </si>
  <si>
    <t>Siūloma mažinti priemonės finansavimo apimtį 2018 m., nes paslaugos nupirktos pigiau nei planuota</t>
  </si>
  <si>
    <t>PLAČIAU PAAIŠKINTI PRIEŽASTIS, KODĖL NEPARENGTAS LAIKU TP</t>
  </si>
  <si>
    <t>Siūloma mažinti papriemonės finansavimo apimtį 2018 m., nes įgyvendinant priemonę liko nepanaudotų lėšų</t>
  </si>
  <si>
    <t>Siūloma mažinti papriemonės apimtį, atsižvelgiant į tai, kad  Švietimo ir mokslo ministerija skyrė tikslinę dotaciją  Simono Dacho progimnazijos sporto salės remonto darbams kompensuoti (50 tūkst. Eur)</t>
  </si>
  <si>
    <t>Siūloma sumažinti papriemonės finansinę apimtį 2018 m., nes atlikus paprastojo remonto darbus liko nepanaudotų  lėšų</t>
  </si>
  <si>
    <t>Siūloma padidinti finansavimo apimtį papriemonei (63,7 tūkst. Eur),siekiant atlikti nenumatytus darbus - l/d „Pagrandukas“ stogo remonto, Vytauto Didžiojo gimnazijos papildomus - stogo remonto darbus (atliekant gimnazijos patalpų remontą paaiškėjo, kad III aukšto patalpos drėksta nuo stogo parapetų), M. Mažvydo gimnazijos budėtojų kabineto remonto darbus (įrengus gimnazijos patalpose liftą, šalia esanti patalpa liko nesutvarkyta). Atitinkamai siūloma koreguoti vertinimo kriterijaus reikšmę.</t>
  </si>
  <si>
    <t xml:space="preserve">Siūloma mažinti finansavimo apimtį papriemonei (-41 tūkst. Eur) ir tikslinti vertinimo kriterijaus reikšmę. Sanitarinių patalpų remontas nupirktas pigiau nei planuota. Atlikti papildomi sanitarinių patalpų remonto darbų pirkimai. Iš viso sanitarinės patalpos bus suremontuotos ne 16, 0 19 įstaigų. </t>
  </si>
  <si>
    <t>Pagal Savivaldybės tarybos 2018-06-28 sprendimą Nr. T2-136 Klaipėdos Ievos Simonaitytės mokyklos iškėlimas į Klaipėdos suaugusiųjų gimnazijos III aukšto atlaisvintas patalpas 
(I. Simonaitytės g. 24) atidėtas   2019–2020 m. mekslo metams. Nepanaudotas lėšas siūloma nukreipti kitų priemonių vykdymui.</t>
  </si>
  <si>
    <t>Siūloma sumažinti papriemonės finansavimo apimtį 2018 m., nes automatizuotų šilumos punktų įrengimo darbai atlikti už mažesnę nei planuota anksčiau kainą (-20,9 tūkst. Eur)</t>
  </si>
  <si>
    <t>Siūloma mažinti finansavimo apimtį papriemonei 2018 m. (-10 tūkst. Eur) atsižvelgiant į tai, kad LR aplinkos ministras iki šiol nėra paskelbęs kvietimo teikti paraiškas dėl Atsinaujinančių energijos išteklių panaudojimo visuomeninės ir gyvenamosios paskirties pastatuose. 2018 m. planuojama teikti  paraiškas dėl fotovoltinių elektrinių įrengimo</t>
  </si>
  <si>
    <t>Gal tiesiog rodyti keitimą 78 tūkst, Eur + ir paaiškinti priežastis? Taip kaip paskutinėje priemonėje</t>
  </si>
  <si>
    <t xml:space="preserve">Siūloma pakeisti projekto finansavimo apimtis 2018 ir 2020 m., nes vėliau, nei planuota parengtas techninis projektas, dokumentacija rangos darbų pirkimui rengiama, tačiau 2018 m. lėšos nebus panaudotos </t>
  </si>
  <si>
    <t>Siūloma padidinti finansavimo apimtį papriemonei (63,7 tūkst. Eur),siekiant atlikti nenumatytus darbus - l/d „Pagrandukas“ stogo remonto, Vytauto Didžiojo gimnazijos papildomus - stogo remonto darbus (atliekant gimnazijos patalpų remontą paaiškėjo, kad III aukšto patalpos drėksta nuo stogo parapetų), M. Mažvydo gimnazijos budėtojų kabineto remonto darbus (įrengus gimnazijos patalpose liftą, šalia esanti patalpa liko nesutvarkyta). Atitinkamai siūloma koreguoti vertinimo kriterijaus reikšmę</t>
  </si>
  <si>
    <t>Pagal Savivaldybės tarybos 2018-06-28 sprendimą Nr. T2-136 Klaipėdos Ievos Simonaitytės mokyklos iškėlimas į Klaipėdos suaugusiųjų gimnazijos III aukšto atlaisvintas patalpas 
(I. Simonaitytės g. 24) atidėtas   2019–2020 m. mokslo metams. Nepanaudotas lėšas siūloma nukreipti kitų priemonių vykdymui.</t>
  </si>
  <si>
    <t>Siūloma sumažinti papriemonės finansavimo apimtį 2018 m., nes automatizuotų šilumos punktų įrengimo darbai atlikti už mažesnę nei planuota, kainą (-20,9 tūkst. Eur)</t>
  </si>
  <si>
    <r>
      <rPr>
        <b/>
        <sz val="10"/>
        <color rgb="FFFF0000"/>
        <rFont val="Times New Roman"/>
        <family val="1"/>
        <charset val="186"/>
      </rPr>
      <t xml:space="preserve">Modernių ugdymosi erdvių sukūrimas </t>
    </r>
    <r>
      <rPr>
        <sz val="10"/>
        <color rgb="FFFF0000"/>
        <rFont val="Times New Roman"/>
        <family val="1"/>
        <charset val="186"/>
      </rPr>
      <t xml:space="preserve">Klaipėdos miesto progimnazijose ir gimnazijose („Smeltės“, Liudviko Stulpino, Sendvario, Gedminų, „Verdenės“ progimnazijose ir  „Vėtrungės“, „Varpo“ gimnazijose ) </t>
    </r>
  </si>
  <si>
    <t>SB(VB)'</t>
  </si>
  <si>
    <r>
      <t xml:space="preserve">0  </t>
    </r>
    <r>
      <rPr>
        <strike/>
        <sz val="10"/>
        <color rgb="FFFF0000"/>
        <rFont val="Times New Roman"/>
        <family val="1"/>
        <charset val="186"/>
      </rPr>
      <t>3</t>
    </r>
  </si>
  <si>
    <r>
      <t xml:space="preserve">5 </t>
    </r>
    <r>
      <rPr>
        <strike/>
        <sz val="10"/>
        <color rgb="FFFF0000"/>
        <rFont val="Times New Roman"/>
        <family val="1"/>
        <charset val="186"/>
      </rPr>
      <t xml:space="preserve"> 2</t>
    </r>
  </si>
  <si>
    <r>
      <t xml:space="preserve">5  </t>
    </r>
    <r>
      <rPr>
        <strike/>
        <sz val="10"/>
        <color rgb="FFFF0000"/>
        <rFont val="Times New Roman"/>
        <family val="1"/>
        <charset val="186"/>
      </rPr>
      <t>2</t>
    </r>
  </si>
  <si>
    <r>
      <rPr>
        <b/>
        <sz val="10"/>
        <rFont val="Times New Roman"/>
        <family val="1"/>
        <charset val="186"/>
      </rPr>
      <t>Priemonėje siūlomi šie pakeitimai:</t>
    </r>
    <r>
      <rPr>
        <sz val="10"/>
        <rFont val="Times New Roman"/>
        <family val="1"/>
        <charset val="186"/>
      </rPr>
      <t xml:space="preserve"> 1) reikalinga patikslinti Valstybės biudžeto specialiosios tikslinės dotacijos lėšas ((SB(VB)) pagal LR švietimo ir mokslo ministro  2018-10-01 įsakymą Nr. V-793 "Dėl švietimo ir mokslo ministro 2018 m. sausio 9 d. įsakymo Nr. V-20 "Dėl  specialiosios tikslinės dotacijos mokymo reikmėms finansuoti 2018 metais paskirstymo pagal savivaldybes patvirtinimo" pakeitimo" (+945,4 tūkst. Eur)</t>
    </r>
  </si>
  <si>
    <t>Siūloma sumažinti papriemonės finansines apimtis 2018 m.  (finansavimo šaltiniai SB(ES) ir SB(VB)), atitinkamai padidinti 2019 m.  ir pakoreguoti rodiklius, nes užtruko viešųjų pirkimų techninių specifikacijų derinimas su švietimo įstaigomis bei CPVA, todėl pirkimų procedūros vyko ilgiau nei planuota. Prasidėjus mokslo metams, darbai nebuvo vykdomi, paprašius švietimo įstaigoms atidėti  darbų vykdymą, kuris trukdytų ugdymo procesui</t>
  </si>
  <si>
    <t>Siūloma mažinti papriemonės finansavimo apimtį 2018 m., nes įgyvendinant priemonę liko nepanaudotų lėšų, kurias siūloma panaudoti kitoms priemonėms vykdyti.</t>
  </si>
  <si>
    <t>Siūloma didinti papriemonės finansavimo apimtį, nes reikalinga atnaujinti seną  šaldymo spintą lopšeliui-darželiui „Volungėlė“ (1,7 tūkst. Eur)</t>
  </si>
  <si>
    <t>2) siūloma didinti papriemonės finansavimo apimtį, nes reikalinga atnaujinti seną takelių dangą šalia remontuojamo „Versmės“ progimnazijos sporto aikštyno (5,5 tūkst. Eur), atlikti "Žemynos" gimnazijos rūbinėje esančių sanitarinių patalpų, kanalizacijos bei cokolio remonto darbus (21,8 tūkst. Eur), įrengti Vitės progimnazijos ugdymui skirtas ir sanitarines patalpas (10 tūkst. Eur), suremontuoti grindis Gedminų progimnazijoje (17,7 tūkst. Eur). Remonto darbus organizuos pačios švietimo įstaigos</t>
  </si>
  <si>
    <t xml:space="preserve">3) reikalinga pakeisti papriemonės rodiklį, nes padidėjo mokinių skaičius Vytauto Didžiojo gimnazijos sporto klasėje, taip pat siūloma padidinti finansavimo apimtį (1,3 tūkst. Eur) mokinių  maitinimui </t>
  </si>
  <si>
    <t>4) siūloma mažinti papriemonės finansavimo apimtį (-19,7 tūkst. Eur), nes lėšos, planuotos įstaigų (VšĮ „Universa Via“ ir Klaipėdos licėjus) pasiruošimui įgyvendinti Tarptautinio bakalaureato vidurinio ugdymo programą, nepanaudotos. Šios įstaigos iš savo lėšų apmokėjo Mokytojų profesinio tobulėjimo kursus ir kandidato mokesčius</t>
  </si>
  <si>
    <r>
      <t xml:space="preserve">21 </t>
    </r>
    <r>
      <rPr>
        <strike/>
        <sz val="10"/>
        <color rgb="FFFF0000"/>
        <rFont val="Times New Roman"/>
        <family val="1"/>
      </rPr>
      <t>20</t>
    </r>
  </si>
  <si>
    <r>
      <t xml:space="preserve">21  </t>
    </r>
    <r>
      <rPr>
        <strike/>
        <sz val="10"/>
        <color rgb="FFFF0000"/>
        <rFont val="Times New Roman"/>
        <family val="1"/>
      </rPr>
      <t>20</t>
    </r>
  </si>
  <si>
    <t xml:space="preserve">5) reikia padidinti papriemonės finansavimo apimtį (36,2 tūkst. Eur) ir pakeisti rodiklį, nes nuo 2018-09-01 padidėjo vaikų, kuriems iš dalies kompensuojamas ugdymas nevalstybinėse įstaigose, skaičius </t>
  </si>
  <si>
    <t xml:space="preserve">6) reikia padidinti papriemonės finansavimo apimtį (4,4 tūkst. Eur) ir pakeisti rodiklį pagal 2018-09-06 Administracijos direktoriaus įsakymą Nr. AD1-2147 papildomai įsteigtiems mokytojų padėjėjų etatams VšĮ „Vaivorykštės tako“ gimnazijoje (1 et.) ir Klaipėdos licėjuje (1 et.) nuo 2018-09-01 </t>
  </si>
  <si>
    <t>Siūloma mažinti papriemonės finansavimo apimtį atsižvelgiant į tai, kad l/d „Klevelis“ techninio projekto parengimo paslauga nupirkta už mažesnę kainą (-9 tūkst. Eur)</t>
  </si>
  <si>
    <t xml:space="preserve">Siūloma didinti priemonės finansavimo apimtį, nes įstaigos 2018 m. šildymo sezono metu sunaudojo daugiau kWh, nei buvo planuota </t>
  </si>
  <si>
    <t>2021-ųjų metų lėšų projektas</t>
  </si>
  <si>
    <t>2021-ieji metai</t>
  </si>
  <si>
    <t>Mokytis plaukti vežiojamų vaikų skaičius, vnt.</t>
  </si>
  <si>
    <t>Suorganizuotų edukacinių ir kultūrinių renginių skaičius, vnt., iš jų:</t>
  </si>
  <si>
    <t>Moksleivių saviraiškos centro</t>
  </si>
  <si>
    <t>Vaikų laisvalaikio centro</t>
  </si>
  <si>
    <t>Karalienės Luizės jaunimo centro</t>
  </si>
  <si>
    <t>Rugsėjo 1-osios šventės organizavimas (renginys „Švyturio“ arenoje), vaikų skaičius, vnt.</t>
  </si>
  <si>
    <t>Renginių (kvalifikacijos tobulinimo ir metodiniai) skaičius, vnt.</t>
  </si>
  <si>
    <t>Edukaciniai renginiai, vnt</t>
  </si>
  <si>
    <t>Pasirengimas Gamtos mokslų, technologijų, inžinerijos, matematikos mokslų ir kūrybiškumo ugdymo (STEAM) centro įveiklinimui</t>
  </si>
  <si>
    <t>STEAM metodikos parengimas, vnt.</t>
  </si>
  <si>
    <t>Programų parengimas, vnt.</t>
  </si>
  <si>
    <t>Maitinamų mokinių skaičius, vnt.</t>
  </si>
  <si>
    <t>Universitetinių klasių steigimas Klaipėdos Baltijos gimnazijoje</t>
  </si>
  <si>
    <t>Inžinerinės-gamtamokslinės laboratorijos įrengimas</t>
  </si>
  <si>
    <t>Laboratorinės įrangos ir priemonių įsigijimas, vnt.</t>
  </si>
  <si>
    <t>Dėstytojų etatų skaičius, vnt.</t>
  </si>
  <si>
    <t>Ugdymo proceso užtikrinimas  Klaipėdos sutrikusio vystymosi kūdikių namuose</t>
  </si>
  <si>
    <t>Vykdytojas (skyrius / asmuo)</t>
  </si>
  <si>
    <t>UKD Švietimo skyrius</t>
  </si>
  <si>
    <t>Informavimo ir e. paslaugų skyrius</t>
  </si>
  <si>
    <t>Garantinės priežiūros etapų sk.</t>
  </si>
  <si>
    <t>Informavimo ir e-paslaugų skyrius</t>
  </si>
  <si>
    <t>Švietimo įstaigų modulinių kompleksų įrengimas ir nuoma</t>
  </si>
  <si>
    <t>Išnuomota grupių ikimokykliniam ir priešmokykliniam ugdymui, vnt.</t>
  </si>
  <si>
    <t>Patalpų plotas, kv.m.</t>
  </si>
  <si>
    <t>Įrengtų suoliukų skaičius, vnt.</t>
  </si>
  <si>
    <t>Lauko žaidimų aikštelių ir įrengimų atnaujinimas ikimokyklinėse ugdymo įstaigose</t>
  </si>
  <si>
    <t>MŪD Socialinės infrastruktūros skyrius</t>
  </si>
  <si>
    <t>BĮ Klaipėdos psichologinėje pedagoginėje tarnyboje</t>
  </si>
  <si>
    <t>Stacionarių ar nešiojamų kompiuterių skaičius, vnt.</t>
  </si>
  <si>
    <t>Išmaniųjų klasių įrengimas</t>
  </si>
  <si>
    <t>Neformaliojo švietimo ir pagalbos įstaigų aprūpinimas mobilia-interaktyvia įranga</t>
  </si>
  <si>
    <t>Kompiuterių mokyklose atnaujinimas</t>
  </si>
  <si>
    <t>IED Statybos ir infrastruktūros plėtros skyrius</t>
  </si>
  <si>
    <r>
      <rPr>
        <b/>
        <sz val="10"/>
        <rFont val="Times New Roman"/>
        <family val="1"/>
        <charset val="186"/>
      </rPr>
      <t>Modernių ugdymosi erdvių sukūrimas Klaipėdos miesto progimnazijose ir gimnazijose</t>
    </r>
    <r>
      <rPr>
        <sz val="10"/>
        <rFont val="Times New Roman"/>
        <family val="1"/>
        <charset val="186"/>
      </rPr>
      <t xml:space="preserve"> („Smeltės“, Liudviko Stulpino, „Sendvario“, „Gedminų“, „Verdenės“ progimnazijose ir  „Vėtrungės“, „Varpo“ gimnazijose)</t>
    </r>
  </si>
  <si>
    <t>Parengtas techninis projektas, vnt. </t>
  </si>
  <si>
    <r>
      <t xml:space="preserve">Lifto įrengimas </t>
    </r>
    <r>
      <rPr>
        <b/>
        <sz val="10"/>
        <rFont val="Times New Roman"/>
        <family val="1"/>
      </rPr>
      <t xml:space="preserve">Martyno Mažvydo progimnazijoje </t>
    </r>
  </si>
  <si>
    <r>
      <t xml:space="preserve">Klaipėdos „Versmės“ progimnazijos </t>
    </r>
    <r>
      <rPr>
        <sz val="10"/>
        <rFont val="Times New Roman"/>
        <family val="1"/>
      </rPr>
      <t xml:space="preserve">sporto aikštyno Klaipėdoje, I. Simonaitytės g. 2, atnaujinimas </t>
    </r>
  </si>
  <si>
    <t>IED Projektų skyrius</t>
  </si>
  <si>
    <t>80</t>
  </si>
  <si>
    <t>MŪD Socialinės infrastruktūros priežiūros skyrius</t>
  </si>
  <si>
    <r>
      <t xml:space="preserve">Gedminų progimnazijos modernizavimas </t>
    </r>
    <r>
      <rPr>
        <sz val="10"/>
        <rFont val="Times New Roman"/>
        <family val="1"/>
      </rPr>
      <t>(projekto „Bendrojo ugdymo mokyklų (progimnazijų, pagrindinių mokyklų) modernizavimas ir šiuolaikinių mokymosi erdvių kūrimas“ įgyvendinimas)</t>
    </r>
  </si>
  <si>
    <r>
      <rPr>
        <b/>
        <sz val="10"/>
        <rFont val="Times New Roman"/>
        <family val="1"/>
      </rPr>
      <t>BĮ Klaipėdos Simono Dacho progimnazijos</t>
    </r>
    <r>
      <rPr>
        <sz val="10"/>
        <rFont val="Times New Roman"/>
        <family val="1"/>
      </rPr>
      <t xml:space="preserve"> (Kuršių a. 2/3) modernizavimas (sporto salės atnaujinimas) </t>
    </r>
  </si>
  <si>
    <t>Ataskaitos patvirtinimas, finansų auditas ir viešinimas, vnt.</t>
  </si>
  <si>
    <t>Atlikta modernizavimo darbų, užbaigtumas proc.</t>
  </si>
  <si>
    <t>Pilotinio projekto H. Zudermano gimnazijos pastato ūkio priežiūros sistemos diegimas</t>
  </si>
  <si>
    <t>2021 m. lėšų projektas</t>
  </si>
  <si>
    <t>SB(ES)'</t>
  </si>
  <si>
    <t>Aiškinamojo rašto priedas Nr.3</t>
  </si>
  <si>
    <t>08</t>
  </si>
  <si>
    <t>09</t>
  </si>
  <si>
    <t>11</t>
  </si>
  <si>
    <t>12</t>
  </si>
  <si>
    <t>13</t>
  </si>
  <si>
    <t>14</t>
  </si>
  <si>
    <t>15</t>
  </si>
  <si>
    <t>16</t>
  </si>
  <si>
    <t>17</t>
  </si>
  <si>
    <t>18</t>
  </si>
  <si>
    <t>19</t>
  </si>
  <si>
    <t>20</t>
  </si>
  <si>
    <t xml:space="preserve">Klaipėdos miesto bendrojo ugdymo mokyklų antrųjų klasių mokinių vežimo paslaugos mokyti plaukti užtikrinimas  </t>
  </si>
  <si>
    <t xml:space="preserve">Pedagogų kompetencijų tobulinimas, siekiant švietimo įstaigose įgyvendinti privalomas prevencines programas </t>
  </si>
  <si>
    <t>Papriemonės kodas</t>
  </si>
  <si>
    <t>Papariemonės kodas</t>
  </si>
  <si>
    <t>Projekto vadovė I. Dulkytė</t>
  </si>
  <si>
    <t>Projekto vadovė D. Šakinienė</t>
  </si>
  <si>
    <t>Eil. Nr.</t>
  </si>
  <si>
    <t>Planuojama priemonė</t>
  </si>
  <si>
    <t>Įstaiga, atsakinga už priemonę</t>
  </si>
  <si>
    <t>Mėnuo</t>
  </si>
  <si>
    <t>Planuojamas lėšų poreikis (Eur)</t>
  </si>
  <si>
    <t xml:space="preserve">1. </t>
  </si>
  <si>
    <t>1.1.</t>
  </si>
  <si>
    <t>Metodinė diena „Standartizuotų testų rezultatų panaudojimo galimybės, gerinant individualius mokinių pasiekimus“</t>
  </si>
  <si>
    <t>PŠKC</t>
  </si>
  <si>
    <t>vasaris</t>
  </si>
  <si>
    <t>1.2.</t>
  </si>
  <si>
    <t>Respublikinė mokinių teorinė-praktinė konferencija „Sveika karta – tautos ateities pagrindas“</t>
  </si>
  <si>
    <t>KLJC</t>
  </si>
  <si>
    <t>1.3.</t>
  </si>
  <si>
    <t>Mokinių ir studentų mokslinė-praktinė konferencija „Gimtosios kalbos upės ir upeliai“</t>
  </si>
  <si>
    <t>1.4.</t>
  </si>
  <si>
    <t>Respublikinė konferencija „Motyvacija mokytis – pagrindinis geros mokyklos aspektas“</t>
  </si>
  <si>
    <t>kovas</t>
  </si>
  <si>
    <t>1.5.</t>
  </si>
  <si>
    <t>Forumas „Lyderių laikas 3. Pokyčių sėkmė – komandinis darbas“</t>
  </si>
  <si>
    <t>balandis</t>
  </si>
  <si>
    <t>1.6.</t>
  </si>
  <si>
    <t>Tarptautinė mokinių informacinių technologijų konferencija „MIK–11“</t>
  </si>
  <si>
    <t>MSC</t>
  </si>
  <si>
    <t>1.7.</t>
  </si>
  <si>
    <t>Mokinių konferenciją „Klaipėdos versmės: pažink savo gimtąjį miestą“</t>
  </si>
  <si>
    <t>1.8.</t>
  </si>
  <si>
    <t>Miesto metodinių būrelių organizuojamos Klaipėdos krašto ir respublikinės konferencijos mokytojams ir specialistams</t>
  </si>
  <si>
    <t>balandis–gruodis</t>
  </si>
  <si>
    <t>1.9.</t>
  </si>
  <si>
    <t>Metodinė išvyka-konferencija „Klaipėdos krašto rašytojų keliais“</t>
  </si>
  <si>
    <t>1.10.</t>
  </si>
  <si>
    <t>Klaipėdos miesto švietimo įstaigų vadovų rudeninė konferencija „Naujus mokslo metus pasitinkant“</t>
  </si>
  <si>
    <t>rugpjūtis</t>
  </si>
  <si>
    <t>1.11.</t>
  </si>
  <si>
    <t>Mokinių konferencija „Programavimas – mano laisvalaikio dalis“</t>
  </si>
  <si>
    <t>spalis</t>
  </si>
  <si>
    <t>1.12.</t>
  </si>
  <si>
    <t>Klaipėdos miesto ir regiono mokinių praktinių-tiriamųjų darbų gamtamokslinė konferencija „Pažink mus supantį pasaulį“</t>
  </si>
  <si>
    <t>1.13.</t>
  </si>
  <si>
    <t>Forumas „Lyderių laikas 3. Pasidalinamoji lyderystė, įgyvendinant pokyčių planą“</t>
  </si>
  <si>
    <t>1.14.</t>
  </si>
  <si>
    <t>Apskrities mokinių matematikos konferencija „Matematika gali būti patraukli kiekvienam “</t>
  </si>
  <si>
    <t>lapkritis</t>
  </si>
  <si>
    <t>2.1.</t>
  </si>
  <si>
    <t>Lietuvos mokinių dalykinių olimpiadų ir konkursų Klaipėdos miesto etapas. Reprezentaciniai renginiai</t>
  </si>
  <si>
    <t>sausis–gruodis</t>
  </si>
  <si>
    <t>2.2.</t>
  </si>
  <si>
    <t>Dailaus rašto konkursas „Žąsies plunksna“</t>
  </si>
  <si>
    <t>sausis</t>
  </si>
  <si>
    <t>2.3.</t>
  </si>
  <si>
    <t>Gimnazijų mokinių skaitovų konkursas „Gyvenimo spalvos“ (užsienio kalba)</t>
  </si>
  <si>
    <t>2.4.</t>
  </si>
  <si>
    <t>Klaipėdos miesto ir regiono mokinių gamtamokslinių idėjų konkursas</t>
  </si>
  <si>
    <t>2.5.</t>
  </si>
  <si>
    <t>Regioninis IT turnyras „IT intelektas – 2019“</t>
  </si>
  <si>
    <t>2.6.</t>
  </si>
  <si>
    <t>Jaunųjų oratorių konkursas (gimtąja kalba)</t>
  </si>
  <si>
    <t>2.7.</t>
  </si>
  <si>
    <t>Antikos kultūros konkursas „Veni. Vidi. Vici“</t>
  </si>
  <si>
    <t>2.8.</t>
  </si>
  <si>
    <t>Viktorina „Aš žinau, kaip būti saugiam ir padėti kitam – 2019!“</t>
  </si>
  <si>
    <t>2.9.</t>
  </si>
  <si>
    <t>Informacinių technologijų konkursas „IT varžybos‟</t>
  </si>
  <si>
    <t>2.10.</t>
  </si>
  <si>
    <t>5 klasių mokinių konkursas „Jaunieji Klaipėdos istorijos žinovai“</t>
  </si>
  <si>
    <t>2.11.</t>
  </si>
  <si>
    <t>Klaipėdos regiono 8 klasių mokinių anglų kalbos konkursas</t>
  </si>
  <si>
    <t>2.12.</t>
  </si>
  <si>
    <t>Miesto 8 klasių mokinių chemijos konkursas „Auksinis mėgintuvėlis–2019“</t>
  </si>
  <si>
    <t>2.13.</t>
  </si>
  <si>
    <t>Klaipėdos miesto ir regiono mokinių konkursas-viktorina „Noriu būti sveikas“</t>
  </si>
  <si>
    <t>2.14.</t>
  </si>
  <si>
    <t>Lietuvos matematikos olimpiados respublikinis etapas</t>
  </si>
  <si>
    <t>2.15.</t>
  </si>
  <si>
    <t>Lietuvos mokinių dalykinių olimpiadų ir konkursų ir Klaipėdos miesto etapo laureatų ir prizininkų pagerbimo šventė</t>
  </si>
  <si>
    <t>gegužė</t>
  </si>
  <si>
    <t>2.16.</t>
  </si>
  <si>
    <t>Raštų skaitymo ir rašinių konkursas „Vyskupo Motiejaus Valančiaus idėjos ir šiandiena“</t>
  </si>
  <si>
    <t>2.17.</t>
  </si>
  <si>
    <t>Pradinių klasių mokinių meninio skaitymo konkursas „Gražiausi žodžiai Lietuvai“</t>
  </si>
  <si>
    <t>2.18.</t>
  </si>
  <si>
    <t>Klaipėdos regiono mokinių meninio skaitymo ir dainuojamosios poezijos konkursas „Tegul suskamba žodis, tegul skamba daina“</t>
  </si>
  <si>
    <t>2.19.</t>
  </si>
  <si>
    <t>Ikimokyklinio ir priešmokyklinio amžiaus vaikų meninio skaitymo konkursas „Kalbu Lietuvai“</t>
  </si>
  <si>
    <t>2.20.</t>
  </si>
  <si>
    <t>Miesto mokyklų 3–4 klasių mokinių konkursas „Pažink senuosius klaipėdiškių darbus“</t>
  </si>
  <si>
    <t>2.21.</t>
  </si>
  <si>
    <t>Dailaus rašto konkursas „Rusiškai rašome gražiai ir taisyklingai“</t>
  </si>
  <si>
    <t>2.22.</t>
  </si>
  <si>
    <t>Konkursas „Profesijų labirintas“</t>
  </si>
  <si>
    <t xml:space="preserve">lapkritis </t>
  </si>
  <si>
    <t>2.23.</t>
  </si>
  <si>
    <t>Vakarų Lietuvos gimnazijų moksleivių virtualaus rašinio konkurso anglų kalba baigiamasis renginys</t>
  </si>
  <si>
    <t>3.1.</t>
  </si>
  <si>
    <t>Klaipėdos krašto dienai skirti renginiai „Aš noriu gyventi tik čia“</t>
  </si>
  <si>
    <t>3.2.</t>
  </si>
  <si>
    <t>Lietuvos valstybės atkūrimui skirti renginiai „Lietuva–miestas–mokykla“</t>
  </si>
  <si>
    <t>3.3.</t>
  </si>
  <si>
    <t>Karalienės Luizės medalių teikimo šventė</t>
  </si>
  <si>
    <t>3.4.</t>
  </si>
  <si>
    <t>Lietuvos nepriklausomybės atkūrimo dienai skirti renginiai „Geltona. Žalia. Raudona."</t>
  </si>
  <si>
    <t>3.5.</t>
  </si>
  <si>
    <t>Padėkos renginys metodinių būrelių mokytojams „Pastabos pačiam sau“</t>
  </si>
  <si>
    <t>3.6.</t>
  </si>
  <si>
    <t>Mero priėmimas miesto abiturientams. Paskutinio skambučio šventė</t>
  </si>
  <si>
    <t>3.7.</t>
  </si>
  <si>
    <t>Ikimokyklinio ugdymo įstaigų renginys, skirtas Tarptautinei vaikų gynimo dienai</t>
  </si>
  <si>
    <t>birželis</t>
  </si>
  <si>
    <t>3.8.</t>
  </si>
  <si>
    <t>Mero priėmimas „Klaipėdos miesto pasididžiavimas – šimtukininkas“</t>
  </si>
  <si>
    <t>liepa</t>
  </si>
  <si>
    <t>3.9.</t>
  </si>
  <si>
    <t>Pirmoji pamoka Lietuvininkų aikštėje</t>
  </si>
  <si>
    <t>rugsėjis</t>
  </si>
  <si>
    <t>3.10.</t>
  </si>
  <si>
    <t>Tarptautinė mokytojų dienos šventė</t>
  </si>
  <si>
    <t>3.11.</t>
  </si>
  <si>
    <t>Mero kalėdinis priėmimas miesto gabiausiems mokiniams</t>
  </si>
  <si>
    <t>gruodis</t>
  </si>
  <si>
    <t>4.1.</t>
  </si>
  <si>
    <t>2018–2019 m. m. Mero taurės sporto žaidynės</t>
  </si>
  <si>
    <t>4.2.</t>
  </si>
  <si>
    <t>2018–2019 m. m. Lietuvos mokyklų žaidynės</t>
  </si>
  <si>
    <t>4.3.</t>
  </si>
  <si>
    <t>Tarpmokyklinės rankų lenkimo varžybos „Aš galiu!“</t>
  </si>
  <si>
    <t>4.4.</t>
  </si>
  <si>
    <t>Atviros miesto paprasčiausių laivų modelių varžybos</t>
  </si>
  <si>
    <t>4.5.</t>
  </si>
  <si>
    <t>Žiemos pėsčiųjų žygis „Kuršių nerijos takais“</t>
  </si>
  <si>
    <t>4.6.</t>
  </si>
  <si>
    <t>Klaipėdos Robotikos dienos</t>
  </si>
  <si>
    <t>vasaris, gruodis</t>
  </si>
  <si>
    <t>4.7.</t>
  </si>
  <si>
    <t>Miesto XXIV aviamodelių varžybos „Skrydis“</t>
  </si>
  <si>
    <t>4.8.</t>
  </si>
  <si>
    <t>Laipiojimo uolomis varžybos „Visiems“</t>
  </si>
  <si>
    <t>kovas–lapkritis</t>
  </si>
  <si>
    <t>4.9.</t>
  </si>
  <si>
    <t>Lietuvos mokinių konkurso „Saugokime jaunas gyvybes keliuose“ pradinių klasių mokinių saugaus eismo konkurso „Šviesoforas“ II (miesto) etapas</t>
  </si>
  <si>
    <t>4.10.</t>
  </si>
  <si>
    <t>Lietuvos trasinių automodelių sporto varžybų „Lietuvos trasos“ III etapas</t>
  </si>
  <si>
    <t>4.11.</t>
  </si>
  <si>
    <t>Respublikinis šachmatų turnyras „Baltijos taurė“</t>
  </si>
  <si>
    <t>VLC</t>
  </si>
  <si>
    <t>4.12.</t>
  </si>
  <si>
    <t>Orientavimosi sporto ketvirtadieniai</t>
  </si>
  <si>
    <t>balandis–spalis</t>
  </si>
  <si>
    <t>4.13.</t>
  </si>
  <si>
    <t>Mokinių turistinis sąskrydis „Baltijos pavasaris”</t>
  </si>
  <si>
    <t>4.14.</t>
  </si>
  <si>
    <t>Ikimokyklinio amžiaus vaikų sveikatos ir sporto šventė prie jūros „Draugystės krantas“</t>
  </si>
  <si>
    <t>4.15.</t>
  </si>
  <si>
    <t>Mokinių bepiločių orlaivių (dronų) varžybos</t>
  </si>
  <si>
    <t>gegužė, lapkritis</t>
  </si>
  <si>
    <t>4.16.</t>
  </si>
  <si>
    <t>Rudens žygis pėsčiomis „Mūsų pajūris: Šventoji–Palanga–Klaipėda”</t>
  </si>
  <si>
    <t>4.17.</t>
  </si>
  <si>
    <t>Dviračių turizmo varžybos „Gintarinės kopos“</t>
  </si>
  <si>
    <t>4.18.</t>
  </si>
  <si>
    <t>Klaipėdos miesto vaikų ir jų tėvų rudens sporto šventė-projektas „Šeimos pramogų uostas“</t>
  </si>
  <si>
    <t>4.19.</t>
  </si>
  <si>
    <t>Ekskursijų savaitė pradinių klasių mokiniams „Pasivaikščiojimas su Senamiesčio katinu“</t>
  </si>
  <si>
    <t>4.20.</t>
  </si>
  <si>
    <t>Varžybos „Senamiesčio orientavimosi ralis – 2019“</t>
  </si>
  <si>
    <t>5.</t>
  </si>
  <si>
    <t>5.1.</t>
  </si>
  <si>
    <t>Mokinių koncertas-akcija „Aš noriu gyventi tik čia“</t>
  </si>
  <si>
    <t>5.2.</t>
  </si>
  <si>
    <t>Festivalis-konkursas „Dainuok lietuviškai, dainuok apie Lietuvą“</t>
  </si>
  <si>
    <t>5.3.</t>
  </si>
  <si>
    <t>Respublikinis skrabalininkų konkursas „Pamario žirgeliai“</t>
  </si>
  <si>
    <t>5.4.</t>
  </si>
  <si>
    <t>Žemaitijos regiono lėlių teatrų festivalis „Šalpusnis“</t>
  </si>
  <si>
    <t>5.5.</t>
  </si>
  <si>
    <t>Šiaurinės miesto dalies švietimo įstaigų koncertas „Nupiešiu Lietuvą“</t>
  </si>
  <si>
    <t>5.6.</t>
  </si>
  <si>
    <t>Tautinė vakaronė „Aš tikrai myliu Lietuvą“</t>
  </si>
  <si>
    <t>5.7.</t>
  </si>
  <si>
    <t>Vokalinių duetų konkursas-festivalis „Dviese“</t>
  </si>
  <si>
    <t>5.8.</t>
  </si>
  <si>
    <t>Integruoto (šokio/dailės) projekto „Šokis mano gyvenime XV“ respublikinis renginys</t>
  </si>
  <si>
    <t>5.9.</t>
  </si>
  <si>
    <t>VI tarptautinis nacionalinės dainos konkursas „Garsų paletė“</t>
  </si>
  <si>
    <t>5.10.</t>
  </si>
  <si>
    <t>Lietuvos lėlių teatrų konkursas „Molinuko teatras“ miesto ir šalies etapai</t>
  </si>
  <si>
    <t>5.11.</t>
  </si>
  <si>
    <t>Ikimokyklinio ugdymo įstaigų šventinis koncertas „Praeitis augina ateitį“</t>
  </si>
  <si>
    <t>5.12.</t>
  </si>
  <si>
    <t>Klaipėdos regiono dainų konkursas „Geriausias gimnazijų balsas“</t>
  </si>
  <si>
    <t>5.13.</t>
  </si>
  <si>
    <t>Teatrinio meno festivalis „Vėjo malūnėlis“</t>
  </si>
  <si>
    <t>5.14.</t>
  </si>
  <si>
    <t>Respublikinis mažųjų šokėjų festivalis „Traukinukas – 2019“</t>
  </si>
  <si>
    <t>5.15.</t>
  </si>
  <si>
    <t>Respublikinis vaikų teatrų festivalis „Teatro uostas“</t>
  </si>
  <si>
    <t xml:space="preserve">balandis </t>
  </si>
  <si>
    <t>5.16.</t>
  </si>
  <si>
    <t>Tarptautinis festivalis „Šokio vizija“</t>
  </si>
  <si>
    <t>5.17.</t>
  </si>
  <si>
    <t>XVIII Klaipėdos miesto ir apskrities mokyklų vaikų ir jaunimo instrumentinės muzikos festivalis „Varpo aidas“</t>
  </si>
  <si>
    <t>Tarptautinis teatrinio meno festivalis „Gintarinė aušra“</t>
  </si>
  <si>
    <t>5.18.</t>
  </si>
  <si>
    <t>V respublikinis tarpmokyklinis šokių konkursas-festivalis „Šokio mozaika – 2019“</t>
  </si>
  <si>
    <t>5.19.</t>
  </si>
  <si>
    <t>Liaudiškos dainos festivalis-konkursas ,,Vyturio giesmė“</t>
  </si>
  <si>
    <t>5.20.</t>
  </si>
  <si>
    <t>Choreografijos studijos „Inkarėlis“ festivalis „Į ratelį“</t>
  </si>
  <si>
    <t>5.21.</t>
  </si>
  <si>
    <t>Klaipėdos miesto ir Žemaitijos regiono jaunųjų gitaristų konkursas „Gitaroms skambant“</t>
  </si>
  <si>
    <t>5.22.</t>
  </si>
  <si>
    <t>Klaipėdos miesto ir regiono bendro ugdymo mokyklų ,,Vokiškos dainos konkursas – 2019“</t>
  </si>
  <si>
    <t>5.23.</t>
  </si>
  <si>
    <t>Respublikinis ikimokyklinio ugdymo įstaigų vaikų kūrybinės raiškos festivalis „Vaidinimų kraitelė – 2019“</t>
  </si>
  <si>
    <t>VI tarptautinis jaunųjų pianistų konkursas „Baltijos gintarėliai“</t>
  </si>
  <si>
    <t>Instrumentinės muzikos festivalis „Senoji muzika“</t>
  </si>
  <si>
    <t>Vakarų Lietuvos vaikų ir jaunimo muzikos grupių festivalis „Muzikos šėlsmas“</t>
  </si>
  <si>
    <t>6.</t>
  </si>
  <si>
    <t>6.1.</t>
  </si>
  <si>
    <t>Respublikinis piešinių ir fotografijos darbų konkursas „Trijų spalvų istorija“</t>
  </si>
  <si>
    <t>sausis–balandis</t>
  </si>
  <si>
    <t>6.2.</t>
  </si>
  <si>
    <t>Ikimokyklinio amžiaus vaikų piešinių parodos „Mano piešinyje gyvena Lietuva“</t>
  </si>
  <si>
    <t>kovas–</t>
  </si>
  <si>
    <t>6.3.</t>
  </si>
  <si>
    <t>Tarptautinė keramikos darbų paroda „Odė žemei–2019“</t>
  </si>
  <si>
    <t>6.4.</t>
  </si>
  <si>
    <t>Penktasis tarptautinis mokinių piešinių ir plastikos konkursas „Wave on Wave“</t>
  </si>
  <si>
    <t>6.5.</t>
  </si>
  <si>
    <t>Mokinių fotografijos paroda-konkursas „Polėkis”</t>
  </si>
  <si>
    <t>6.6.</t>
  </si>
  <si>
    <t>Kūrybinių darbų konkursas „Baltos lankos, juodos avys“</t>
  </si>
  <si>
    <t>6.7.</t>
  </si>
  <si>
    <t>Miesto mokinių popieriaus darbų paroda „Stebuklingas popierius“</t>
  </si>
  <si>
    <t>6.8.</t>
  </si>
  <si>
    <t>Ikimokyklinio amžiaus vaikų keramikos darbų paroda „Keramikų pavasaris“</t>
  </si>
  <si>
    <t>6.9.</t>
  </si>
  <si>
    <t>Respublikinis piešinių ir dailės darbų konkursas „Šiuolaikinė madona“, skirtas Motinos dienai</t>
  </si>
  <si>
    <t xml:space="preserve">gegužė </t>
  </si>
  <si>
    <t>6.10.</t>
  </si>
  <si>
    <t>Pleneras „Dvarai pasakoja...“</t>
  </si>
  <si>
    <t>6.11.</t>
  </si>
  <si>
    <t xml:space="preserve">Parodų ciklas miesto mokiniams ,,Jaunųjų dailininkų ekspromtas–3“ </t>
  </si>
  <si>
    <t>birželis–spalis</t>
  </si>
  <si>
    <t>6.12.</t>
  </si>
  <si>
    <t>Klaipėdos miesto mokinių darbų iš gamtinės medžiagos paroda „Floristinė knyga“</t>
  </si>
  <si>
    <t>6.13.</t>
  </si>
  <si>
    <t>Trumpo metro kino, muzikinių vaizdo klipų bei reklamų festivalis – konkursas „Video virdulys“ (Atviros jaunimo erdvės)</t>
  </si>
  <si>
    <t>6.14.</t>
  </si>
  <si>
    <t>Tarptautinis kompiuterinių piešinių konkursas „The miracles of the Christmas“</t>
  </si>
  <si>
    <t>7.</t>
  </si>
  <si>
    <t>7.1.</t>
  </si>
  <si>
    <t>Respublikinis projektas „Šypsena nieko nekainuoja“</t>
  </si>
  <si>
    <t>sausis–gegužė</t>
  </si>
  <si>
    <t>7.2.</t>
  </si>
  <si>
    <t>Projektas „Literatūriniai skaitymai netradicinėse erdvėse“</t>
  </si>
  <si>
    <t>7.3.</t>
  </si>
  <si>
    <t>Projektų mugė „Gedminai – 2019. Lietuva prasideda mokykloje“</t>
  </si>
  <si>
    <t>7.4.</t>
  </si>
  <si>
    <t>Edukacinių renginių ciklas miesto mokiniams „Vakarai prie židinio“</t>
  </si>
  <si>
    <t>vasaris–lapkritis</t>
  </si>
  <si>
    <t>7.5.</t>
  </si>
  <si>
    <t>Mokinių mokomųjų bendrovių mugė</t>
  </si>
  <si>
    <t>7.6.</t>
  </si>
  <si>
    <t>Frankofonijos diena</t>
  </si>
  <si>
    <t>7.7.</t>
  </si>
  <si>
    <t>Klaipėdos miesto metodinių būrelių pirmininkų edukacinė išvyka „Partnerystė plėtojant metodinę veiklą“</t>
  </si>
  <si>
    <t>7.8..</t>
  </si>
  <si>
    <t>kovas–liepa</t>
  </si>
  <si>
    <t>7.9.</t>
  </si>
  <si>
    <t>Kūrybinis-pažintinis konkursas „Jei bendrai visi judėsim, miesto paslaptį įspėsim“</t>
  </si>
  <si>
    <t>7.10.</t>
  </si>
  <si>
    <t>Tęstinis projektas „Švietimo vadybos tobulinimo galimybės. Ko galime pasimokyti iš kitų patirties?“</t>
  </si>
  <si>
    <t>7.11.</t>
  </si>
  <si>
    <t>Pavasario jaunimo ekspedicija „Mažoji Lietuva – 2019“</t>
  </si>
  <si>
    <t>7.12.</t>
  </si>
  <si>
    <t>Priešmokyklinio amžiaus vaikų renginys „Aš – smalsus tyrėjas“</t>
  </si>
  <si>
    <t>7.13.</t>
  </si>
  <si>
    <t>Projektas „Knygų ekspertų kovos“</t>
  </si>
  <si>
    <t>7.14.</t>
  </si>
  <si>
    <t>Projektas „Atsakymo ieškokime kartu“</t>
  </si>
  <si>
    <t>7.15.</t>
  </si>
  <si>
    <t>Projektas „Ant mokyklos stogo“</t>
  </si>
  <si>
    <t>7.16.</t>
  </si>
  <si>
    <t>Projektas „Šeimų dienos bendrojo ugdymo įstaigose“</t>
  </si>
  <si>
    <t>7.17.</t>
  </si>
  <si>
    <t>Mokinių, turinčių įvairių gebėjimų ir poreikių, saviraiškos festivalis „Man smagu, Tau smagu, tad pabūkime kartu“</t>
  </si>
  <si>
    <t>7.18.</t>
  </si>
  <si>
    <t>Puodžių gatvės šventė „Lietuva prasideda mano gatvėje!“</t>
  </si>
  <si>
    <t>7.19.</t>
  </si>
  <si>
    <t>Edukacinė išvyka „Atraskim Lietuvą Lietuvoje“</t>
  </si>
  <si>
    <t>7.20.</t>
  </si>
  <si>
    <t>Tarptautinis festivalis-projektas „Žaisminga laisvalaikio diena“</t>
  </si>
  <si>
    <t>7.21.</t>
  </si>
  <si>
    <t>Projektas „Vandens telkinių gyvasis pasaulis“</t>
  </si>
  <si>
    <t>gegužė,</t>
  </si>
  <si>
    <t>7.22.</t>
  </si>
  <si>
    <t>Klaipėdos miesto keramikos edukacinis projektas „Sidabrinės žuvys gintarinėj upėj“</t>
  </si>
  <si>
    <t>7.23.</t>
  </si>
  <si>
    <t>Tarptautinis projektas „Ugdymo karjerai sistemų įvairovė“</t>
  </si>
  <si>
    <t>7.24.</t>
  </si>
  <si>
    <t>Kūrybinis literatūrinis žaidimas „Vaikai vaikams apie knygas“</t>
  </si>
  <si>
    <t>7.25.</t>
  </si>
  <si>
    <t>Projektas „2019 metų suaugusiųjų mokymosi savaitė“</t>
  </si>
  <si>
    <t>KONFERENCIJOS</t>
  </si>
  <si>
    <t>DALYKINĖS OLIMPIADOS IR KONKURSAI</t>
  </si>
  <si>
    <t>TRADICINĖS MIESTO ŠVENTĖS IR RENGINIAI</t>
  </si>
  <si>
    <t>SPORTO IR SVEIKOS GYVENSENOS RENGINIAI</t>
  </si>
  <si>
    <t>MUZIKINIAI, CHOREOGRAFINIAI IR TEATRINIAI RENGINIAI</t>
  </si>
  <si>
    <t>PARODOS IR VIZUALINIO MENO KONKURSAI</t>
  </si>
  <si>
    <t>PROJEKTAI IR AKCIJOS</t>
  </si>
  <si>
    <t>2.</t>
  </si>
  <si>
    <t>3.</t>
  </si>
  <si>
    <t>4.</t>
  </si>
  <si>
    <r>
      <t>Renginiai, skirti miesto bendruomenei „Aš klaipėdietis visa širdimi esu“</t>
    </r>
    <r>
      <rPr>
        <sz val="11"/>
        <rFont val="Times New Roman"/>
        <family val="1"/>
        <charset val="186"/>
      </rPr>
      <t xml:space="preserve"> </t>
    </r>
    <r>
      <rPr>
        <sz val="12"/>
        <rFont val="Times New Roman"/>
        <family val="1"/>
        <charset val="186"/>
      </rPr>
      <t>(Atviros jaunimo erdvės)</t>
    </r>
  </si>
  <si>
    <t>Iš viso visiems renginiams:</t>
  </si>
  <si>
    <t xml:space="preserve">Projekto vadovė I. Dulkytė </t>
  </si>
  <si>
    <t xml:space="preserve">IED Projektų skyrius </t>
  </si>
  <si>
    <t>Projektų skyrius D. Šakinienė</t>
  </si>
  <si>
    <t>IED D. Šakinienė ir V. Tkačik</t>
  </si>
  <si>
    <t>IED V. Tkačik ir V. Kovaitis</t>
  </si>
  <si>
    <t>Klaipėdos jūrų kadetų mokyklos steigimas:</t>
  </si>
  <si>
    <t>Patalpų pritaikymas</t>
  </si>
  <si>
    <t>Klasių skaičius, vnt.</t>
  </si>
  <si>
    <t>Įrengtų technologijų kabinetų skaičius, vnt.</t>
  </si>
  <si>
    <t xml:space="preserve">Vidaus patalpų remontas po šiluminės renovacijos (2020 m. - L.Stulpino progimnazijos bibliotekos ir aktų salės remontas) </t>
  </si>
  <si>
    <t>Ugdymo proceso ir aplinkos užtikrinimas</t>
  </si>
  <si>
    <t>Energetinio efektyvumo didinimas ikimokyklinio ugdymo įstaigose:</t>
  </si>
  <si>
    <t>Edukacinių erdvių įrengimas Klaipėdos „Verdenės“ progimnazijoje</t>
  </si>
  <si>
    <t xml:space="preserve">Projektų skyrius,  V. Pronskuvienė </t>
  </si>
  <si>
    <t>Švietimo paslaugų modernizavimo 2018-2021 metais programos priemonių įgyvendinimas:</t>
  </si>
  <si>
    <t xml:space="preserve">iš jų mokinių skaičius, vnt. </t>
  </si>
  <si>
    <t>Maitinimo ikimokyklinio ugdymo įstaigose administravimo informacinės sistemos sukūrimas ir priežiūra</t>
  </si>
  <si>
    <r>
      <rPr>
        <b/>
        <sz val="10"/>
        <rFont val="Times New Roman"/>
        <family val="1"/>
        <charset val="186"/>
      </rPr>
      <t xml:space="preserve">Klaipėdos „Versmės“ progimnazijos </t>
    </r>
    <r>
      <rPr>
        <sz val="10"/>
        <rFont val="Times New Roman"/>
        <family val="1"/>
        <charset val="186"/>
      </rPr>
      <t xml:space="preserve">sporto salės atnaujinimas </t>
    </r>
  </si>
  <si>
    <t>m/d „Saulutė“, l/d „Vėrinėlis“, l/d „Pingvinukas“, l/d „Putinėlis“, l/d „Kregždutė“, l/d „Radastėlė“, l/d „Boružėlė“</t>
  </si>
  <si>
    <t xml:space="preserve">Švietimo įstaigų paprastasis remontas ((2019 m. – l.-d. „Čiauškutė“, „Eglutė“,  „Linelis“,  „Liepaitė“, „Vyturėlis“, progimnazijos „Vyturys“, „Santarvė“, „Vėtrungės“, „Pajūrio“ gimnazijos, RUC, klubas „Draugystė“, 3–6 švietimo įstaigų buitinių tinklų remontas) </t>
  </si>
  <si>
    <t>Klaipėdos „Gilijos“ pradinei mokyklai perduotų patalpų pritaikymas mokyklos reikmėms</t>
  </si>
  <si>
    <t>Nuotolinio mokymo savivaldybės švietimo įstaigose  plėtojimas</t>
  </si>
  <si>
    <t>Savivaldybės biudžetinės įstaigos bandomojo energijos vartojimo efektyvumo didinimo projekto įgyvendinimas (2020 m. – l-d „Klevelis“)</t>
  </si>
  <si>
    <t>Klaipėdos miesto savivaldybės ugdymo proceso užtikrinimo programos (Nr. 10) aprašymo                                       priedas</t>
  </si>
  <si>
    <t>Apmokėtas kreditorinis įsiskolinimas, proc.</t>
  </si>
  <si>
    <t>Mokinių pavėžėjimo užtikrinimas mokiniams, kuriems taikomos pavėžėjimo lengvatos</t>
  </si>
  <si>
    <t>Pavėžėta mokinių, skaičius</t>
  </si>
  <si>
    <t xml:space="preserve">Vidaus patalpų remontas po šiluminės renovacijos </t>
  </si>
  <si>
    <r>
      <t xml:space="preserve">Klaipėdos Tauralaukio progimnazijos pastato (Klaipėdos g. 31) rekonstravimas </t>
    </r>
    <r>
      <rPr>
        <sz val="10"/>
        <rFont val="Times New Roman"/>
        <family val="1"/>
        <charset val="186"/>
      </rPr>
      <t>į ikimokyklinio ir priešmokyklinio ugdymo įstaigą</t>
    </r>
  </si>
  <si>
    <t>Maitinamų mokinių skaičius</t>
  </si>
  <si>
    <r>
      <rPr>
        <b/>
        <sz val="10"/>
        <rFont val="Times New Roman"/>
        <family val="1"/>
        <charset val="186"/>
      </rPr>
      <t xml:space="preserve">Sporto aikštynų atnaujinimas </t>
    </r>
    <r>
      <rPr>
        <sz val="10"/>
        <rFont val="Times New Roman"/>
        <family val="1"/>
        <charset val="186"/>
      </rPr>
      <t>(modernizavimas) (2019 m. - „Verdenės“, Simono Dacho, „Vyturio“ progimnazijose)</t>
    </r>
  </si>
  <si>
    <t>Įstaigų, kuriose įrengtos saulės (fotovoltinės) elektrinės, skaičius</t>
  </si>
  <si>
    <t>Švietimo įstaigų lauko inžinerinių tinklų remontas (2019 m. – „Aitvaro“,  Vydūno ir „Žaliakalnio“ gimnazijos, l/d „Radastėlė“ ir „Pingvinukas“)</t>
  </si>
  <si>
    <t>Ikimokyklinio ir priešmokyklinio prieinamumo didinimas Klaipėdos mieste (lopšelio-darželio „Svirpliukas“ modernizavimas)</t>
  </si>
  <si>
    <t xml:space="preserve"> 2018–2021 M. KLAIPĖDOS MIESTO SAVIVALDYBĖS </t>
  </si>
  <si>
    <t xml:space="preserve"> 2019–2021 M. KLAIPĖDOS MIESTO SAVIVALDYBĖS </t>
  </si>
  <si>
    <t>Atsinaujinančių energijos išteklių  panaudojimas švietimo įstaigų pastatuose (l/d „Ąžuoliukas“, „Aitvarėlis“ ir "Versmė", „Verdenės“ progimnazijoje)</t>
  </si>
  <si>
    <t>Bendrojo ugdymo mokyklų dalyvavimas projekte ,,Mokinių ugdymosi pasiekimų gerinimas diegiant kokybės krepšelį“</t>
  </si>
  <si>
    <r>
      <t xml:space="preserve">Europos Sąjungos paramos lėšos </t>
    </r>
    <r>
      <rPr>
        <b/>
        <sz val="10"/>
        <rFont val="Times New Roman"/>
        <family val="1"/>
        <charset val="186"/>
      </rPr>
      <t>ES</t>
    </r>
  </si>
  <si>
    <t>Perkelta mokinių iš  Klaipėdos Ievos Simonaitytės pagrindinė mokyklos į Klaipėdos suaugusiųjų gimnazijos  Jaunimo skyrių, skaičius</t>
  </si>
  <si>
    <r>
      <t xml:space="preserve"> </t>
    </r>
    <r>
      <rPr>
        <b/>
        <sz val="12"/>
        <rFont val="Times New Roman"/>
        <family val="1"/>
        <charset val="186"/>
      </rPr>
      <t>Orientacinis lėšų poreikis sanitarinių patalpų remontui švietimo įstaigose 2019 m.</t>
    </r>
  </si>
  <si>
    <t xml:space="preserve">  Įstaigos pavadinimas</t>
  </si>
  <si>
    <t xml:space="preserve"> Reikalingi atlikti darbai</t>
  </si>
  <si>
    <t xml:space="preserve"> Preliminari darbų vertė, Eur.</t>
  </si>
  <si>
    <t xml:space="preserve">   Pastabos </t>
  </si>
  <si>
    <t>Bendrojo lavinimo įstaigos</t>
  </si>
  <si>
    <t>1.</t>
  </si>
  <si>
    <t>„Varpo“ gimnazija</t>
  </si>
  <si>
    <t>4 san. patalpų  remontas</t>
  </si>
  <si>
    <t>45 000,00</t>
  </si>
  <si>
    <t>S. Dacho progimnazija</t>
  </si>
  <si>
    <t>6 san. patalpų remontas</t>
  </si>
  <si>
    <t>65 000,00</t>
  </si>
  <si>
    <t>Viso:</t>
  </si>
  <si>
    <t>110 000,00</t>
  </si>
  <si>
    <t>Ikimokyklinio ugdymo įstaigos</t>
  </si>
  <si>
    <t>L/d „Varpelis“</t>
  </si>
  <si>
    <t>2-ių san. patalpų ir virtuvėlių remontas</t>
  </si>
  <si>
    <t>20 000,00</t>
  </si>
  <si>
    <t>L/d „Berželis“</t>
  </si>
  <si>
    <t>L/d „Alksniukas“</t>
  </si>
  <si>
    <t>4-ių san. patalpų ir virtuvėlių remontas</t>
  </si>
  <si>
    <t>25 000,00</t>
  </si>
  <si>
    <t>L/d „Du  gaideliai“</t>
  </si>
  <si>
    <t>30 000,00</t>
  </si>
  <si>
    <t>8.</t>
  </si>
  <si>
    <t>L/d „Putinėlis“</t>
  </si>
  <si>
    <t>18 000,00</t>
  </si>
  <si>
    <t>9.</t>
  </si>
  <si>
    <t>L/d „Bangelė“</t>
  </si>
  <si>
    <t>35 000,00</t>
  </si>
  <si>
    <t>10.</t>
  </si>
  <si>
    <t>L/d „Pumpurėlis“</t>
  </si>
  <si>
    <t>4-ių san. patalpų remontas</t>
  </si>
  <si>
    <t>11.</t>
  </si>
  <si>
    <t>L/d „Pagrandukas“</t>
  </si>
  <si>
    <t>12.</t>
  </si>
  <si>
    <t>L/d „Inkarėlis“</t>
  </si>
  <si>
    <t>32 000,00</t>
  </si>
  <si>
    <t>13.</t>
  </si>
  <si>
    <t>L/d “Linelis“</t>
  </si>
  <si>
    <t>14.</t>
  </si>
  <si>
    <t>l/d „Nykštukas“</t>
  </si>
  <si>
    <t>20 000,00</t>
  </si>
  <si>
    <t>290 000,00</t>
  </si>
  <si>
    <t>400 000,00</t>
  </si>
  <si>
    <t>PARENGĖ:</t>
  </si>
  <si>
    <t xml:space="preserve"> Vyr. specialistė V. Steponavičienė</t>
  </si>
  <si>
    <t>Garantinės priežiūros etapų skaičius</t>
  </si>
  <si>
    <r>
      <rPr>
        <b/>
        <sz val="10"/>
        <rFont val="Times New Roman"/>
        <family val="1"/>
        <charset val="186"/>
      </rPr>
      <t xml:space="preserve">Sporto aikštynų atnaujinimas </t>
    </r>
    <r>
      <rPr>
        <sz val="10"/>
        <rFont val="Times New Roman"/>
        <family val="1"/>
        <charset val="186"/>
      </rPr>
      <t>(modernizavimas) (2019 m. – „Verdenės“, Simono Dacho, „Vyturio“ progimnazijų)</t>
    </r>
  </si>
  <si>
    <t>Ikimokyklinio ir priešmokyklinio ugdymo prieinamumo didinimas Klaipėdos mieste (lopšelio-darželio „Svirpliukas“ modernizavimas)</t>
  </si>
  <si>
    <t>Energinio efektyvumo didinimas ikimokyklinio ugdymo įstaigose:</t>
  </si>
  <si>
    <t>m.-d „Saulutė“, l.-d „Vėrinėlis“, l.-d „Pingvinukas“, l.-d „Putinėlis“, l.-d „Kregždutė“, l.-d „Radastėlė“, l.-d „Boružėlė“</t>
  </si>
  <si>
    <t>Lauko žaidimų aikštelių ir įrenginių atnaujinimas ikimokyklinėse ugdymo įstaigose</t>
  </si>
  <si>
    <t>Patalpų atnaujinimas užtikrinant atitiktį higienos normoms</t>
  </si>
  <si>
    <t>Švietimo paslaugų modernizavimo 2018–2021 m. programos priemonių įgyvendinimas:</t>
  </si>
  <si>
    <t>Neformaliojo švietimo ir pagalbos įstaigų aprūpinimas mobilia interaktyvia įranga</t>
  </si>
  <si>
    <t xml:space="preserve">Švietimo įstaigų paprastasis remontas (2019 m. – l.-d. „Čiauškutė“, „Eglutė“,  „Linelis“,  „Liepaitė“, „Vyturėlis“,  „Vyturio“, „Santarvės“ progimnazijos, „Vėtrungės“, „Pajūrio“ gimnazijos, Regos ugdymo centras, klubas „Draugystė“, 3–6 švietimo įstaigų buitinių tinklų remontas) </t>
  </si>
  <si>
    <t>Bandomojo projekto H. Zudermano gimnazijos pastato ūkio priežiūros sistemos diegimas</t>
  </si>
  <si>
    <t>Savivaldybės biudžetinės įstaigos bandomojo energijos vartojimo efektyvumo didinimo projekto įgyvendinimas (2020 m. – l.-d. „Klevelis“)</t>
  </si>
  <si>
    <t>Atsinaujinančių energijos išteklių  panaudojimas švietimo įstaigų pastatuose (l.-d. „Ąžuoliukas“, „Aitvarėlis“ ir „Versmė“, „Verdenės“ progimnazijoje)</t>
  </si>
  <si>
    <t xml:space="preserve">Švietimo įstaigų lauko inžinerinių tinklų remontas (2019 m. – „Aitvaro“,  Vydūno ir „Žaliakalnio“ gimnazijos,  l.-d. „Radastėlė“ ir „Pingvinukas“) </t>
  </si>
  <si>
    <r>
      <t xml:space="preserve">Europos Sąjungos paramos lėšos, kurios įtrauktos į savivaldybės biudžetą </t>
    </r>
    <r>
      <rPr>
        <b/>
        <sz val="10"/>
        <rFont val="Times New Roman"/>
        <family val="1"/>
        <charset val="186"/>
      </rPr>
      <t>SB(ES)</t>
    </r>
  </si>
  <si>
    <t>2019-ųjų metų asignavimų planas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</si>
</sst>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
    <numFmt numFmtId="166" formatCode="[$-409]General"/>
    <numFmt numFmtId="167" formatCode="[$-409]#,##0"/>
    <numFmt numFmtId="168" formatCode="[$-409]0.00"/>
  </numFmts>
  <fonts count="33" x14ac:knownFonts="1">
    <font>
      <sz val="10"/>
      <name val="Arial"/>
      <charset val="186"/>
    </font>
    <font>
      <sz val="10"/>
      <name val="Times New Roman"/>
      <family val="1"/>
    </font>
    <font>
      <b/>
      <sz val="10"/>
      <name val="Times New Roman"/>
      <family val="1"/>
    </font>
    <font>
      <sz val="10"/>
      <name val="Arial"/>
      <family val="2"/>
      <charset val="186"/>
    </font>
    <font>
      <sz val="10"/>
      <name val="Times New Roman"/>
      <family val="1"/>
      <charset val="186"/>
    </font>
    <font>
      <b/>
      <sz val="10"/>
      <name val="Times New Roman"/>
      <family val="1"/>
      <charset val="186"/>
    </font>
    <font>
      <b/>
      <u/>
      <sz val="10"/>
      <name val="Times New Roman"/>
      <family val="1"/>
      <charset val="186"/>
    </font>
    <font>
      <sz val="9"/>
      <color indexed="81"/>
      <name val="Tahoma"/>
      <family val="2"/>
      <charset val="186"/>
    </font>
    <font>
      <sz val="12"/>
      <name val="Times New Roman"/>
      <family val="1"/>
      <charset val="186"/>
    </font>
    <font>
      <b/>
      <sz val="9"/>
      <color indexed="81"/>
      <name val="Tahoma"/>
      <family val="2"/>
      <charset val="186"/>
    </font>
    <font>
      <i/>
      <sz val="10"/>
      <name val="Times New Roman"/>
      <family val="1"/>
      <charset val="186"/>
    </font>
    <font>
      <b/>
      <sz val="12"/>
      <name val="Times New Roman"/>
      <family val="1"/>
      <charset val="186"/>
    </font>
    <font>
      <sz val="9"/>
      <name val="Times New Roman"/>
      <family val="1"/>
    </font>
    <font>
      <b/>
      <sz val="9"/>
      <name val="Times New Roman"/>
      <family val="1"/>
    </font>
    <font>
      <sz val="10"/>
      <color rgb="FFFF0000"/>
      <name val="Times New Roman"/>
      <family val="1"/>
    </font>
    <font>
      <strike/>
      <sz val="10"/>
      <name val="Times New Roman"/>
      <family val="1"/>
    </font>
    <font>
      <strike/>
      <sz val="10"/>
      <name val="Times New Roman"/>
      <family val="1"/>
      <charset val="186"/>
    </font>
    <font>
      <sz val="9"/>
      <name val="Times New Roman"/>
      <family val="1"/>
      <charset val="186"/>
    </font>
    <font>
      <sz val="10"/>
      <color rgb="FFFF0000"/>
      <name val="Times New Roman"/>
      <family val="1"/>
      <charset val="186"/>
    </font>
    <font>
      <b/>
      <i/>
      <sz val="10"/>
      <name val="Times New Roman"/>
      <family val="1"/>
      <charset val="186"/>
    </font>
    <font>
      <i/>
      <sz val="10"/>
      <name val="Times New Roman"/>
      <family val="1"/>
    </font>
    <font>
      <u/>
      <sz val="9"/>
      <color indexed="81"/>
      <name val="Tahoma"/>
      <family val="2"/>
      <charset val="186"/>
    </font>
    <font>
      <b/>
      <u/>
      <sz val="9"/>
      <color indexed="81"/>
      <name val="Tahoma"/>
      <family val="2"/>
      <charset val="186"/>
    </font>
    <font>
      <strike/>
      <sz val="10"/>
      <color rgb="FFFF0000"/>
      <name val="Times New Roman"/>
      <family val="1"/>
      <charset val="186"/>
    </font>
    <font>
      <strike/>
      <sz val="10"/>
      <color rgb="FFFF0000"/>
      <name val="Times New Roman"/>
      <family val="1"/>
    </font>
    <font>
      <i/>
      <sz val="10"/>
      <color rgb="FFFF0000"/>
      <name val="Times New Roman"/>
      <family val="1"/>
      <charset val="186"/>
    </font>
    <font>
      <b/>
      <sz val="10"/>
      <color rgb="FFFF0000"/>
      <name val="Times New Roman"/>
      <family val="1"/>
      <charset val="186"/>
    </font>
    <font>
      <sz val="11"/>
      <color rgb="FF000000"/>
      <name val="Calibri"/>
      <family val="2"/>
      <charset val="186"/>
    </font>
    <font>
      <i/>
      <sz val="10"/>
      <color rgb="FF000000"/>
      <name val="Times New Roman"/>
      <family val="1"/>
      <charset val="186"/>
    </font>
    <font>
      <sz val="12"/>
      <name val="Times New Roman"/>
      <family val="1"/>
    </font>
    <font>
      <b/>
      <sz val="11"/>
      <name val="Times New Roman"/>
      <family val="1"/>
      <charset val="186"/>
    </font>
    <font>
      <sz val="11"/>
      <name val="Times New Roman"/>
      <family val="1"/>
      <charset val="186"/>
    </font>
    <font>
      <sz val="11"/>
      <name val="Calibri"/>
      <family val="2"/>
      <charset val="186"/>
    </font>
  </fonts>
  <fills count="18">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rgb="FFFFCCFF"/>
        <bgColor indexed="64"/>
      </patternFill>
    </fill>
    <fill>
      <patternFill patternType="solid">
        <fgColor rgb="FFFFFF99"/>
        <bgColor indexed="64"/>
      </patternFill>
    </fill>
    <fill>
      <patternFill patternType="solid">
        <fgColor theme="8" tint="0.59999389629810485"/>
        <bgColor indexed="64"/>
      </patternFill>
    </fill>
    <fill>
      <patternFill patternType="solid">
        <fgColor rgb="FFFFFF00"/>
        <bgColor indexed="64"/>
      </patternFill>
    </fill>
    <fill>
      <patternFill patternType="solid">
        <fgColor theme="0"/>
        <bgColor rgb="FFDBDBDB"/>
      </patternFill>
    </fill>
    <fill>
      <patternFill patternType="solid">
        <fgColor rgb="FFCCFFCC"/>
        <bgColor indexed="64"/>
      </patternFill>
    </fill>
    <fill>
      <patternFill patternType="solid">
        <fgColor theme="0"/>
        <bgColor rgb="FFD9D9D9"/>
      </patternFill>
    </fill>
    <fill>
      <patternFill patternType="solid">
        <fgColor theme="0"/>
        <bgColor rgb="FFFFFFFF"/>
      </patternFill>
    </fill>
    <fill>
      <patternFill patternType="solid">
        <fgColor theme="0"/>
        <bgColor rgb="FFFFFF00"/>
      </patternFill>
    </fill>
    <fill>
      <patternFill patternType="solid">
        <fgColor rgb="FFFFFFFF"/>
        <bgColor rgb="FFFFFFFF"/>
      </patternFill>
    </fill>
    <fill>
      <patternFill patternType="solid">
        <fgColor theme="0"/>
        <bgColor rgb="FFE2F0D9"/>
      </patternFill>
    </fill>
    <fill>
      <patternFill patternType="solid">
        <fgColor theme="0"/>
        <bgColor rgb="FFE2EFDA"/>
      </patternFill>
    </fill>
  </fills>
  <borders count="176">
    <border>
      <left/>
      <right/>
      <top/>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style="medium">
        <color indexed="64"/>
      </right>
      <top/>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thin">
        <color rgb="FF000000"/>
      </left>
      <right/>
      <top style="thin">
        <color rgb="FF000000"/>
      </top>
      <bottom/>
      <diagonal/>
    </border>
    <border>
      <left style="thin">
        <color rgb="FF000000"/>
      </left>
      <right style="medium">
        <color indexed="64"/>
      </right>
      <top style="thin">
        <color rgb="FF000000"/>
      </top>
      <bottom/>
      <diagonal/>
    </border>
    <border>
      <left/>
      <right style="medium">
        <color indexed="64"/>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medium">
        <color indexed="64"/>
      </right>
      <top/>
      <bottom/>
      <diagonal/>
    </border>
    <border>
      <left style="thin">
        <color rgb="FF000000"/>
      </left>
      <right style="thin">
        <color rgb="FF000000"/>
      </right>
      <top/>
      <bottom style="thin">
        <color rgb="FF000000"/>
      </bottom>
      <diagonal/>
    </border>
    <border>
      <left/>
      <right style="medium">
        <color indexed="64"/>
      </right>
      <top/>
      <bottom style="thin">
        <color rgb="FF000000"/>
      </bottom>
      <diagonal/>
    </border>
    <border>
      <left style="thin">
        <color rgb="FF000000"/>
      </left>
      <right style="medium">
        <color indexed="64"/>
      </right>
      <top/>
      <bottom style="thin">
        <color rgb="FF000000"/>
      </bottom>
      <diagonal/>
    </border>
    <border>
      <left style="medium">
        <color indexed="64"/>
      </left>
      <right style="thin">
        <color rgb="FF000000"/>
      </right>
      <top/>
      <bottom style="thin">
        <color indexed="64"/>
      </bottom>
      <diagonal/>
    </border>
    <border>
      <left style="thin">
        <color rgb="FF000000"/>
      </left>
      <right style="medium">
        <color indexed="64"/>
      </right>
      <top/>
      <bottom style="thin">
        <color indexed="64"/>
      </bottom>
      <diagonal/>
    </border>
    <border>
      <left style="medium">
        <color indexed="64"/>
      </left>
      <right style="thin">
        <color indexed="64"/>
      </right>
      <top style="thin">
        <color rgb="FF000000"/>
      </top>
      <bottom/>
      <diagonal/>
    </border>
    <border>
      <left style="medium">
        <color indexed="64"/>
      </left>
      <right style="thin">
        <color rgb="FF000000"/>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style="medium">
        <color indexed="64"/>
      </right>
      <top style="thin">
        <color indexed="64"/>
      </top>
      <bottom style="thin">
        <color indexed="64"/>
      </bottom>
      <diagonal/>
    </border>
    <border>
      <left style="medium">
        <color indexed="64"/>
      </left>
      <right style="thin">
        <color rgb="FF000000"/>
      </right>
      <top style="thin">
        <color indexed="64"/>
      </top>
      <bottom/>
      <diagonal/>
    </border>
    <border>
      <left/>
      <right style="thin">
        <color rgb="FF000000"/>
      </right>
      <top style="thin">
        <color indexed="64"/>
      </top>
      <bottom/>
      <diagonal/>
    </border>
    <border>
      <left style="thin">
        <color rgb="FF000000"/>
      </left>
      <right/>
      <top style="thin">
        <color indexed="64"/>
      </top>
      <bottom/>
      <diagonal/>
    </border>
    <border>
      <left style="thin">
        <color rgb="FF000000"/>
      </left>
      <right/>
      <top/>
      <bottom/>
      <diagonal/>
    </border>
    <border>
      <left style="medium">
        <color indexed="64"/>
      </left>
      <right style="thin">
        <color rgb="FF000000"/>
      </right>
      <top/>
      <bottom style="thin">
        <color rgb="FF000000"/>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thin">
        <color rgb="FF000000"/>
      </left>
      <right style="thin">
        <color rgb="FF000000"/>
      </right>
      <top/>
      <bottom style="thin">
        <color indexed="64"/>
      </bottom>
      <diagonal/>
    </border>
    <border>
      <left style="medium">
        <color indexed="64"/>
      </left>
      <right/>
      <top/>
      <bottom style="thin">
        <color rgb="FF000000"/>
      </bottom>
      <diagonal/>
    </border>
    <border>
      <left style="medium">
        <color indexed="64"/>
      </left>
      <right style="thin">
        <color rgb="FF000000"/>
      </right>
      <top style="thin">
        <color rgb="FF000000"/>
      </top>
      <bottom/>
      <diagonal/>
    </border>
    <border>
      <left style="medium">
        <color indexed="64"/>
      </left>
      <right style="thin">
        <color rgb="FF000000"/>
      </right>
      <top style="thin">
        <color rgb="FF000000"/>
      </top>
      <bottom style="medium">
        <color indexed="64"/>
      </bottom>
      <diagonal/>
    </border>
    <border>
      <left style="thin">
        <color rgb="FF000000"/>
      </left>
      <right style="medium">
        <color indexed="64"/>
      </right>
      <top style="thin">
        <color indexed="64"/>
      </top>
      <bottom/>
      <diagonal/>
    </border>
    <border>
      <left style="medium">
        <color indexed="64"/>
      </left>
      <right style="thin">
        <color rgb="FF000000"/>
      </right>
      <top/>
      <bottom/>
      <diagonal/>
    </border>
    <border>
      <left style="medium">
        <color indexed="64"/>
      </left>
      <right style="thin">
        <color rgb="FF000000"/>
      </right>
      <top style="medium">
        <color indexed="64"/>
      </top>
      <bottom/>
      <diagonal/>
    </border>
    <border>
      <left/>
      <right style="thin">
        <color rgb="FF000000"/>
      </right>
      <top style="medium">
        <color indexed="64"/>
      </top>
      <bottom/>
      <diagonal/>
    </border>
    <border>
      <left style="thin">
        <color rgb="FF000000"/>
      </left>
      <right style="medium">
        <color indexed="64"/>
      </right>
      <top style="medium">
        <color indexed="64"/>
      </top>
      <bottom/>
      <diagonal/>
    </border>
    <border>
      <left style="thin">
        <color rgb="FF000000"/>
      </left>
      <right style="thin">
        <color rgb="FF000000"/>
      </right>
      <top style="medium">
        <color indexed="64"/>
      </top>
      <bottom/>
      <diagonal/>
    </border>
    <border>
      <left style="medium">
        <color indexed="64"/>
      </left>
      <right style="thin">
        <color rgb="FF000000"/>
      </right>
      <top style="thin">
        <color indexed="64"/>
      </top>
      <bottom style="medium">
        <color indexed="64"/>
      </bottom>
      <diagonal/>
    </border>
    <border>
      <left/>
      <right style="thin">
        <color rgb="FF000000"/>
      </right>
      <top style="thin">
        <color indexed="64"/>
      </top>
      <bottom style="medium">
        <color indexed="64"/>
      </bottom>
      <diagonal/>
    </border>
    <border>
      <left style="medium">
        <color indexed="64"/>
      </left>
      <right/>
      <top style="medium">
        <color indexed="64"/>
      </top>
      <bottom style="thin">
        <color rgb="FF000000"/>
      </bottom>
      <diagonal/>
    </border>
    <border>
      <left/>
      <right style="medium">
        <color indexed="64"/>
      </right>
      <top style="medium">
        <color indexed="64"/>
      </top>
      <bottom style="thin">
        <color rgb="FF000000"/>
      </bottom>
      <diagonal/>
    </border>
    <border>
      <left/>
      <right/>
      <top style="thin">
        <color rgb="FF000000"/>
      </top>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style="medium">
        <color indexed="64"/>
      </left>
      <right/>
      <top style="thin">
        <color rgb="FF000000"/>
      </top>
      <bottom/>
      <diagonal/>
    </border>
    <border>
      <left/>
      <right style="medium">
        <color indexed="64"/>
      </right>
      <top style="thin">
        <color rgb="FF000000"/>
      </top>
      <bottom/>
      <diagonal/>
    </border>
    <border>
      <left style="medium">
        <color indexed="64"/>
      </left>
      <right style="thin">
        <color indexed="64"/>
      </right>
      <top/>
      <bottom style="thin">
        <color rgb="FF000000"/>
      </bottom>
      <diagonal/>
    </border>
    <border>
      <left style="thin">
        <color rgb="FF000000"/>
      </left>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right style="thin">
        <color rgb="FF000000"/>
      </right>
      <top/>
      <bottom style="thin">
        <color indexed="64"/>
      </bottom>
      <diagonal/>
    </border>
    <border>
      <left style="thin">
        <color rgb="FF000000"/>
      </left>
      <right/>
      <top/>
      <bottom style="thin">
        <color indexed="64"/>
      </bottom>
      <diagonal/>
    </border>
    <border>
      <left style="thin">
        <color rgb="FF000000"/>
      </left>
      <right style="thin">
        <color rgb="FF000000"/>
      </right>
      <top style="thin">
        <color indexed="64"/>
      </top>
      <bottom/>
      <diagonal/>
    </border>
    <border>
      <left/>
      <right/>
      <top style="thin">
        <color rgb="FF000000"/>
      </top>
      <bottom style="thin">
        <color rgb="FF000000"/>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medium">
        <color indexed="64"/>
      </left>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style="thin">
        <color indexed="64"/>
      </right>
      <top style="thin">
        <color rgb="FF000000"/>
      </top>
      <bottom style="thin">
        <color rgb="FF000000"/>
      </bottom>
      <diagonal/>
    </border>
    <border>
      <left/>
      <right/>
      <top style="hair">
        <color indexed="64"/>
      </top>
      <bottom style="thin">
        <color indexed="64"/>
      </bottom>
      <diagonal/>
    </border>
    <border>
      <left style="thin">
        <color indexed="64"/>
      </left>
      <right style="thin">
        <color rgb="FF000000"/>
      </right>
      <top style="thin">
        <color indexed="64"/>
      </top>
      <bottom style="thin">
        <color indexed="64"/>
      </bottom>
      <diagonal/>
    </border>
    <border>
      <left/>
      <right style="thin">
        <color rgb="FF000000"/>
      </right>
      <top/>
      <bottom style="thin">
        <color rgb="FF000000"/>
      </bottom>
      <diagonal/>
    </border>
    <border>
      <left style="thin">
        <color indexed="64"/>
      </left>
      <right style="medium">
        <color indexed="64"/>
      </right>
      <top style="medium">
        <color indexed="64"/>
      </top>
      <bottom style="thin">
        <color rgb="FF000000"/>
      </bottom>
      <diagonal/>
    </border>
    <border>
      <left style="thin">
        <color indexed="64"/>
      </left>
      <right style="thin">
        <color rgb="FF000000"/>
      </right>
      <top style="thin">
        <color indexed="64"/>
      </top>
      <bottom style="thin">
        <color rgb="FF000000"/>
      </bottom>
      <diagonal/>
    </border>
    <border>
      <left style="thin">
        <color indexed="64"/>
      </left>
      <right style="medium">
        <color indexed="64"/>
      </right>
      <top/>
      <bottom style="hair">
        <color indexed="64"/>
      </bottom>
      <diagonal/>
    </border>
    <border>
      <left style="thin">
        <color rgb="FF000000"/>
      </left>
      <right/>
      <top style="medium">
        <color indexed="64"/>
      </top>
      <bottom/>
      <diagonal/>
    </border>
    <border>
      <left style="medium">
        <color indexed="64"/>
      </left>
      <right style="thin">
        <color rgb="FF000000"/>
      </right>
      <top/>
      <bottom style="medium">
        <color indexed="64"/>
      </bottom>
      <diagonal/>
    </border>
    <border>
      <left style="thin">
        <color rgb="FF000000"/>
      </left>
      <right/>
      <top/>
      <bottom style="medium">
        <color indexed="64"/>
      </bottom>
      <diagonal/>
    </border>
    <border>
      <left style="thin">
        <color rgb="FF000000"/>
      </left>
      <right style="medium">
        <color indexed="64"/>
      </right>
      <top/>
      <bottom style="medium">
        <color indexed="64"/>
      </bottom>
      <diagonal/>
    </border>
    <border>
      <left style="thin">
        <color rgb="FF000000"/>
      </left>
      <right style="thin">
        <color rgb="FF000000"/>
      </right>
      <top/>
      <bottom style="medium">
        <color indexed="64"/>
      </bottom>
      <diagonal/>
    </border>
    <border>
      <left style="medium">
        <color indexed="64"/>
      </left>
      <right style="medium">
        <color indexed="64"/>
      </right>
      <top style="thin">
        <color rgb="FF000000"/>
      </top>
      <bottom/>
      <diagonal/>
    </border>
    <border>
      <left style="thin">
        <color indexed="64"/>
      </left>
      <right style="thin">
        <color rgb="FF000000"/>
      </right>
      <top style="thin">
        <color indexed="64"/>
      </top>
      <bottom/>
      <diagonal/>
    </border>
    <border>
      <left style="thin">
        <color indexed="64"/>
      </left>
      <right style="thin">
        <color indexed="64"/>
      </right>
      <top style="thin">
        <color rgb="FF000000"/>
      </top>
      <bottom style="medium">
        <color indexed="64"/>
      </bottom>
      <diagonal/>
    </border>
    <border>
      <left style="thin">
        <color indexed="64"/>
      </left>
      <right style="thin">
        <color rgb="FF000000"/>
      </right>
      <top/>
      <bottom/>
      <diagonal/>
    </border>
    <border>
      <left style="medium">
        <color indexed="64"/>
      </left>
      <right/>
      <top/>
      <bottom style="hair">
        <color indexed="64"/>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right style="medium">
        <color indexed="64"/>
      </right>
      <top style="hair">
        <color indexed="64"/>
      </top>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thin">
        <color indexed="64"/>
      </top>
      <bottom style="medium">
        <color indexed="64"/>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diagonal/>
    </border>
    <border>
      <left/>
      <right style="medium">
        <color rgb="FF000000"/>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indexed="64"/>
      </left>
      <right style="medium">
        <color rgb="FF000000"/>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s>
  <cellStyleXfs count="3">
    <xf numFmtId="0" fontId="0" fillId="0" borderId="0"/>
    <xf numFmtId="0" fontId="3" fillId="0" borderId="0"/>
    <xf numFmtId="166" fontId="27" fillId="0" borderId="0" applyBorder="0" applyProtection="0"/>
  </cellStyleXfs>
  <cellXfs count="2766">
    <xf numFmtId="0" fontId="0" fillId="0" borderId="0" xfId="0"/>
    <xf numFmtId="0" fontId="1" fillId="0" borderId="0" xfId="0" applyFont="1" applyBorder="1" applyAlignment="1">
      <alignment vertical="top"/>
    </xf>
    <xf numFmtId="49" fontId="2" fillId="2" borderId="11" xfId="0" applyNumberFormat="1" applyFont="1" applyFill="1" applyBorder="1" applyAlignment="1">
      <alignment horizontal="center" vertical="top"/>
    </xf>
    <xf numFmtId="49" fontId="5" fillId="2" borderId="13" xfId="0" applyNumberFormat="1" applyFont="1" applyFill="1" applyBorder="1" applyAlignment="1">
      <alignment vertical="top"/>
    </xf>
    <xf numFmtId="49" fontId="2" fillId="2" borderId="14" xfId="0" applyNumberFormat="1" applyFont="1" applyFill="1" applyBorder="1" applyAlignment="1">
      <alignment horizontal="center" vertical="top"/>
    </xf>
    <xf numFmtId="49" fontId="5" fillId="2" borderId="18" xfId="0" applyNumberFormat="1" applyFont="1" applyFill="1" applyBorder="1" applyAlignment="1">
      <alignment vertical="top"/>
    </xf>
    <xf numFmtId="49" fontId="2" fillId="2" borderId="25" xfId="0" applyNumberFormat="1" applyFont="1" applyFill="1" applyBorder="1" applyAlignment="1">
      <alignment horizontal="center" vertical="top"/>
    </xf>
    <xf numFmtId="49" fontId="5" fillId="2" borderId="32" xfId="0" applyNumberFormat="1" applyFont="1" applyFill="1" applyBorder="1" applyAlignment="1">
      <alignment horizontal="center" vertical="top"/>
    </xf>
    <xf numFmtId="49" fontId="2" fillId="3" borderId="68" xfId="0" applyNumberFormat="1" applyFont="1" applyFill="1" applyBorder="1" applyAlignment="1">
      <alignment vertical="top"/>
    </xf>
    <xf numFmtId="49" fontId="2" fillId="3" borderId="32" xfId="0" applyNumberFormat="1" applyFont="1" applyFill="1" applyBorder="1" applyAlignment="1">
      <alignment vertical="top"/>
    </xf>
    <xf numFmtId="49" fontId="2" fillId="3" borderId="64" xfId="0" applyNumberFormat="1" applyFont="1" applyFill="1" applyBorder="1" applyAlignment="1">
      <alignment vertical="top"/>
    </xf>
    <xf numFmtId="49" fontId="2" fillId="2" borderId="11" xfId="0" applyNumberFormat="1" applyFont="1" applyFill="1" applyBorder="1" applyAlignment="1">
      <alignment horizontal="left" vertical="top"/>
    </xf>
    <xf numFmtId="49" fontId="5" fillId="3" borderId="18" xfId="0" applyNumberFormat="1" applyFont="1" applyFill="1" applyBorder="1" applyAlignment="1">
      <alignment vertical="top"/>
    </xf>
    <xf numFmtId="49" fontId="5" fillId="3" borderId="32" xfId="0" applyNumberFormat="1" applyFont="1" applyFill="1" applyBorder="1" applyAlignment="1">
      <alignment vertical="top"/>
    </xf>
    <xf numFmtId="0" fontId="4" fillId="0" borderId="0" xfId="0" applyFont="1" applyBorder="1" applyAlignment="1">
      <alignment vertical="top"/>
    </xf>
    <xf numFmtId="49" fontId="2" fillId="2" borderId="19" xfId="0" applyNumberFormat="1" applyFont="1" applyFill="1" applyBorder="1" applyAlignment="1">
      <alignment vertical="top"/>
    </xf>
    <xf numFmtId="0" fontId="2" fillId="5" borderId="47" xfId="0" applyFont="1" applyFill="1" applyBorder="1" applyAlignment="1">
      <alignment horizontal="center" vertical="top" wrapText="1"/>
    </xf>
    <xf numFmtId="3" fontId="1" fillId="4" borderId="59" xfId="0" applyNumberFormat="1" applyFont="1" applyFill="1" applyBorder="1" applyAlignment="1">
      <alignment horizontal="center" vertical="top"/>
    </xf>
    <xf numFmtId="3" fontId="1" fillId="0" borderId="8" xfId="0" applyNumberFormat="1" applyFont="1" applyBorder="1" applyAlignment="1">
      <alignment horizontal="center" vertical="top"/>
    </xf>
    <xf numFmtId="3" fontId="4" fillId="4" borderId="18" xfId="0" applyNumberFormat="1" applyFont="1" applyFill="1" applyBorder="1" applyAlignment="1">
      <alignment horizontal="center" vertical="top"/>
    </xf>
    <xf numFmtId="3" fontId="1" fillId="4" borderId="8" xfId="0" applyNumberFormat="1" applyFont="1" applyFill="1" applyBorder="1" applyAlignment="1">
      <alignment horizontal="center" vertical="top"/>
    </xf>
    <xf numFmtId="3" fontId="1" fillId="4" borderId="17" xfId="0" applyNumberFormat="1" applyFont="1" applyFill="1" applyBorder="1" applyAlignment="1">
      <alignment horizontal="center" vertical="top"/>
    </xf>
    <xf numFmtId="3" fontId="1" fillId="0" borderId="0" xfId="0" applyNumberFormat="1" applyFont="1" applyFill="1" applyBorder="1" applyAlignment="1">
      <alignment horizontal="center" vertical="top"/>
    </xf>
    <xf numFmtId="3" fontId="2" fillId="5" borderId="55" xfId="0" applyNumberFormat="1" applyFont="1" applyFill="1" applyBorder="1" applyAlignment="1">
      <alignment horizontal="center" vertical="top"/>
    </xf>
    <xf numFmtId="3" fontId="4" fillId="4" borderId="0" xfId="0" applyNumberFormat="1" applyFont="1" applyFill="1" applyBorder="1" applyAlignment="1">
      <alignment horizontal="center" vertical="top"/>
    </xf>
    <xf numFmtId="3" fontId="4" fillId="0" borderId="61" xfId="0" applyNumberFormat="1" applyFont="1" applyFill="1" applyBorder="1" applyAlignment="1">
      <alignment horizontal="center" vertical="top" wrapText="1"/>
    </xf>
    <xf numFmtId="3" fontId="4" fillId="4" borderId="66" xfId="0" applyNumberFormat="1" applyFont="1" applyFill="1" applyBorder="1" applyAlignment="1">
      <alignment horizontal="center" vertical="top"/>
    </xf>
    <xf numFmtId="3" fontId="4" fillId="4" borderId="52" xfId="0" applyNumberFormat="1" applyFont="1" applyFill="1" applyBorder="1" applyAlignment="1">
      <alignment horizontal="center" vertical="top"/>
    </xf>
    <xf numFmtId="3" fontId="1" fillId="3" borderId="60" xfId="0" applyNumberFormat="1" applyFont="1" applyFill="1" applyBorder="1" applyAlignment="1">
      <alignment horizontal="center" vertical="top"/>
    </xf>
    <xf numFmtId="3" fontId="1" fillId="4" borderId="10" xfId="0" applyNumberFormat="1" applyFont="1" applyFill="1" applyBorder="1" applyAlignment="1">
      <alignment horizontal="center" vertical="top"/>
    </xf>
    <xf numFmtId="3" fontId="4" fillId="4" borderId="59" xfId="0" applyNumberFormat="1" applyFont="1" applyFill="1" applyBorder="1" applyAlignment="1">
      <alignment horizontal="center" vertical="top"/>
    </xf>
    <xf numFmtId="3" fontId="1" fillId="0" borderId="10" xfId="0" applyNumberFormat="1" applyFont="1" applyBorder="1" applyAlignment="1">
      <alignment horizontal="center" vertical="top"/>
    </xf>
    <xf numFmtId="3" fontId="2" fillId="5" borderId="55" xfId="0" applyNumberFormat="1" applyFont="1" applyFill="1" applyBorder="1" applyAlignment="1">
      <alignment horizontal="center" vertical="top" wrapText="1"/>
    </xf>
    <xf numFmtId="3" fontId="1" fillId="0" borderId="16" xfId="0" applyNumberFormat="1" applyFont="1" applyFill="1" applyBorder="1" applyAlignment="1">
      <alignment horizontal="center" vertical="top" wrapText="1"/>
    </xf>
    <xf numFmtId="3" fontId="1" fillId="0" borderId="17" xfId="0" applyNumberFormat="1" applyFont="1" applyFill="1" applyBorder="1" applyAlignment="1">
      <alignment horizontal="center" vertical="top" wrapText="1"/>
    </xf>
    <xf numFmtId="3" fontId="1" fillId="4" borderId="62" xfId="0" applyNumberFormat="1" applyFont="1" applyFill="1" applyBorder="1" applyAlignment="1">
      <alignment horizontal="center" vertical="top"/>
    </xf>
    <xf numFmtId="3" fontId="2" fillId="5" borderId="47" xfId="0" applyNumberFormat="1" applyFont="1" applyFill="1" applyBorder="1" applyAlignment="1">
      <alignment horizontal="center" vertical="top" wrapText="1"/>
    </xf>
    <xf numFmtId="3" fontId="4" fillId="0" borderId="0" xfId="0" applyNumberFormat="1" applyFont="1" applyBorder="1" applyAlignment="1">
      <alignment horizontal="center" vertical="top"/>
    </xf>
    <xf numFmtId="3" fontId="1" fillId="0" borderId="0" xfId="0" applyNumberFormat="1" applyFont="1" applyBorder="1" applyAlignment="1">
      <alignment vertical="top"/>
    </xf>
    <xf numFmtId="3" fontId="1" fillId="0" borderId="0" xfId="0" applyNumberFormat="1" applyFont="1" applyAlignment="1">
      <alignment vertical="top"/>
    </xf>
    <xf numFmtId="3" fontId="1" fillId="0" borderId="60" xfId="0" applyNumberFormat="1" applyFont="1" applyBorder="1" applyAlignment="1">
      <alignment horizontal="center" vertical="top"/>
    </xf>
    <xf numFmtId="3" fontId="1" fillId="4" borderId="52" xfId="0" applyNumberFormat="1" applyFont="1" applyFill="1" applyBorder="1" applyAlignment="1">
      <alignment horizontal="center" vertical="top"/>
    </xf>
    <xf numFmtId="3" fontId="4" fillId="4" borderId="27" xfId="0" applyNumberFormat="1" applyFont="1" applyFill="1" applyBorder="1" applyAlignment="1">
      <alignment horizontal="center" vertical="top"/>
    </xf>
    <xf numFmtId="3" fontId="1" fillId="0" borderId="39" xfId="0" applyNumberFormat="1" applyFont="1" applyBorder="1" applyAlignment="1">
      <alignment horizontal="center" vertical="top"/>
    </xf>
    <xf numFmtId="3" fontId="1" fillId="0" borderId="0" xfId="0" applyNumberFormat="1" applyFont="1" applyFill="1" applyBorder="1" applyAlignment="1">
      <alignment vertical="top"/>
    </xf>
    <xf numFmtId="3" fontId="1" fillId="0" borderId="0" xfId="0" applyNumberFormat="1" applyFont="1" applyAlignment="1">
      <alignment horizontal="center" vertical="top"/>
    </xf>
    <xf numFmtId="3" fontId="5" fillId="0" borderId="0" xfId="0" applyNumberFormat="1" applyFont="1" applyBorder="1" applyAlignment="1">
      <alignment horizontal="center" vertical="top"/>
    </xf>
    <xf numFmtId="3" fontId="2" fillId="0" borderId="64" xfId="0" applyNumberFormat="1" applyFont="1" applyBorder="1" applyAlignment="1">
      <alignment horizontal="center" vertical="top"/>
    </xf>
    <xf numFmtId="3" fontId="1" fillId="3" borderId="16" xfId="0" applyNumberFormat="1" applyFont="1" applyFill="1" applyBorder="1" applyAlignment="1">
      <alignment horizontal="center" vertical="top"/>
    </xf>
    <xf numFmtId="3" fontId="1" fillId="3" borderId="18" xfId="0" applyNumberFormat="1" applyFont="1" applyFill="1" applyBorder="1" applyAlignment="1">
      <alignment vertical="top" wrapText="1"/>
    </xf>
    <xf numFmtId="3" fontId="1" fillId="4" borderId="18" xfId="0" applyNumberFormat="1" applyFont="1" applyFill="1" applyBorder="1" applyAlignment="1">
      <alignment horizontal="center" vertical="top" wrapText="1"/>
    </xf>
    <xf numFmtId="3" fontId="1" fillId="4" borderId="31" xfId="0" applyNumberFormat="1" applyFont="1" applyFill="1" applyBorder="1" applyAlignment="1">
      <alignment horizontal="center" vertical="top" wrapText="1"/>
    </xf>
    <xf numFmtId="3" fontId="4" fillId="0" borderId="0" xfId="0" applyNumberFormat="1" applyFont="1" applyBorder="1" applyAlignment="1">
      <alignment vertical="top"/>
    </xf>
    <xf numFmtId="3" fontId="2" fillId="0" borderId="0" xfId="0" applyNumberFormat="1" applyFont="1" applyFill="1" applyBorder="1" applyAlignment="1">
      <alignment vertical="top" wrapText="1"/>
    </xf>
    <xf numFmtId="3" fontId="3" fillId="0" borderId="0" xfId="0" applyNumberFormat="1" applyFont="1" applyBorder="1" applyAlignment="1">
      <alignment horizontal="center" vertical="top"/>
    </xf>
    <xf numFmtId="3" fontId="3" fillId="0" borderId="0" xfId="0" applyNumberFormat="1" applyFont="1" applyBorder="1" applyAlignment="1">
      <alignment vertical="top"/>
    </xf>
    <xf numFmtId="3" fontId="5" fillId="0" borderId="3" xfId="0" applyNumberFormat="1" applyFont="1" applyBorder="1" applyAlignment="1">
      <alignment horizontal="center" vertical="top"/>
    </xf>
    <xf numFmtId="3" fontId="4" fillId="0" borderId="39" xfId="0" applyNumberFormat="1" applyFont="1" applyFill="1" applyBorder="1" applyAlignment="1">
      <alignment horizontal="center" vertical="top" wrapText="1"/>
    </xf>
    <xf numFmtId="3" fontId="4" fillId="4" borderId="59" xfId="0" applyNumberFormat="1" applyFont="1" applyFill="1" applyBorder="1" applyAlignment="1">
      <alignment horizontal="center" vertical="top" wrapText="1"/>
    </xf>
    <xf numFmtId="3" fontId="4" fillId="4" borderId="39"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top" wrapText="1"/>
    </xf>
    <xf numFmtId="49" fontId="1" fillId="0" borderId="0" xfId="0" applyNumberFormat="1" applyFont="1" applyAlignment="1">
      <alignment vertical="top"/>
    </xf>
    <xf numFmtId="49" fontId="1" fillId="0" borderId="0" xfId="0" applyNumberFormat="1" applyFont="1" applyBorder="1" applyAlignment="1">
      <alignment vertical="top"/>
    </xf>
    <xf numFmtId="3" fontId="4" fillId="0" borderId="18" xfId="0" applyNumberFormat="1" applyFont="1" applyFill="1" applyBorder="1" applyAlignment="1">
      <alignment vertical="top" wrapText="1"/>
    </xf>
    <xf numFmtId="3" fontId="2" fillId="3" borderId="13" xfId="0" applyNumberFormat="1" applyFont="1" applyFill="1" applyBorder="1" applyAlignment="1">
      <alignment horizontal="center" vertical="top" wrapText="1"/>
    </xf>
    <xf numFmtId="3" fontId="1" fillId="4" borderId="0" xfId="0" applyNumberFormat="1" applyFont="1" applyFill="1" applyBorder="1" applyAlignment="1">
      <alignment horizontal="center" vertical="top"/>
    </xf>
    <xf numFmtId="49" fontId="2" fillId="3" borderId="0" xfId="0" applyNumberFormat="1" applyFont="1" applyFill="1" applyBorder="1" applyAlignment="1">
      <alignment horizontal="center" vertical="top"/>
    </xf>
    <xf numFmtId="3" fontId="1" fillId="4" borderId="34" xfId="0" applyNumberFormat="1" applyFont="1" applyFill="1" applyBorder="1" applyAlignment="1">
      <alignment horizontal="center" vertical="top"/>
    </xf>
    <xf numFmtId="49" fontId="2" fillId="3" borderId="13" xfId="0" applyNumberFormat="1" applyFont="1" applyFill="1" applyBorder="1" applyAlignment="1">
      <alignment vertical="top"/>
    </xf>
    <xf numFmtId="49" fontId="2" fillId="3" borderId="18" xfId="0" applyNumberFormat="1" applyFont="1" applyFill="1" applyBorder="1" applyAlignment="1">
      <alignment vertical="top"/>
    </xf>
    <xf numFmtId="3" fontId="1" fillId="4" borderId="65" xfId="0" applyNumberFormat="1" applyFont="1" applyFill="1" applyBorder="1" applyAlignment="1">
      <alignment horizontal="center" vertical="top"/>
    </xf>
    <xf numFmtId="3" fontId="1" fillId="4" borderId="61" xfId="0" applyNumberFormat="1" applyFont="1" applyFill="1" applyBorder="1" applyAlignment="1">
      <alignment horizontal="center" vertical="top"/>
    </xf>
    <xf numFmtId="3" fontId="1" fillId="3" borderId="17" xfId="0" applyNumberFormat="1" applyFont="1" applyFill="1" applyBorder="1" applyAlignment="1">
      <alignment horizontal="center" vertical="top"/>
    </xf>
    <xf numFmtId="3" fontId="1" fillId="3" borderId="66" xfId="0" applyNumberFormat="1" applyFont="1" applyFill="1" applyBorder="1" applyAlignment="1">
      <alignment vertical="top" wrapText="1"/>
    </xf>
    <xf numFmtId="3" fontId="1" fillId="4" borderId="66" xfId="0" applyNumberFormat="1" applyFont="1" applyFill="1" applyBorder="1" applyAlignment="1">
      <alignment vertical="top" wrapText="1"/>
    </xf>
    <xf numFmtId="3" fontId="1" fillId="0" borderId="0" xfId="0" applyNumberFormat="1" applyFont="1" applyBorder="1" applyAlignment="1">
      <alignment horizontal="left" vertical="top"/>
    </xf>
    <xf numFmtId="3" fontId="4" fillId="0" borderId="18" xfId="0" applyNumberFormat="1" applyFont="1" applyBorder="1" applyAlignment="1">
      <alignment vertical="top"/>
    </xf>
    <xf numFmtId="3" fontId="4" fillId="0" borderId="17" xfId="0" applyNumberFormat="1" applyFont="1" applyBorder="1" applyAlignment="1">
      <alignment vertical="top"/>
    </xf>
    <xf numFmtId="3" fontId="4" fillId="0" borderId="65" xfId="0" applyNumberFormat="1" applyFont="1" applyBorder="1" applyAlignment="1">
      <alignment horizontal="center" vertical="top"/>
    </xf>
    <xf numFmtId="3" fontId="1" fillId="4" borderId="39" xfId="0" applyNumberFormat="1" applyFont="1" applyFill="1" applyBorder="1" applyAlignment="1">
      <alignment horizontal="center" vertical="top" wrapText="1"/>
    </xf>
    <xf numFmtId="3" fontId="1" fillId="4" borderId="0" xfId="0" applyNumberFormat="1" applyFont="1" applyFill="1" applyBorder="1" applyAlignment="1">
      <alignment vertical="top"/>
    </xf>
    <xf numFmtId="3" fontId="2" fillId="0" borderId="3" xfId="0" applyNumberFormat="1" applyFont="1" applyBorder="1" applyAlignment="1">
      <alignment horizontal="center" vertical="top"/>
    </xf>
    <xf numFmtId="3" fontId="1" fillId="0" borderId="31" xfId="0" applyNumberFormat="1" applyFont="1" applyBorder="1" applyAlignment="1">
      <alignment horizontal="center" vertical="top"/>
    </xf>
    <xf numFmtId="3" fontId="1" fillId="0" borderId="52" xfId="0" applyNumberFormat="1" applyFont="1" applyBorder="1" applyAlignment="1">
      <alignment horizontal="center" vertical="top"/>
    </xf>
    <xf numFmtId="3" fontId="2" fillId="0" borderId="32" xfId="0" applyNumberFormat="1" applyFont="1" applyFill="1" applyBorder="1" applyAlignment="1">
      <alignment horizontal="center" vertical="top" textRotation="90" wrapText="1"/>
    </xf>
    <xf numFmtId="3" fontId="4" fillId="0" borderId="51" xfId="0" applyNumberFormat="1" applyFont="1" applyFill="1" applyBorder="1" applyAlignment="1">
      <alignment horizontal="center" vertical="top" wrapText="1"/>
    </xf>
    <xf numFmtId="49" fontId="2" fillId="2" borderId="13" xfId="0" applyNumberFormat="1" applyFont="1" applyFill="1" applyBorder="1" applyAlignment="1">
      <alignment vertical="top"/>
    </xf>
    <xf numFmtId="49" fontId="2" fillId="2" borderId="18" xfId="0" applyNumberFormat="1" applyFont="1" applyFill="1" applyBorder="1" applyAlignment="1">
      <alignment vertical="top"/>
    </xf>
    <xf numFmtId="3" fontId="1" fillId="0" borderId="2" xfId="0" applyNumberFormat="1" applyFont="1" applyFill="1" applyBorder="1" applyAlignment="1">
      <alignment horizontal="center" vertical="top" wrapText="1"/>
    </xf>
    <xf numFmtId="3" fontId="4" fillId="0" borderId="9" xfId="0" applyNumberFormat="1" applyFont="1" applyFill="1" applyBorder="1" applyAlignment="1">
      <alignment horizontal="center" vertical="top" wrapText="1"/>
    </xf>
    <xf numFmtId="49" fontId="1" fillId="0" borderId="0" xfId="0" applyNumberFormat="1" applyFont="1" applyBorder="1" applyAlignment="1">
      <alignment horizontal="center" vertical="top" wrapText="1"/>
    </xf>
    <xf numFmtId="3" fontId="4" fillId="0" borderId="0" xfId="0" applyNumberFormat="1" applyFont="1" applyAlignment="1">
      <alignment horizontal="center" vertical="top"/>
    </xf>
    <xf numFmtId="164" fontId="1" fillId="0" borderId="3" xfId="0" applyNumberFormat="1" applyFont="1" applyFill="1" applyBorder="1" applyAlignment="1">
      <alignment horizontal="center" vertical="top"/>
    </xf>
    <xf numFmtId="164" fontId="1" fillId="4" borderId="16" xfId="0" applyNumberFormat="1" applyFont="1" applyFill="1" applyBorder="1" applyAlignment="1">
      <alignment horizontal="center" vertical="top"/>
    </xf>
    <xf numFmtId="164" fontId="1" fillId="4" borderId="0" xfId="0" applyNumberFormat="1" applyFont="1" applyFill="1" applyBorder="1" applyAlignment="1">
      <alignment horizontal="center" vertical="top"/>
    </xf>
    <xf numFmtId="164" fontId="1" fillId="0" borderId="7" xfId="0" applyNumberFormat="1" applyFont="1" applyFill="1" applyBorder="1" applyAlignment="1">
      <alignment horizontal="center" vertical="top"/>
    </xf>
    <xf numFmtId="164" fontId="1" fillId="0" borderId="26" xfId="0" applyNumberFormat="1" applyFont="1" applyFill="1" applyBorder="1" applyAlignment="1">
      <alignment horizontal="center" vertical="top"/>
    </xf>
    <xf numFmtId="164" fontId="4" fillId="4" borderId="7" xfId="0" applyNumberFormat="1" applyFont="1" applyFill="1" applyBorder="1" applyAlignment="1">
      <alignment horizontal="center" vertical="top"/>
    </xf>
    <xf numFmtId="164" fontId="1" fillId="0" borderId="28" xfId="0" applyNumberFormat="1" applyFont="1" applyFill="1" applyBorder="1" applyAlignment="1">
      <alignment horizontal="center" vertical="top"/>
    </xf>
    <xf numFmtId="164" fontId="1" fillId="4" borderId="7" xfId="0" applyNumberFormat="1" applyFont="1" applyFill="1" applyBorder="1" applyAlignment="1">
      <alignment horizontal="center" vertical="top"/>
    </xf>
    <xf numFmtId="164" fontId="1" fillId="4" borderId="24" xfId="0" applyNumberFormat="1" applyFont="1" applyFill="1" applyBorder="1" applyAlignment="1">
      <alignment horizontal="center" vertical="top"/>
    </xf>
    <xf numFmtId="164" fontId="1" fillId="0" borderId="61" xfId="0" applyNumberFormat="1" applyFont="1" applyFill="1" applyBorder="1" applyAlignment="1">
      <alignment horizontal="center" vertical="top"/>
    </xf>
    <xf numFmtId="164" fontId="5" fillId="5" borderId="47" xfId="0" applyNumberFormat="1" applyFont="1" applyFill="1" applyBorder="1" applyAlignment="1">
      <alignment horizontal="center" vertical="top"/>
    </xf>
    <xf numFmtId="164" fontId="2" fillId="5" borderId="47" xfId="0" applyNumberFormat="1" applyFont="1" applyFill="1" applyBorder="1" applyAlignment="1">
      <alignment horizontal="center" vertical="top"/>
    </xf>
    <xf numFmtId="164" fontId="2" fillId="5" borderId="45" xfId="0" applyNumberFormat="1" applyFont="1" applyFill="1" applyBorder="1" applyAlignment="1">
      <alignment horizontal="center" vertical="top"/>
    </xf>
    <xf numFmtId="164" fontId="1" fillId="0" borderId="17" xfId="0" applyNumberFormat="1" applyFont="1" applyFill="1" applyBorder="1" applyAlignment="1">
      <alignment horizontal="center" vertical="top"/>
    </xf>
    <xf numFmtId="164" fontId="1" fillId="0" borderId="24" xfId="0" applyNumberFormat="1" applyFont="1" applyFill="1" applyBorder="1" applyAlignment="1">
      <alignment horizontal="center" vertical="top"/>
    </xf>
    <xf numFmtId="164" fontId="2" fillId="5" borderId="50" xfId="0" applyNumberFormat="1" applyFont="1" applyFill="1" applyBorder="1" applyAlignment="1">
      <alignment horizontal="center" vertical="top"/>
    </xf>
    <xf numFmtId="164" fontId="1" fillId="0" borderId="0" xfId="0" applyNumberFormat="1" applyFont="1" applyFill="1" applyBorder="1" applyAlignment="1">
      <alignment horizontal="center" vertical="top"/>
    </xf>
    <xf numFmtId="164" fontId="2" fillId="2" borderId="12" xfId="0" applyNumberFormat="1" applyFont="1" applyFill="1" applyBorder="1" applyAlignment="1">
      <alignment horizontal="center" vertical="top"/>
    </xf>
    <xf numFmtId="164" fontId="1" fillId="0" borderId="0" xfId="0" applyNumberFormat="1" applyFont="1" applyBorder="1" applyAlignment="1">
      <alignment vertical="top"/>
    </xf>
    <xf numFmtId="164" fontId="1" fillId="0" borderId="0" xfId="0" applyNumberFormat="1" applyFont="1" applyAlignment="1">
      <alignment vertical="top"/>
    </xf>
    <xf numFmtId="164" fontId="1" fillId="0" borderId="0" xfId="0" applyNumberFormat="1" applyFont="1" applyBorder="1" applyAlignment="1">
      <alignment horizontal="center" vertical="top"/>
    </xf>
    <xf numFmtId="164" fontId="4" fillId="4" borderId="17" xfId="0" applyNumberFormat="1" applyFont="1" applyFill="1" applyBorder="1" applyAlignment="1">
      <alignment horizontal="center" vertical="top"/>
    </xf>
    <xf numFmtId="3" fontId="1" fillId="4" borderId="32" xfId="0" applyNumberFormat="1" applyFont="1" applyFill="1" applyBorder="1" applyAlignment="1">
      <alignment horizontal="center" vertical="top" wrapText="1"/>
    </xf>
    <xf numFmtId="164" fontId="1" fillId="4" borderId="28" xfId="0" applyNumberFormat="1" applyFont="1" applyFill="1" applyBorder="1" applyAlignment="1">
      <alignment horizontal="center" vertical="top"/>
    </xf>
    <xf numFmtId="3" fontId="2" fillId="0" borderId="0" xfId="0" applyNumberFormat="1" applyFont="1" applyFill="1" applyBorder="1" applyAlignment="1">
      <alignment horizontal="center" vertical="top" wrapText="1"/>
    </xf>
    <xf numFmtId="3" fontId="1" fillId="0" borderId="30" xfId="0" applyNumberFormat="1" applyFont="1" applyBorder="1" applyAlignment="1">
      <alignment horizontal="center" vertical="top"/>
    </xf>
    <xf numFmtId="3" fontId="1" fillId="4" borderId="60" xfId="0" applyNumberFormat="1" applyFont="1" applyFill="1" applyBorder="1" applyAlignment="1">
      <alignment horizontal="center" vertical="top" wrapText="1"/>
    </xf>
    <xf numFmtId="3" fontId="5" fillId="0" borderId="18" xfId="0" applyNumberFormat="1" applyFont="1" applyBorder="1" applyAlignment="1">
      <alignment horizontal="center" vertical="top"/>
    </xf>
    <xf numFmtId="3" fontId="4" fillId="4" borderId="53" xfId="0" applyNumberFormat="1" applyFont="1" applyFill="1" applyBorder="1" applyAlignment="1">
      <alignment horizontal="center" vertical="top"/>
    </xf>
    <xf numFmtId="3" fontId="1" fillId="0" borderId="32" xfId="0" applyNumberFormat="1" applyFont="1" applyBorder="1" applyAlignment="1">
      <alignment horizontal="center" vertical="top"/>
    </xf>
    <xf numFmtId="164" fontId="1" fillId="4" borderId="15" xfId="0" applyNumberFormat="1" applyFont="1" applyFill="1" applyBorder="1" applyAlignment="1">
      <alignment horizontal="center" vertical="top"/>
    </xf>
    <xf numFmtId="3" fontId="8" fillId="0" borderId="0" xfId="0" applyNumberFormat="1" applyFont="1" applyBorder="1" applyAlignment="1">
      <alignment vertical="top"/>
    </xf>
    <xf numFmtId="3" fontId="1" fillId="4" borderId="18" xfId="0" applyNumberFormat="1" applyFont="1" applyFill="1" applyBorder="1" applyAlignment="1">
      <alignment vertical="top" wrapText="1"/>
    </xf>
    <xf numFmtId="164" fontId="1" fillId="4" borderId="57" xfId="0" applyNumberFormat="1" applyFont="1" applyFill="1" applyBorder="1" applyAlignment="1">
      <alignment horizontal="center" vertical="top"/>
    </xf>
    <xf numFmtId="164" fontId="4" fillId="0" borderId="58" xfId="0" applyNumberFormat="1" applyFont="1" applyFill="1" applyBorder="1" applyAlignment="1">
      <alignment horizontal="center" vertical="top"/>
    </xf>
    <xf numFmtId="3" fontId="1" fillId="4" borderId="17" xfId="0" applyNumberFormat="1" applyFont="1" applyFill="1" applyBorder="1" applyAlignment="1">
      <alignment vertical="top" wrapText="1"/>
    </xf>
    <xf numFmtId="3" fontId="1" fillId="4" borderId="61" xfId="0" applyNumberFormat="1" applyFont="1" applyFill="1" applyBorder="1" applyAlignment="1">
      <alignment vertical="top" wrapText="1"/>
    </xf>
    <xf numFmtId="3" fontId="1" fillId="4" borderId="53" xfId="0" applyNumberFormat="1" applyFont="1" applyFill="1" applyBorder="1" applyAlignment="1">
      <alignment horizontal="center" vertical="top" wrapText="1"/>
    </xf>
    <xf numFmtId="3" fontId="4" fillId="4" borderId="52" xfId="0" applyNumberFormat="1" applyFont="1" applyFill="1" applyBorder="1" applyAlignment="1">
      <alignment horizontal="center" vertical="top" wrapText="1"/>
    </xf>
    <xf numFmtId="3" fontId="2" fillId="0" borderId="32" xfId="0" applyNumberFormat="1" applyFont="1" applyBorder="1" applyAlignment="1">
      <alignment vertical="top"/>
    </xf>
    <xf numFmtId="164" fontId="4" fillId="4" borderId="28" xfId="0" applyNumberFormat="1" applyFont="1" applyFill="1" applyBorder="1" applyAlignment="1">
      <alignment horizontal="center" vertical="top"/>
    </xf>
    <xf numFmtId="3" fontId="4" fillId="4" borderId="44" xfId="0" applyNumberFormat="1" applyFont="1" applyFill="1" applyBorder="1" applyAlignment="1">
      <alignment horizontal="center" vertical="top" wrapText="1"/>
    </xf>
    <xf numFmtId="3" fontId="1" fillId="4" borderId="42" xfId="0" applyNumberFormat="1" applyFont="1" applyFill="1" applyBorder="1" applyAlignment="1">
      <alignment horizontal="center" vertical="top" wrapText="1"/>
    </xf>
    <xf numFmtId="3" fontId="1" fillId="4" borderId="62" xfId="0" applyNumberFormat="1" applyFont="1" applyFill="1" applyBorder="1" applyAlignment="1">
      <alignment vertical="top" wrapText="1"/>
    </xf>
    <xf numFmtId="3" fontId="4" fillId="4" borderId="66" xfId="0" applyNumberFormat="1" applyFont="1" applyFill="1" applyBorder="1" applyAlignment="1">
      <alignment horizontal="center" vertical="top" wrapText="1"/>
    </xf>
    <xf numFmtId="3" fontId="4" fillId="4" borderId="51" xfId="0" applyNumberFormat="1" applyFont="1" applyFill="1" applyBorder="1" applyAlignment="1">
      <alignment horizontal="center" vertical="top" wrapText="1"/>
    </xf>
    <xf numFmtId="3" fontId="1" fillId="4" borderId="33" xfId="0" applyNumberFormat="1" applyFont="1" applyFill="1" applyBorder="1" applyAlignment="1">
      <alignment horizontal="center" vertical="top"/>
    </xf>
    <xf numFmtId="3" fontId="4" fillId="4" borderId="32" xfId="0" applyNumberFormat="1" applyFont="1" applyFill="1" applyBorder="1" applyAlignment="1">
      <alignment horizontal="center" vertical="top" wrapText="1"/>
    </xf>
    <xf numFmtId="3" fontId="1" fillId="4" borderId="51" xfId="0" applyNumberFormat="1" applyFont="1" applyFill="1" applyBorder="1" applyAlignment="1">
      <alignment horizontal="center" vertical="top"/>
    </xf>
    <xf numFmtId="3" fontId="4" fillId="4" borderId="33" xfId="0" applyNumberFormat="1" applyFont="1" applyFill="1" applyBorder="1" applyAlignment="1">
      <alignment horizontal="center" vertical="top" wrapText="1"/>
    </xf>
    <xf numFmtId="3" fontId="5" fillId="4" borderId="67" xfId="0" applyNumberFormat="1" applyFont="1" applyFill="1" applyBorder="1" applyAlignment="1">
      <alignment horizontal="center" vertical="top" wrapText="1"/>
    </xf>
    <xf numFmtId="3" fontId="4" fillId="4" borderId="53" xfId="0" applyNumberFormat="1" applyFont="1" applyFill="1" applyBorder="1" applyAlignment="1">
      <alignment horizontal="center" vertical="top" wrapText="1"/>
    </xf>
    <xf numFmtId="164" fontId="1" fillId="4" borderId="3" xfId="0" applyNumberFormat="1" applyFont="1" applyFill="1" applyBorder="1" applyAlignment="1">
      <alignment horizontal="center" vertical="top"/>
    </xf>
    <xf numFmtId="164" fontId="1" fillId="3" borderId="27" xfId="0" applyNumberFormat="1" applyFont="1" applyFill="1" applyBorder="1" applyAlignment="1">
      <alignment horizontal="center" vertical="top" wrapText="1"/>
    </xf>
    <xf numFmtId="3" fontId="1" fillId="0" borderId="64" xfId="0" applyNumberFormat="1" applyFont="1" applyBorder="1" applyAlignment="1">
      <alignment horizontal="center" vertical="top"/>
    </xf>
    <xf numFmtId="3" fontId="1" fillId="0" borderId="68" xfId="0" applyNumberFormat="1" applyFont="1" applyBorder="1" applyAlignment="1">
      <alignment horizontal="center" vertical="top"/>
    </xf>
    <xf numFmtId="3" fontId="1" fillId="0" borderId="71" xfId="0" applyNumberFormat="1" applyFont="1" applyBorder="1" applyAlignment="1">
      <alignment horizontal="center" vertical="top"/>
    </xf>
    <xf numFmtId="164" fontId="4" fillId="4" borderId="62" xfId="0" applyNumberFormat="1" applyFont="1" applyFill="1" applyBorder="1" applyAlignment="1">
      <alignment horizontal="center" vertical="top"/>
    </xf>
    <xf numFmtId="3" fontId="2" fillId="3" borderId="43" xfId="0" applyNumberFormat="1" applyFont="1" applyFill="1" applyBorder="1" applyAlignment="1">
      <alignment horizontal="center" vertical="top"/>
    </xf>
    <xf numFmtId="164" fontId="1" fillId="3" borderId="24" xfId="0" applyNumberFormat="1" applyFont="1" applyFill="1" applyBorder="1" applyAlignment="1">
      <alignment horizontal="center" vertical="top"/>
    </xf>
    <xf numFmtId="3" fontId="3" fillId="0" borderId="0" xfId="0" applyNumberFormat="1" applyFont="1"/>
    <xf numFmtId="164" fontId="1" fillId="0" borderId="16" xfId="0" applyNumberFormat="1" applyFont="1" applyFill="1" applyBorder="1" applyAlignment="1">
      <alignment horizontal="center" vertical="top"/>
    </xf>
    <xf numFmtId="164" fontId="1" fillId="0" borderId="65" xfId="0" applyNumberFormat="1" applyFont="1" applyFill="1" applyBorder="1" applyAlignment="1">
      <alignment horizontal="center" vertical="top"/>
    </xf>
    <xf numFmtId="164" fontId="1" fillId="3" borderId="61" xfId="0" applyNumberFormat="1" applyFont="1" applyFill="1" applyBorder="1" applyAlignment="1">
      <alignment horizontal="center" vertical="top" wrapText="1"/>
    </xf>
    <xf numFmtId="3" fontId="1" fillId="4" borderId="21" xfId="0" applyNumberFormat="1" applyFont="1" applyFill="1" applyBorder="1" applyAlignment="1">
      <alignment horizontal="center" vertical="top"/>
    </xf>
    <xf numFmtId="3" fontId="4" fillId="0" borderId="33" xfId="0" applyNumberFormat="1" applyFont="1" applyFill="1" applyBorder="1" applyAlignment="1">
      <alignment horizontal="center" vertical="top" wrapText="1"/>
    </xf>
    <xf numFmtId="3" fontId="4" fillId="4" borderId="60" xfId="0" applyNumberFormat="1" applyFont="1" applyFill="1" applyBorder="1" applyAlignment="1">
      <alignment horizontal="center" vertical="top" wrapText="1"/>
    </xf>
    <xf numFmtId="3" fontId="4" fillId="0" borderId="38" xfId="0" applyNumberFormat="1" applyFont="1" applyFill="1" applyBorder="1" applyAlignment="1">
      <alignment horizontal="center" vertical="top" wrapText="1"/>
    </xf>
    <xf numFmtId="164" fontId="4" fillId="4" borderId="27" xfId="0" applyNumberFormat="1" applyFont="1" applyFill="1" applyBorder="1" applyAlignment="1">
      <alignment horizontal="center" vertical="top"/>
    </xf>
    <xf numFmtId="3" fontId="4" fillId="3" borderId="21" xfId="0" applyNumberFormat="1" applyFont="1" applyFill="1" applyBorder="1" applyAlignment="1">
      <alignment horizontal="center" vertical="top"/>
    </xf>
    <xf numFmtId="164" fontId="1" fillId="0" borderId="17" xfId="0" applyNumberFormat="1" applyFont="1" applyBorder="1" applyAlignment="1">
      <alignment horizontal="center" vertical="top"/>
    </xf>
    <xf numFmtId="3" fontId="1" fillId="0" borderId="6" xfId="0" applyNumberFormat="1" applyFont="1" applyBorder="1" applyAlignment="1">
      <alignment horizontal="center" vertical="top"/>
    </xf>
    <xf numFmtId="3" fontId="1" fillId="4" borderId="33" xfId="0" applyNumberFormat="1" applyFont="1" applyFill="1" applyBorder="1" applyAlignment="1">
      <alignment horizontal="center" vertical="top" wrapText="1"/>
    </xf>
    <xf numFmtId="164" fontId="2" fillId="5" borderId="47" xfId="0" applyNumberFormat="1" applyFont="1" applyFill="1" applyBorder="1" applyAlignment="1">
      <alignment horizontal="center" vertical="top" wrapText="1"/>
    </xf>
    <xf numFmtId="0" fontId="12" fillId="4" borderId="68" xfId="0" applyFont="1" applyFill="1" applyBorder="1" applyAlignment="1">
      <alignment horizontal="center" vertical="top"/>
    </xf>
    <xf numFmtId="0" fontId="12" fillId="4" borderId="21" xfId="0" applyFont="1" applyFill="1" applyBorder="1" applyAlignment="1">
      <alignment horizontal="center" vertical="top"/>
    </xf>
    <xf numFmtId="3" fontId="1" fillId="4" borderId="59" xfId="0" applyNumberFormat="1" applyFont="1" applyFill="1" applyBorder="1" applyAlignment="1">
      <alignment vertical="top" wrapText="1"/>
    </xf>
    <xf numFmtId="3" fontId="1" fillId="4" borderId="46" xfId="0" applyNumberFormat="1" applyFont="1" applyFill="1" applyBorder="1" applyAlignment="1">
      <alignment horizontal="center" vertical="top" wrapText="1"/>
    </xf>
    <xf numFmtId="3" fontId="1" fillId="4" borderId="44" xfId="0" applyNumberFormat="1" applyFont="1" applyFill="1" applyBorder="1" applyAlignment="1">
      <alignment horizontal="center" vertical="top" wrapText="1"/>
    </xf>
    <xf numFmtId="3" fontId="4" fillId="4" borderId="31" xfId="0" applyNumberFormat="1" applyFont="1" applyFill="1" applyBorder="1" applyAlignment="1">
      <alignment horizontal="center" vertical="top" wrapText="1"/>
    </xf>
    <xf numFmtId="3" fontId="4" fillId="4" borderId="27" xfId="0" applyNumberFormat="1" applyFont="1" applyFill="1" applyBorder="1" applyAlignment="1">
      <alignment horizontal="center" vertical="top" wrapText="1"/>
    </xf>
    <xf numFmtId="164" fontId="1" fillId="4" borderId="34" xfId="0" applyNumberFormat="1" applyFont="1" applyFill="1" applyBorder="1" applyAlignment="1">
      <alignment horizontal="center" vertical="top"/>
    </xf>
    <xf numFmtId="3" fontId="4" fillId="4" borderId="57" xfId="0" applyNumberFormat="1" applyFont="1" applyFill="1" applyBorder="1" applyAlignment="1">
      <alignment horizontal="center" vertical="top" wrapText="1"/>
    </xf>
    <xf numFmtId="164" fontId="1" fillId="4" borderId="7" xfId="0" applyNumberFormat="1" applyFont="1" applyFill="1" applyBorder="1" applyAlignment="1">
      <alignment horizontal="center" vertical="top" wrapText="1"/>
    </xf>
    <xf numFmtId="3" fontId="1" fillId="4" borderId="65" xfId="0" applyNumberFormat="1" applyFont="1" applyFill="1" applyBorder="1" applyAlignment="1">
      <alignment horizontal="left" vertical="top" wrapText="1"/>
    </xf>
    <xf numFmtId="3" fontId="1" fillId="4" borderId="56" xfId="0" applyNumberFormat="1" applyFont="1" applyFill="1" applyBorder="1" applyAlignment="1">
      <alignment vertical="top" wrapText="1"/>
    </xf>
    <xf numFmtId="3" fontId="1" fillId="4" borderId="21" xfId="0" applyNumberFormat="1" applyFont="1" applyFill="1" applyBorder="1" applyAlignment="1">
      <alignment horizontal="center" vertical="top" wrapText="1"/>
    </xf>
    <xf numFmtId="3" fontId="1" fillId="0" borderId="61" xfId="0" applyNumberFormat="1" applyFont="1" applyBorder="1" applyAlignment="1">
      <alignment horizontal="center" vertical="top"/>
    </xf>
    <xf numFmtId="164" fontId="1" fillId="4" borderId="74" xfId="0" applyNumberFormat="1" applyFont="1" applyFill="1" applyBorder="1" applyAlignment="1">
      <alignment horizontal="center" vertical="top" wrapText="1"/>
    </xf>
    <xf numFmtId="164" fontId="1" fillId="4" borderId="17" xfId="0" applyNumberFormat="1" applyFont="1" applyFill="1" applyBorder="1" applyAlignment="1">
      <alignment horizontal="center" vertical="top" wrapText="1"/>
    </xf>
    <xf numFmtId="3" fontId="1" fillId="0" borderId="65" xfId="0" applyNumberFormat="1" applyFont="1" applyFill="1" applyBorder="1" applyAlignment="1">
      <alignment horizontal="center" vertical="top" wrapText="1"/>
    </xf>
    <xf numFmtId="3" fontId="1" fillId="3" borderId="52" xfId="0" applyNumberFormat="1" applyFont="1" applyFill="1" applyBorder="1" applyAlignment="1">
      <alignment horizontal="center" vertical="top"/>
    </xf>
    <xf numFmtId="3" fontId="1" fillId="0" borderId="61" xfId="0" applyNumberFormat="1" applyFont="1" applyFill="1" applyBorder="1" applyAlignment="1">
      <alignment horizontal="center" vertical="top" wrapText="1"/>
    </xf>
    <xf numFmtId="3" fontId="1" fillId="0" borderId="74" xfId="0" applyNumberFormat="1" applyFont="1" applyBorder="1" applyAlignment="1">
      <alignment horizontal="center" vertical="top"/>
    </xf>
    <xf numFmtId="49" fontId="2" fillId="0" borderId="18" xfId="0" applyNumberFormat="1" applyFont="1" applyBorder="1" applyAlignment="1">
      <alignment horizontal="center" vertical="top"/>
    </xf>
    <xf numFmtId="0" fontId="1" fillId="0" borderId="17" xfId="0" applyFont="1" applyFill="1" applyBorder="1" applyAlignment="1">
      <alignment horizontal="center" vertical="top" wrapText="1"/>
    </xf>
    <xf numFmtId="164" fontId="1" fillId="3" borderId="7" xfId="0" applyNumberFormat="1" applyFont="1" applyFill="1" applyBorder="1" applyAlignment="1">
      <alignment horizontal="center" vertical="top"/>
    </xf>
    <xf numFmtId="49" fontId="2" fillId="0" borderId="18" xfId="0" applyNumberFormat="1" applyFont="1" applyBorder="1" applyAlignment="1">
      <alignment horizontal="center" vertical="top" wrapText="1"/>
    </xf>
    <xf numFmtId="49" fontId="2" fillId="2" borderId="67" xfId="0" applyNumberFormat="1" applyFont="1" applyFill="1" applyBorder="1" applyAlignment="1">
      <alignment horizontal="center" vertical="top"/>
    </xf>
    <xf numFmtId="49" fontId="2" fillId="0" borderId="32" xfId="0" applyNumberFormat="1" applyFont="1" applyBorder="1" applyAlignment="1">
      <alignment horizontal="center" vertical="top" wrapText="1"/>
    </xf>
    <xf numFmtId="3" fontId="2" fillId="4" borderId="29" xfId="0" applyNumberFormat="1" applyFont="1" applyFill="1" applyBorder="1" applyAlignment="1">
      <alignment horizontal="left" vertical="top" wrapText="1"/>
    </xf>
    <xf numFmtId="3" fontId="2" fillId="0" borderId="3" xfId="0" applyNumberFormat="1" applyFont="1" applyFill="1" applyBorder="1" applyAlignment="1">
      <alignment horizontal="center" vertical="top" textRotation="90" wrapText="1"/>
    </xf>
    <xf numFmtId="3" fontId="4" fillId="4" borderId="61" xfId="0" applyNumberFormat="1" applyFont="1" applyFill="1" applyBorder="1" applyAlignment="1">
      <alignment horizontal="center" vertical="top" wrapText="1"/>
    </xf>
    <xf numFmtId="164" fontId="5" fillId="4" borderId="7" xfId="0" applyNumberFormat="1" applyFont="1" applyFill="1" applyBorder="1" applyAlignment="1">
      <alignment horizontal="center" vertical="top"/>
    </xf>
    <xf numFmtId="49" fontId="2" fillId="3" borderId="19" xfId="0" applyNumberFormat="1" applyFont="1" applyFill="1" applyBorder="1" applyAlignment="1">
      <alignment vertical="top"/>
    </xf>
    <xf numFmtId="49" fontId="2" fillId="3" borderId="67" xfId="0" applyNumberFormat="1" applyFont="1" applyFill="1" applyBorder="1" applyAlignment="1">
      <alignment horizontal="center" vertical="top"/>
    </xf>
    <xf numFmtId="3" fontId="1" fillId="0" borderId="5" xfId="0" applyNumberFormat="1" applyFont="1" applyFill="1" applyBorder="1" applyAlignment="1">
      <alignment horizontal="center" vertical="top" wrapText="1"/>
    </xf>
    <xf numFmtId="3" fontId="1" fillId="4" borderId="66" xfId="0" applyNumberFormat="1" applyFont="1" applyFill="1" applyBorder="1" applyAlignment="1">
      <alignment horizontal="left" vertical="top" wrapText="1"/>
    </xf>
    <xf numFmtId="3" fontId="4" fillId="0" borderId="13" xfId="0" applyNumberFormat="1" applyFont="1" applyBorder="1" applyAlignment="1">
      <alignment horizontal="center" vertical="top"/>
    </xf>
    <xf numFmtId="3" fontId="4" fillId="0" borderId="18" xfId="0" applyNumberFormat="1" applyFont="1" applyBorder="1" applyAlignment="1">
      <alignment horizontal="center" vertical="top"/>
    </xf>
    <xf numFmtId="3" fontId="4" fillId="3" borderId="0" xfId="0" applyNumberFormat="1" applyFont="1" applyFill="1" applyBorder="1" applyAlignment="1">
      <alignment horizontal="center" vertical="top" wrapText="1"/>
    </xf>
    <xf numFmtId="3" fontId="5" fillId="3" borderId="0" xfId="0" applyNumberFormat="1" applyFont="1" applyFill="1" applyBorder="1" applyAlignment="1">
      <alignment horizontal="center" vertical="top" wrapText="1"/>
    </xf>
    <xf numFmtId="3" fontId="5" fillId="3" borderId="0" xfId="0" applyNumberFormat="1" applyFont="1" applyFill="1" applyBorder="1" applyAlignment="1">
      <alignment horizontal="center" vertical="top"/>
    </xf>
    <xf numFmtId="3" fontId="4" fillId="3" borderId="0" xfId="0" applyNumberFormat="1" applyFont="1" applyFill="1" applyBorder="1" applyAlignment="1">
      <alignment horizontal="center" vertical="top"/>
    </xf>
    <xf numFmtId="3" fontId="1" fillId="4" borderId="17" xfId="0" applyNumberFormat="1" applyFont="1" applyFill="1" applyBorder="1" applyAlignment="1">
      <alignment horizontal="center" vertical="top" wrapText="1"/>
    </xf>
    <xf numFmtId="49" fontId="2" fillId="4" borderId="32" xfId="0" applyNumberFormat="1" applyFont="1" applyFill="1" applyBorder="1" applyAlignment="1">
      <alignment horizontal="center" vertical="top"/>
    </xf>
    <xf numFmtId="3" fontId="1" fillId="0" borderId="0" xfId="0" applyNumberFormat="1" applyFont="1" applyFill="1" applyBorder="1" applyAlignment="1">
      <alignment horizontal="center" vertical="center" wrapText="1"/>
    </xf>
    <xf numFmtId="3" fontId="4" fillId="0" borderId="53" xfId="0" applyNumberFormat="1" applyFont="1" applyFill="1" applyBorder="1" applyAlignment="1">
      <alignment horizontal="center" vertical="top" wrapText="1"/>
    </xf>
    <xf numFmtId="3" fontId="4" fillId="0" borderId="60" xfId="0" applyNumberFormat="1" applyFont="1" applyFill="1" applyBorder="1" applyAlignment="1">
      <alignment horizontal="center" vertical="top" wrapText="1"/>
    </xf>
    <xf numFmtId="3" fontId="4" fillId="0" borderId="17" xfId="0" applyNumberFormat="1" applyFont="1" applyBorder="1" applyAlignment="1">
      <alignment horizontal="center" vertical="top"/>
    </xf>
    <xf numFmtId="3" fontId="1" fillId="0" borderId="16" xfId="0" applyNumberFormat="1" applyFont="1" applyBorder="1" applyAlignment="1">
      <alignment horizontal="center" vertical="top"/>
    </xf>
    <xf numFmtId="3" fontId="1" fillId="0" borderId="17" xfId="0" applyNumberFormat="1" applyFont="1" applyBorder="1" applyAlignment="1">
      <alignment horizontal="center" vertical="top"/>
    </xf>
    <xf numFmtId="3" fontId="1" fillId="4" borderId="16" xfId="0" applyNumberFormat="1" applyFont="1" applyFill="1" applyBorder="1" applyAlignment="1">
      <alignment horizontal="center" vertical="top"/>
    </xf>
    <xf numFmtId="3" fontId="1" fillId="4" borderId="61" xfId="0" applyNumberFormat="1" applyFont="1" applyFill="1" applyBorder="1" applyAlignment="1">
      <alignment horizontal="center" vertical="top" wrapText="1"/>
    </xf>
    <xf numFmtId="3" fontId="4" fillId="0" borderId="16" xfId="0" applyNumberFormat="1" applyFont="1" applyFill="1" applyBorder="1" applyAlignment="1">
      <alignment horizontal="center" vertical="top" wrapText="1"/>
    </xf>
    <xf numFmtId="3" fontId="1" fillId="4" borderId="62" xfId="0" applyNumberFormat="1" applyFont="1" applyFill="1" applyBorder="1" applyAlignment="1">
      <alignment horizontal="center" vertical="top" wrapText="1"/>
    </xf>
    <xf numFmtId="164" fontId="4" fillId="0" borderId="12" xfId="0" applyNumberFormat="1" applyFont="1" applyBorder="1" applyAlignment="1">
      <alignment horizontal="center" vertical="center" wrapText="1"/>
    </xf>
    <xf numFmtId="164" fontId="4" fillId="0" borderId="65" xfId="0" applyNumberFormat="1" applyFont="1" applyFill="1" applyBorder="1" applyAlignment="1">
      <alignment horizontal="center" vertical="top" wrapText="1"/>
    </xf>
    <xf numFmtId="164" fontId="4" fillId="0" borderId="62" xfId="0" applyNumberFormat="1" applyFont="1" applyFill="1" applyBorder="1" applyAlignment="1">
      <alignment horizontal="center" vertical="top" wrapText="1"/>
    </xf>
    <xf numFmtId="164" fontId="4" fillId="0" borderId="61" xfId="0" applyNumberFormat="1" applyFont="1" applyBorder="1" applyAlignment="1">
      <alignment horizontal="center" vertical="top" wrapText="1"/>
    </xf>
    <xf numFmtId="164" fontId="4" fillId="0" borderId="47" xfId="0" applyNumberFormat="1" applyFont="1" applyFill="1" applyBorder="1" applyAlignment="1">
      <alignment horizontal="center" vertical="top" wrapText="1"/>
    </xf>
    <xf numFmtId="164" fontId="5" fillId="5" borderId="12" xfId="0" applyNumberFormat="1" applyFont="1" applyFill="1" applyBorder="1" applyAlignment="1">
      <alignment horizontal="center" vertical="top" wrapText="1"/>
    </xf>
    <xf numFmtId="164" fontId="4" fillId="0" borderId="0" xfId="0" applyNumberFormat="1" applyFont="1" applyBorder="1" applyAlignment="1">
      <alignment vertical="top"/>
    </xf>
    <xf numFmtId="3" fontId="4" fillId="0" borderId="8" xfId="0" applyNumberFormat="1" applyFont="1" applyBorder="1" applyAlignment="1">
      <alignment vertical="top"/>
    </xf>
    <xf numFmtId="164" fontId="5" fillId="4" borderId="0" xfId="0" applyNumberFormat="1" applyFont="1" applyFill="1" applyBorder="1" applyAlignment="1">
      <alignment horizontal="center" vertical="top"/>
    </xf>
    <xf numFmtId="3" fontId="4" fillId="4" borderId="17" xfId="0" applyNumberFormat="1" applyFont="1" applyFill="1" applyBorder="1" applyAlignment="1">
      <alignment horizontal="center" vertical="top" wrapText="1"/>
    </xf>
    <xf numFmtId="3" fontId="4" fillId="4" borderId="51" xfId="0" applyNumberFormat="1" applyFont="1" applyFill="1" applyBorder="1" applyAlignment="1">
      <alignment horizontal="center" vertical="top"/>
    </xf>
    <xf numFmtId="3" fontId="5" fillId="0" borderId="31" xfId="0" applyNumberFormat="1" applyFont="1" applyBorder="1" applyAlignment="1">
      <alignment vertical="top"/>
    </xf>
    <xf numFmtId="3" fontId="5" fillId="0" borderId="32" xfId="0" applyNumberFormat="1" applyFont="1" applyBorder="1" applyAlignment="1">
      <alignment vertical="top"/>
    </xf>
    <xf numFmtId="3" fontId="5" fillId="0" borderId="64" xfId="0" applyNumberFormat="1" applyFont="1" applyBorder="1" applyAlignment="1">
      <alignment horizontal="center" vertical="top"/>
    </xf>
    <xf numFmtId="164" fontId="2" fillId="4" borderId="7" xfId="0" applyNumberFormat="1" applyFont="1" applyFill="1" applyBorder="1" applyAlignment="1">
      <alignment horizontal="center" vertical="top"/>
    </xf>
    <xf numFmtId="3" fontId="1" fillId="0" borderId="0" xfId="0" applyNumberFormat="1" applyFont="1" applyFill="1" applyBorder="1" applyAlignment="1">
      <alignment vertical="top" wrapText="1"/>
    </xf>
    <xf numFmtId="3" fontId="4" fillId="4" borderId="16" xfId="0" applyNumberFormat="1" applyFont="1" applyFill="1" applyBorder="1" applyAlignment="1">
      <alignment horizontal="center" vertical="top" wrapText="1"/>
    </xf>
    <xf numFmtId="3" fontId="2" fillId="0" borderId="0" xfId="0" applyNumberFormat="1" applyFont="1" applyFill="1" applyBorder="1" applyAlignment="1">
      <alignment horizontal="center" vertical="top" textRotation="90" wrapText="1"/>
    </xf>
    <xf numFmtId="164" fontId="1" fillId="0" borderId="7" xfId="0" applyNumberFormat="1" applyFont="1" applyBorder="1" applyAlignment="1">
      <alignment horizontal="center" vertical="top"/>
    </xf>
    <xf numFmtId="3" fontId="1" fillId="0" borderId="62" xfId="0" applyNumberFormat="1" applyFont="1" applyFill="1" applyBorder="1" applyAlignment="1">
      <alignment horizontal="center" vertical="top"/>
    </xf>
    <xf numFmtId="3" fontId="4" fillId="0" borderId="65" xfId="0" applyNumberFormat="1" applyFont="1" applyFill="1" applyBorder="1" applyAlignment="1">
      <alignment horizontal="center" vertical="top" wrapText="1"/>
    </xf>
    <xf numFmtId="3" fontId="1" fillId="4" borderId="39" xfId="0" applyNumberFormat="1" applyFont="1" applyFill="1" applyBorder="1" applyAlignment="1">
      <alignment horizontal="center" vertical="top"/>
    </xf>
    <xf numFmtId="49" fontId="5" fillId="3" borderId="68" xfId="0" applyNumberFormat="1" applyFont="1" applyFill="1" applyBorder="1" applyAlignment="1">
      <alignment horizontal="center" vertical="top"/>
    </xf>
    <xf numFmtId="3" fontId="1" fillId="3" borderId="51" xfId="0" applyNumberFormat="1" applyFont="1" applyFill="1" applyBorder="1" applyAlignment="1">
      <alignment horizontal="center" vertical="top"/>
    </xf>
    <xf numFmtId="3" fontId="1" fillId="3" borderId="59" xfId="0" applyNumberFormat="1" applyFont="1" applyFill="1" applyBorder="1" applyAlignment="1">
      <alignment vertical="top" wrapText="1"/>
    </xf>
    <xf numFmtId="3" fontId="1" fillId="0" borderId="52" xfId="0" applyNumberFormat="1" applyFont="1" applyFill="1" applyBorder="1" applyAlignment="1">
      <alignment horizontal="center" vertical="top"/>
    </xf>
    <xf numFmtId="3" fontId="1" fillId="4" borderId="74" xfId="0" applyNumberFormat="1" applyFont="1" applyFill="1" applyBorder="1" applyAlignment="1">
      <alignment vertical="top" wrapText="1"/>
    </xf>
    <xf numFmtId="164" fontId="4" fillId="4" borderId="26" xfId="0" applyNumberFormat="1" applyFont="1" applyFill="1" applyBorder="1" applyAlignment="1">
      <alignment horizontal="center" vertical="top"/>
    </xf>
    <xf numFmtId="164" fontId="5" fillId="4" borderId="17" xfId="0" applyNumberFormat="1" applyFont="1" applyFill="1" applyBorder="1" applyAlignment="1">
      <alignment horizontal="center" vertical="top"/>
    </xf>
    <xf numFmtId="164" fontId="5" fillId="4" borderId="18" xfId="0" applyNumberFormat="1" applyFont="1" applyFill="1" applyBorder="1" applyAlignment="1">
      <alignment horizontal="center" vertical="top"/>
    </xf>
    <xf numFmtId="164" fontId="1" fillId="0" borderId="18" xfId="0" applyNumberFormat="1" applyFont="1" applyFill="1" applyBorder="1" applyAlignment="1">
      <alignment horizontal="center" vertical="top"/>
    </xf>
    <xf numFmtId="164" fontId="2" fillId="5" borderId="4" xfId="0" applyNumberFormat="1" applyFont="1" applyFill="1" applyBorder="1" applyAlignment="1">
      <alignment horizontal="center" vertical="top" wrapText="1"/>
    </xf>
    <xf numFmtId="164" fontId="1" fillId="4" borderId="13" xfId="0" applyNumberFormat="1" applyFont="1" applyFill="1" applyBorder="1" applyAlignment="1">
      <alignment horizontal="center" vertical="top"/>
    </xf>
    <xf numFmtId="164" fontId="1" fillId="0" borderId="59" xfId="0" applyNumberFormat="1" applyFont="1" applyFill="1" applyBorder="1" applyAlignment="1">
      <alignment horizontal="center" vertical="top"/>
    </xf>
    <xf numFmtId="164" fontId="2" fillId="5" borderId="4" xfId="0" applyNumberFormat="1" applyFont="1" applyFill="1" applyBorder="1" applyAlignment="1">
      <alignment horizontal="center" vertical="top"/>
    </xf>
    <xf numFmtId="164" fontId="1" fillId="0" borderId="18" xfId="0" applyNumberFormat="1" applyFont="1" applyBorder="1" applyAlignment="1">
      <alignment horizontal="center" vertical="top"/>
    </xf>
    <xf numFmtId="164" fontId="2" fillId="2" borderId="11" xfId="0" applyNumberFormat="1" applyFont="1" applyFill="1" applyBorder="1" applyAlignment="1">
      <alignment horizontal="center" vertical="top"/>
    </xf>
    <xf numFmtId="3" fontId="4" fillId="0" borderId="7" xfId="0" applyNumberFormat="1" applyFont="1" applyBorder="1" applyAlignment="1">
      <alignment vertical="top"/>
    </xf>
    <xf numFmtId="164" fontId="2" fillId="4" borderId="17" xfId="0" applyNumberFormat="1" applyFont="1" applyFill="1" applyBorder="1" applyAlignment="1">
      <alignment horizontal="center" vertical="top"/>
    </xf>
    <xf numFmtId="164" fontId="1" fillId="0" borderId="13" xfId="0" applyNumberFormat="1" applyFont="1" applyFill="1" applyBorder="1" applyAlignment="1">
      <alignment horizontal="center" vertical="top"/>
    </xf>
    <xf numFmtId="164" fontId="1" fillId="0" borderId="66" xfId="0" applyNumberFormat="1" applyFont="1" applyFill="1" applyBorder="1" applyAlignment="1">
      <alignment horizontal="center" vertical="top"/>
    </xf>
    <xf numFmtId="164" fontId="4" fillId="4" borderId="18" xfId="0" applyNumberFormat="1" applyFont="1" applyFill="1" applyBorder="1" applyAlignment="1">
      <alignment horizontal="center" vertical="top" wrapText="1"/>
    </xf>
    <xf numFmtId="164" fontId="2" fillId="4" borderId="18" xfId="0" applyNumberFormat="1" applyFont="1" applyFill="1" applyBorder="1" applyAlignment="1">
      <alignment horizontal="center" vertical="top"/>
    </xf>
    <xf numFmtId="164" fontId="1" fillId="4" borderId="18" xfId="0" applyNumberFormat="1" applyFont="1" applyFill="1" applyBorder="1" applyAlignment="1">
      <alignment horizontal="center" vertical="top" wrapText="1"/>
    </xf>
    <xf numFmtId="164" fontId="2" fillId="2" borderId="56" xfId="0" applyNumberFormat="1" applyFont="1" applyFill="1" applyBorder="1" applyAlignment="1">
      <alignment horizontal="center" vertical="top"/>
    </xf>
    <xf numFmtId="164" fontId="1" fillId="3" borderId="59" xfId="0" applyNumberFormat="1" applyFont="1" applyFill="1" applyBorder="1" applyAlignment="1">
      <alignment horizontal="center" vertical="top" wrapText="1"/>
    </xf>
    <xf numFmtId="164" fontId="2" fillId="2" borderId="19" xfId="0" applyNumberFormat="1" applyFont="1" applyFill="1" applyBorder="1" applyAlignment="1">
      <alignment horizontal="center" vertical="top"/>
    </xf>
    <xf numFmtId="164" fontId="1" fillId="3" borderId="18" xfId="0" applyNumberFormat="1" applyFont="1" applyFill="1" applyBorder="1" applyAlignment="1">
      <alignment horizontal="center" vertical="top"/>
    </xf>
    <xf numFmtId="164" fontId="4" fillId="0" borderId="45" xfId="0" applyNumberFormat="1" applyFont="1" applyFill="1" applyBorder="1" applyAlignment="1">
      <alignment horizontal="center" vertical="top" wrapText="1"/>
    </xf>
    <xf numFmtId="164" fontId="4" fillId="0" borderId="11" xfId="0" applyNumberFormat="1" applyFont="1" applyBorder="1" applyAlignment="1">
      <alignment horizontal="center" vertical="center" wrapText="1"/>
    </xf>
    <xf numFmtId="164" fontId="4" fillId="0" borderId="66" xfId="0" applyNumberFormat="1" applyFont="1" applyFill="1" applyBorder="1" applyAlignment="1">
      <alignment horizontal="center" vertical="top" wrapText="1"/>
    </xf>
    <xf numFmtId="164" fontId="4" fillId="0" borderId="42" xfId="0" applyNumberFormat="1" applyFont="1" applyFill="1" applyBorder="1" applyAlignment="1">
      <alignment horizontal="center" vertical="top" wrapText="1"/>
    </xf>
    <xf numFmtId="164" fontId="4" fillId="0" borderId="4" xfId="0" applyNumberFormat="1" applyFont="1" applyFill="1" applyBorder="1" applyAlignment="1">
      <alignment horizontal="center" vertical="top" wrapText="1"/>
    </xf>
    <xf numFmtId="164" fontId="5" fillId="5" borderId="11" xfId="0" applyNumberFormat="1" applyFont="1" applyFill="1" applyBorder="1" applyAlignment="1">
      <alignment horizontal="center" vertical="top" wrapText="1"/>
    </xf>
    <xf numFmtId="3" fontId="2" fillId="4" borderId="8" xfId="0" applyNumberFormat="1" applyFont="1" applyFill="1" applyBorder="1" applyAlignment="1">
      <alignment horizontal="center" vertical="top" wrapText="1"/>
    </xf>
    <xf numFmtId="3" fontId="2" fillId="0" borderId="18" xfId="0" applyNumberFormat="1" applyFont="1" applyBorder="1" applyAlignment="1">
      <alignment vertical="top"/>
    </xf>
    <xf numFmtId="164" fontId="4" fillId="0" borderId="7" xfId="0" applyNumberFormat="1" applyFont="1" applyFill="1" applyBorder="1" applyAlignment="1">
      <alignment horizontal="center" vertical="top"/>
    </xf>
    <xf numFmtId="164" fontId="4" fillId="0" borderId="0" xfId="0" applyNumberFormat="1" applyFont="1" applyFill="1" applyBorder="1" applyAlignment="1">
      <alignment horizontal="center" vertical="top"/>
    </xf>
    <xf numFmtId="3" fontId="4" fillId="4" borderId="65" xfId="0" applyNumberFormat="1" applyFont="1" applyFill="1" applyBorder="1" applyAlignment="1">
      <alignment horizontal="center" vertical="top" wrapText="1"/>
    </xf>
    <xf numFmtId="164" fontId="1" fillId="3" borderId="26" xfId="0" applyNumberFormat="1" applyFont="1" applyFill="1" applyBorder="1" applyAlignment="1">
      <alignment horizontal="center" vertical="top"/>
    </xf>
    <xf numFmtId="49" fontId="1" fillId="4" borderId="65" xfId="0" applyNumberFormat="1" applyFont="1" applyFill="1" applyBorder="1" applyAlignment="1">
      <alignment vertical="top" wrapText="1"/>
    </xf>
    <xf numFmtId="49" fontId="1" fillId="4" borderId="52" xfId="0" applyNumberFormat="1" applyFont="1" applyFill="1" applyBorder="1" applyAlignment="1">
      <alignment horizontal="center" vertical="top"/>
    </xf>
    <xf numFmtId="3" fontId="4" fillId="4" borderId="7" xfId="0" applyNumberFormat="1" applyFont="1" applyFill="1" applyBorder="1" applyAlignment="1">
      <alignment horizontal="center" vertical="top" wrapText="1"/>
    </xf>
    <xf numFmtId="3" fontId="2" fillId="0" borderId="18" xfId="0" applyNumberFormat="1" applyFont="1" applyFill="1" applyBorder="1" applyAlignment="1">
      <alignment horizontal="center" vertical="top" textRotation="180" wrapText="1"/>
    </xf>
    <xf numFmtId="3" fontId="2" fillId="0" borderId="0" xfId="0" applyNumberFormat="1" applyFont="1" applyBorder="1" applyAlignment="1">
      <alignment horizontal="center" vertical="top"/>
    </xf>
    <xf numFmtId="3" fontId="1" fillId="3" borderId="6" xfId="0" applyNumberFormat="1" applyFont="1" applyFill="1" applyBorder="1" applyAlignment="1">
      <alignment horizontal="center" vertical="top"/>
    </xf>
    <xf numFmtId="164" fontId="2" fillId="5" borderId="46" xfId="0" applyNumberFormat="1" applyFont="1" applyFill="1" applyBorder="1" applyAlignment="1">
      <alignment horizontal="center" vertical="top"/>
    </xf>
    <xf numFmtId="3" fontId="5" fillId="5" borderId="47" xfId="0" applyNumberFormat="1" applyFont="1" applyFill="1" applyBorder="1" applyAlignment="1">
      <alignment horizontal="center" vertical="top" wrapText="1"/>
    </xf>
    <xf numFmtId="164" fontId="1" fillId="4" borderId="26" xfId="0" applyNumberFormat="1" applyFont="1" applyFill="1" applyBorder="1" applyAlignment="1">
      <alignment horizontal="center" vertical="top"/>
    </xf>
    <xf numFmtId="164" fontId="1" fillId="4" borderId="27" xfId="0" applyNumberFormat="1" applyFont="1" applyFill="1" applyBorder="1" applyAlignment="1">
      <alignment horizontal="center" vertical="top"/>
    </xf>
    <xf numFmtId="164" fontId="4" fillId="4" borderId="34" xfId="0" applyNumberFormat="1" applyFont="1" applyFill="1" applyBorder="1" applyAlignment="1">
      <alignment horizontal="center" vertical="top"/>
    </xf>
    <xf numFmtId="3" fontId="4" fillId="0" borderId="2" xfId="0" applyNumberFormat="1" applyFont="1" applyFill="1" applyBorder="1" applyAlignment="1">
      <alignment horizontal="center" vertical="top" wrapText="1"/>
    </xf>
    <xf numFmtId="3" fontId="1" fillId="4" borderId="30" xfId="0" applyNumberFormat="1" applyFont="1" applyFill="1" applyBorder="1" applyAlignment="1">
      <alignment horizontal="center" vertical="top"/>
    </xf>
    <xf numFmtId="164" fontId="1" fillId="0" borderId="36" xfId="0" applyNumberFormat="1" applyFont="1" applyFill="1" applyBorder="1" applyAlignment="1">
      <alignment horizontal="center" vertical="top"/>
    </xf>
    <xf numFmtId="164" fontId="1" fillId="0" borderId="37" xfId="0" applyNumberFormat="1" applyFont="1" applyFill="1" applyBorder="1" applyAlignment="1">
      <alignment horizontal="center" vertical="top"/>
    </xf>
    <xf numFmtId="164" fontId="1" fillId="0" borderId="22" xfId="0" applyNumberFormat="1" applyFont="1" applyFill="1" applyBorder="1" applyAlignment="1">
      <alignment horizontal="center" vertical="top"/>
    </xf>
    <xf numFmtId="164" fontId="4" fillId="0" borderId="26" xfId="0" applyNumberFormat="1" applyFont="1" applyFill="1" applyBorder="1" applyAlignment="1">
      <alignment horizontal="center" vertical="top" wrapText="1"/>
    </xf>
    <xf numFmtId="3" fontId="5" fillId="4" borderId="32" xfId="0" applyNumberFormat="1" applyFont="1" applyFill="1" applyBorder="1" applyAlignment="1">
      <alignment horizontal="center" vertical="top"/>
    </xf>
    <xf numFmtId="3" fontId="2" fillId="5" borderId="47" xfId="0" applyNumberFormat="1" applyFont="1" applyFill="1" applyBorder="1" applyAlignment="1">
      <alignment horizontal="center" vertical="top"/>
    </xf>
    <xf numFmtId="3" fontId="1" fillId="4" borderId="46" xfId="0" applyNumberFormat="1" applyFont="1" applyFill="1" applyBorder="1" applyAlignment="1">
      <alignment horizontal="center" vertical="top"/>
    </xf>
    <xf numFmtId="164" fontId="4" fillId="4" borderId="0" xfId="0" applyNumberFormat="1" applyFont="1" applyFill="1" applyBorder="1" applyAlignment="1">
      <alignment vertical="top"/>
    </xf>
    <xf numFmtId="3" fontId="4" fillId="4" borderId="0" xfId="0" applyNumberFormat="1" applyFont="1" applyFill="1" applyBorder="1" applyAlignment="1">
      <alignment vertical="top"/>
    </xf>
    <xf numFmtId="164" fontId="4" fillId="0" borderId="29" xfId="0" applyNumberFormat="1" applyFont="1" applyFill="1" applyBorder="1" applyAlignment="1">
      <alignment horizontal="center" vertical="top"/>
    </xf>
    <xf numFmtId="164" fontId="4" fillId="0" borderId="18" xfId="0" applyNumberFormat="1" applyFont="1" applyFill="1" applyBorder="1" applyAlignment="1">
      <alignment horizontal="center" vertical="top"/>
    </xf>
    <xf numFmtId="3" fontId="1" fillId="0" borderId="0" xfId="0" applyNumberFormat="1" applyFont="1" applyFill="1" applyBorder="1" applyAlignment="1">
      <alignment horizontal="left" vertical="center" wrapText="1"/>
    </xf>
    <xf numFmtId="3" fontId="1" fillId="0" borderId="0" xfId="0" applyNumberFormat="1" applyFont="1" applyFill="1" applyBorder="1" applyAlignment="1">
      <alignment horizontal="left" vertical="top" wrapText="1"/>
    </xf>
    <xf numFmtId="164" fontId="1" fillId="3" borderId="13" xfId="0" applyNumberFormat="1" applyFont="1" applyFill="1" applyBorder="1" applyAlignment="1">
      <alignment horizontal="center" vertical="top"/>
    </xf>
    <xf numFmtId="164" fontId="1" fillId="3" borderId="66" xfId="0" applyNumberFormat="1" applyFont="1" applyFill="1" applyBorder="1" applyAlignment="1">
      <alignment horizontal="center" vertical="top"/>
    </xf>
    <xf numFmtId="3" fontId="1" fillId="0" borderId="0" xfId="0" applyNumberFormat="1" applyFont="1" applyBorder="1" applyAlignment="1">
      <alignment horizontal="center" vertical="top" wrapText="1"/>
    </xf>
    <xf numFmtId="164" fontId="4" fillId="0" borderId="59" xfId="0" applyNumberFormat="1" applyFont="1" applyBorder="1" applyAlignment="1">
      <alignment horizontal="center" vertical="top" wrapText="1"/>
    </xf>
    <xf numFmtId="164" fontId="2" fillId="5" borderId="44" xfId="0" applyNumberFormat="1" applyFont="1" applyFill="1" applyBorder="1" applyAlignment="1">
      <alignment horizontal="center" vertical="top"/>
    </xf>
    <xf numFmtId="164" fontId="4" fillId="4" borderId="22" xfId="0" applyNumberFormat="1" applyFont="1" applyFill="1" applyBorder="1" applyAlignment="1">
      <alignment horizontal="center" vertical="top"/>
    </xf>
    <xf numFmtId="164" fontId="2" fillId="2" borderId="76" xfId="0" applyNumberFormat="1" applyFont="1" applyFill="1" applyBorder="1" applyAlignment="1">
      <alignment horizontal="center" vertical="top"/>
    </xf>
    <xf numFmtId="3" fontId="16" fillId="4" borderId="32" xfId="0" applyNumberFormat="1" applyFont="1" applyFill="1" applyBorder="1" applyAlignment="1">
      <alignment horizontal="center" vertical="top" wrapText="1"/>
    </xf>
    <xf numFmtId="3" fontId="16" fillId="4" borderId="31" xfId="0" applyNumberFormat="1" applyFont="1" applyFill="1" applyBorder="1" applyAlignment="1">
      <alignment horizontal="center" vertical="top" wrapText="1"/>
    </xf>
    <xf numFmtId="3" fontId="4" fillId="4" borderId="66" xfId="0" applyNumberFormat="1" applyFont="1" applyFill="1" applyBorder="1" applyAlignment="1">
      <alignment vertical="top" wrapText="1"/>
    </xf>
    <xf numFmtId="49" fontId="1" fillId="0" borderId="67" xfId="0" applyNumberFormat="1" applyFont="1" applyBorder="1" applyAlignment="1">
      <alignment vertical="top"/>
    </xf>
    <xf numFmtId="3" fontId="10" fillId="0" borderId="5" xfId="0" applyNumberFormat="1" applyFont="1" applyFill="1" applyBorder="1" applyAlignment="1">
      <alignment horizontal="center" vertical="top" wrapText="1"/>
    </xf>
    <xf numFmtId="3" fontId="2" fillId="3" borderId="32" xfId="0" applyNumberFormat="1" applyFont="1" applyFill="1" applyBorder="1" applyAlignment="1">
      <alignment horizontal="center" vertical="top" wrapText="1"/>
    </xf>
    <xf numFmtId="3" fontId="4" fillId="0" borderId="10" xfId="0" applyNumberFormat="1" applyFont="1" applyFill="1" applyBorder="1" applyAlignment="1">
      <alignment horizontal="center" vertical="top" wrapText="1"/>
    </xf>
    <xf numFmtId="3" fontId="1" fillId="4" borderId="68" xfId="0" applyNumberFormat="1" applyFont="1" applyFill="1" applyBorder="1" applyAlignment="1">
      <alignment horizontal="center" vertical="top"/>
    </xf>
    <xf numFmtId="3" fontId="2" fillId="3" borderId="64" xfId="0" applyNumberFormat="1" applyFont="1" applyFill="1" applyBorder="1" applyAlignment="1">
      <alignment horizontal="center" vertical="top" wrapText="1"/>
    </xf>
    <xf numFmtId="164" fontId="2" fillId="2" borderId="54" xfId="0" applyNumberFormat="1" applyFont="1" applyFill="1" applyBorder="1" applyAlignment="1">
      <alignment horizontal="center" vertical="top"/>
    </xf>
    <xf numFmtId="164" fontId="2" fillId="2" borderId="43" xfId="0" applyNumberFormat="1" applyFont="1" applyFill="1" applyBorder="1" applyAlignment="1">
      <alignment horizontal="center" vertical="top"/>
    </xf>
    <xf numFmtId="164" fontId="4" fillId="0" borderId="34" xfId="0" applyNumberFormat="1" applyFont="1" applyFill="1" applyBorder="1" applyAlignment="1">
      <alignment horizontal="center" vertical="top" wrapText="1"/>
    </xf>
    <xf numFmtId="164" fontId="4" fillId="4" borderId="65" xfId="0" applyNumberFormat="1" applyFont="1" applyFill="1" applyBorder="1" applyAlignment="1">
      <alignment horizontal="center" vertical="top"/>
    </xf>
    <xf numFmtId="164" fontId="2" fillId="4" borderId="0" xfId="0" applyNumberFormat="1" applyFont="1" applyFill="1" applyBorder="1" applyAlignment="1">
      <alignment horizontal="center" vertical="top"/>
    </xf>
    <xf numFmtId="164" fontId="1" fillId="4" borderId="0" xfId="0" applyNumberFormat="1" applyFont="1" applyFill="1" applyBorder="1" applyAlignment="1">
      <alignment horizontal="center" vertical="top" wrapText="1"/>
    </xf>
    <xf numFmtId="164" fontId="1" fillId="0" borderId="34" xfId="0" applyNumberFormat="1" applyFont="1" applyFill="1" applyBorder="1" applyAlignment="1">
      <alignment horizontal="center" vertical="top"/>
    </xf>
    <xf numFmtId="164" fontId="1" fillId="4" borderId="65" xfId="0" applyNumberFormat="1" applyFont="1" applyFill="1" applyBorder="1" applyAlignment="1">
      <alignment horizontal="center" vertical="top"/>
    </xf>
    <xf numFmtId="164" fontId="1" fillId="0" borderId="16" xfId="0" applyNumberFormat="1" applyFont="1" applyBorder="1" applyAlignment="1">
      <alignment horizontal="center" vertical="top" wrapText="1"/>
    </xf>
    <xf numFmtId="164" fontId="1" fillId="0" borderId="13" xfId="0" applyNumberFormat="1" applyFont="1" applyBorder="1" applyAlignment="1">
      <alignment horizontal="center" vertical="top" wrapText="1"/>
    </xf>
    <xf numFmtId="164" fontId="1" fillId="3" borderId="16" xfId="0" applyNumberFormat="1" applyFont="1" applyFill="1" applyBorder="1" applyAlignment="1">
      <alignment horizontal="center" vertical="top"/>
    </xf>
    <xf numFmtId="164" fontId="1" fillId="3" borderId="65" xfId="0" applyNumberFormat="1" applyFont="1" applyFill="1" applyBorder="1" applyAlignment="1">
      <alignment horizontal="center" vertical="top"/>
    </xf>
    <xf numFmtId="164" fontId="4" fillId="4" borderId="16" xfId="0" applyNumberFormat="1" applyFont="1" applyFill="1" applyBorder="1" applyAlignment="1">
      <alignment horizontal="center" vertical="top"/>
    </xf>
    <xf numFmtId="3" fontId="1" fillId="4" borderId="8" xfId="0" applyNumberFormat="1" applyFont="1" applyFill="1" applyBorder="1" applyAlignment="1">
      <alignment vertical="top" wrapText="1"/>
    </xf>
    <xf numFmtId="164" fontId="10" fillId="4" borderId="59" xfId="0" applyNumberFormat="1" applyFont="1" applyFill="1" applyBorder="1" applyAlignment="1">
      <alignment horizontal="center" vertical="top"/>
    </xf>
    <xf numFmtId="164" fontId="5" fillId="5" borderId="4" xfId="0" applyNumberFormat="1" applyFont="1" applyFill="1" applyBorder="1" applyAlignment="1">
      <alignment horizontal="center" vertical="top" wrapText="1"/>
    </xf>
    <xf numFmtId="3" fontId="1" fillId="4" borderId="16" xfId="0" applyNumberFormat="1" applyFont="1" applyFill="1" applyBorder="1" applyAlignment="1">
      <alignment vertical="top" wrapText="1"/>
    </xf>
    <xf numFmtId="3" fontId="4" fillId="4" borderId="62" xfId="0" applyNumberFormat="1" applyFont="1" applyFill="1" applyBorder="1" applyAlignment="1">
      <alignment horizontal="center" vertical="top"/>
    </xf>
    <xf numFmtId="3" fontId="1" fillId="4" borderId="5" xfId="0" applyNumberFormat="1" applyFont="1" applyFill="1" applyBorder="1" applyAlignment="1">
      <alignment vertical="top" wrapText="1"/>
    </xf>
    <xf numFmtId="164" fontId="4" fillId="4" borderId="61" xfId="0" applyNumberFormat="1" applyFont="1" applyFill="1" applyBorder="1" applyAlignment="1">
      <alignment horizontal="center" vertical="top"/>
    </xf>
    <xf numFmtId="3" fontId="5" fillId="4" borderId="18" xfId="0" applyNumberFormat="1" applyFont="1" applyFill="1" applyBorder="1" applyAlignment="1">
      <alignment horizontal="center" vertical="top" wrapText="1"/>
    </xf>
    <xf numFmtId="164" fontId="4" fillId="4" borderId="24" xfId="0" applyNumberFormat="1" applyFont="1" applyFill="1" applyBorder="1" applyAlignment="1">
      <alignment horizontal="center" vertical="top"/>
    </xf>
    <xf numFmtId="164" fontId="1" fillId="0" borderId="40" xfId="0" applyNumberFormat="1" applyFont="1" applyFill="1" applyBorder="1" applyAlignment="1">
      <alignment horizontal="center" vertical="top"/>
    </xf>
    <xf numFmtId="164" fontId="2" fillId="5" borderId="48" xfId="0" applyNumberFormat="1" applyFont="1" applyFill="1" applyBorder="1" applyAlignment="1">
      <alignment horizontal="center" vertical="top"/>
    </xf>
    <xf numFmtId="164" fontId="2" fillId="2" borderId="69" xfId="0" applyNumberFormat="1" applyFont="1" applyFill="1" applyBorder="1" applyAlignment="1">
      <alignment horizontal="center" vertical="top"/>
    </xf>
    <xf numFmtId="164" fontId="5" fillId="5" borderId="48" xfId="0" applyNumberFormat="1" applyFont="1" applyFill="1" applyBorder="1" applyAlignment="1">
      <alignment horizontal="center" vertical="top" wrapText="1"/>
    </xf>
    <xf numFmtId="164" fontId="4" fillId="0" borderId="35" xfId="0" applyNumberFormat="1" applyFont="1" applyFill="1" applyBorder="1" applyAlignment="1">
      <alignment horizontal="center" vertical="top"/>
    </xf>
    <xf numFmtId="164" fontId="4" fillId="0" borderId="40" xfId="0" applyNumberFormat="1" applyFont="1" applyFill="1" applyBorder="1" applyAlignment="1">
      <alignment horizontal="center" vertical="top"/>
    </xf>
    <xf numFmtId="164" fontId="1" fillId="4" borderId="22" xfId="0" applyNumberFormat="1" applyFont="1" applyFill="1" applyBorder="1" applyAlignment="1">
      <alignment horizontal="center" vertical="top"/>
    </xf>
    <xf numFmtId="164" fontId="1" fillId="0" borderId="3" xfId="0" applyNumberFormat="1" applyFont="1" applyBorder="1" applyAlignment="1">
      <alignment horizontal="center" vertical="top" wrapText="1"/>
    </xf>
    <xf numFmtId="164" fontId="4" fillId="4" borderId="13" xfId="0" applyNumberFormat="1" applyFont="1" applyFill="1" applyBorder="1" applyAlignment="1">
      <alignment horizontal="center" vertical="top"/>
    </xf>
    <xf numFmtId="164" fontId="4" fillId="0" borderId="15" xfId="0" applyNumberFormat="1" applyFont="1" applyFill="1" applyBorder="1" applyAlignment="1">
      <alignment horizontal="center" vertical="top" wrapText="1"/>
    </xf>
    <xf numFmtId="164" fontId="4" fillId="0" borderId="57" xfId="0" applyNumberFormat="1" applyFont="1" applyFill="1" applyBorder="1" applyAlignment="1">
      <alignment horizontal="center" vertical="top" wrapText="1"/>
    </xf>
    <xf numFmtId="164" fontId="4" fillId="0" borderId="28" xfId="0" applyNumberFormat="1" applyFont="1" applyBorder="1" applyAlignment="1">
      <alignment horizontal="center" vertical="top" wrapText="1"/>
    </xf>
    <xf numFmtId="164" fontId="4" fillId="0" borderId="50" xfId="0" applyNumberFormat="1" applyFont="1" applyFill="1" applyBorder="1" applyAlignment="1">
      <alignment horizontal="center" vertical="top" wrapText="1"/>
    </xf>
    <xf numFmtId="164" fontId="5" fillId="5" borderId="72" xfId="0" applyNumberFormat="1" applyFont="1" applyFill="1" applyBorder="1" applyAlignment="1">
      <alignment horizontal="center" vertical="top" wrapText="1"/>
    </xf>
    <xf numFmtId="164" fontId="4" fillId="0" borderId="37" xfId="0" applyNumberFormat="1" applyFont="1" applyBorder="1" applyAlignment="1">
      <alignment horizontal="center" vertical="top" wrapText="1"/>
    </xf>
    <xf numFmtId="164" fontId="4" fillId="0" borderId="48" xfId="0" applyNumberFormat="1" applyFont="1" applyFill="1" applyBorder="1" applyAlignment="1">
      <alignment horizontal="center" vertical="top" wrapText="1"/>
    </xf>
    <xf numFmtId="164" fontId="4" fillId="0" borderId="27" xfId="0" applyNumberFormat="1" applyFont="1" applyBorder="1" applyAlignment="1">
      <alignment horizontal="center" vertical="top" wrapText="1"/>
    </xf>
    <xf numFmtId="3" fontId="1" fillId="0" borderId="34" xfId="0" applyNumberFormat="1" applyFont="1" applyFill="1" applyBorder="1" applyAlignment="1">
      <alignment horizontal="center" vertical="top"/>
    </xf>
    <xf numFmtId="3" fontId="4" fillId="3" borderId="68" xfId="0" applyNumberFormat="1" applyFont="1" applyFill="1" applyBorder="1" applyAlignment="1">
      <alignment horizontal="center" vertical="top"/>
    </xf>
    <xf numFmtId="49" fontId="1" fillId="4" borderId="39" xfId="0" applyNumberFormat="1" applyFont="1" applyFill="1" applyBorder="1" applyAlignment="1">
      <alignment horizontal="center" vertical="top"/>
    </xf>
    <xf numFmtId="3" fontId="4" fillId="0" borderId="68" xfId="0" applyNumberFormat="1" applyFont="1" applyBorder="1" applyAlignment="1">
      <alignment horizontal="center" vertical="center" textRotation="90" wrapText="1"/>
    </xf>
    <xf numFmtId="3" fontId="4" fillId="0" borderId="21" xfId="0" applyNumberFormat="1" applyFont="1" applyBorder="1" applyAlignment="1">
      <alignment horizontal="center" vertical="center" textRotation="90" wrapText="1"/>
    </xf>
    <xf numFmtId="164" fontId="4" fillId="0" borderId="16" xfId="0" applyNumberFormat="1" applyFont="1" applyBorder="1" applyAlignment="1">
      <alignment horizontal="center" vertical="center" wrapText="1"/>
    </xf>
    <xf numFmtId="164" fontId="1" fillId="4" borderId="36" xfId="0" applyNumberFormat="1" applyFont="1" applyFill="1" applyBorder="1" applyAlignment="1">
      <alignment horizontal="center" vertical="top"/>
    </xf>
    <xf numFmtId="164" fontId="4" fillId="4" borderId="66" xfId="0" applyNumberFormat="1" applyFont="1" applyFill="1" applyBorder="1" applyAlignment="1">
      <alignment horizontal="center" vertical="top" wrapText="1"/>
    </xf>
    <xf numFmtId="3" fontId="1" fillId="0" borderId="33" xfId="0" applyNumberFormat="1" applyFont="1" applyFill="1" applyBorder="1" applyAlignment="1">
      <alignment horizontal="center" vertical="top" wrapText="1"/>
    </xf>
    <xf numFmtId="3" fontId="1" fillId="0" borderId="39" xfId="0" applyNumberFormat="1" applyFont="1" applyFill="1" applyBorder="1" applyAlignment="1">
      <alignment horizontal="center" vertical="top" wrapText="1"/>
    </xf>
    <xf numFmtId="164" fontId="4" fillId="3" borderId="0" xfId="0" applyNumberFormat="1" applyFont="1" applyFill="1" applyBorder="1" applyAlignment="1">
      <alignment horizontal="center" vertical="top" wrapText="1"/>
    </xf>
    <xf numFmtId="3" fontId="1" fillId="4" borderId="51" xfId="0" applyNumberFormat="1" applyFont="1" applyFill="1" applyBorder="1" applyAlignment="1">
      <alignment horizontal="center" vertical="top" wrapText="1"/>
    </xf>
    <xf numFmtId="3" fontId="1" fillId="4" borderId="52" xfId="0" applyNumberFormat="1" applyFont="1" applyFill="1" applyBorder="1" applyAlignment="1">
      <alignment horizontal="center" vertical="top" wrapText="1"/>
    </xf>
    <xf numFmtId="49" fontId="2" fillId="0" borderId="32" xfId="0" applyNumberFormat="1" applyFont="1" applyBorder="1" applyAlignment="1">
      <alignment horizontal="center" vertical="top"/>
    </xf>
    <xf numFmtId="3" fontId="2" fillId="3" borderId="64" xfId="0" applyNumberFormat="1" applyFont="1" applyFill="1" applyBorder="1" applyAlignment="1">
      <alignment horizontal="center" vertical="top"/>
    </xf>
    <xf numFmtId="3" fontId="2" fillId="3" borderId="68" xfId="0" applyNumberFormat="1" applyFont="1" applyFill="1" applyBorder="1" applyAlignment="1">
      <alignment horizontal="center" vertical="top"/>
    </xf>
    <xf numFmtId="3" fontId="2" fillId="3" borderId="32" xfId="0" applyNumberFormat="1" applyFont="1" applyFill="1" applyBorder="1" applyAlignment="1">
      <alignment horizontal="center" vertical="top"/>
    </xf>
    <xf numFmtId="3" fontId="4" fillId="0" borderId="7" xfId="0" applyNumberFormat="1" applyFont="1" applyBorder="1" applyAlignment="1">
      <alignment horizontal="center" vertical="top"/>
    </xf>
    <xf numFmtId="164" fontId="1" fillId="0" borderId="51" xfId="0" applyNumberFormat="1" applyFont="1" applyFill="1" applyBorder="1" applyAlignment="1">
      <alignment horizontal="center" vertical="top"/>
    </xf>
    <xf numFmtId="0" fontId="4" fillId="4" borderId="42" xfId="0" applyFont="1" applyFill="1" applyBorder="1" applyAlignment="1">
      <alignment horizontal="center" vertical="top" wrapText="1"/>
    </xf>
    <xf numFmtId="164" fontId="5" fillId="5" borderId="46" xfId="0" applyNumberFormat="1" applyFont="1" applyFill="1" applyBorder="1" applyAlignment="1">
      <alignment horizontal="center" vertical="top" wrapText="1"/>
    </xf>
    <xf numFmtId="164" fontId="4" fillId="0" borderId="66" xfId="0" applyNumberFormat="1" applyFont="1" applyBorder="1" applyAlignment="1">
      <alignment horizontal="center" vertical="top" wrapText="1"/>
    </xf>
    <xf numFmtId="3" fontId="4" fillId="4" borderId="5" xfId="0" applyNumberFormat="1" applyFont="1" applyFill="1" applyBorder="1" applyAlignment="1">
      <alignment horizontal="center" vertical="top"/>
    </xf>
    <xf numFmtId="3" fontId="4" fillId="0" borderId="24" xfId="0" applyNumberFormat="1" applyFont="1" applyBorder="1" applyAlignment="1">
      <alignment horizontal="center" vertical="top"/>
    </xf>
    <xf numFmtId="3" fontId="4" fillId="4" borderId="45" xfId="0" applyNumberFormat="1" applyFont="1" applyFill="1" applyBorder="1" applyAlignment="1">
      <alignment horizontal="center" vertical="top"/>
    </xf>
    <xf numFmtId="3" fontId="1" fillId="4" borderId="65" xfId="0" applyNumberFormat="1" applyFont="1" applyFill="1" applyBorder="1" applyAlignment="1">
      <alignment vertical="top" wrapText="1"/>
    </xf>
    <xf numFmtId="3" fontId="4" fillId="4" borderId="4" xfId="0" applyNumberFormat="1" applyFont="1" applyFill="1" applyBorder="1" applyAlignment="1">
      <alignment horizontal="center" vertical="top" wrapText="1"/>
    </xf>
    <xf numFmtId="3" fontId="4" fillId="4" borderId="29" xfId="0" applyNumberFormat="1" applyFont="1" applyFill="1" applyBorder="1" applyAlignment="1">
      <alignment horizontal="center" vertical="top" wrapText="1"/>
    </xf>
    <xf numFmtId="3" fontId="4" fillId="4" borderId="30" xfId="0" applyNumberFormat="1" applyFont="1" applyFill="1" applyBorder="1" applyAlignment="1">
      <alignment horizontal="center" vertical="top" wrapText="1"/>
    </xf>
    <xf numFmtId="3" fontId="4" fillId="4" borderId="71" xfId="0" applyNumberFormat="1" applyFont="1" applyFill="1" applyBorder="1" applyAlignment="1">
      <alignment horizontal="center" vertical="top" wrapText="1"/>
    </xf>
    <xf numFmtId="0" fontId="17" fillId="4" borderId="51" xfId="0" applyFont="1" applyFill="1" applyBorder="1" applyAlignment="1">
      <alignment horizontal="center" vertical="top"/>
    </xf>
    <xf numFmtId="3" fontId="1" fillId="4" borderId="2" xfId="0" applyNumberFormat="1" applyFont="1" applyFill="1" applyBorder="1" applyAlignment="1">
      <alignment horizontal="center" vertical="top" wrapText="1"/>
    </xf>
    <xf numFmtId="3" fontId="2" fillId="0" borderId="32" xfId="0" applyNumberFormat="1" applyFont="1" applyFill="1" applyBorder="1" applyAlignment="1">
      <alignment horizontal="center" vertical="top" textRotation="180" wrapText="1"/>
    </xf>
    <xf numFmtId="3" fontId="2" fillId="0" borderId="0" xfId="0" applyNumberFormat="1" applyFont="1" applyFill="1" applyBorder="1" applyAlignment="1">
      <alignment horizontal="center" vertical="top" textRotation="180" wrapText="1"/>
    </xf>
    <xf numFmtId="3" fontId="2" fillId="0" borderId="43" xfId="0" applyNumberFormat="1" applyFont="1" applyFill="1" applyBorder="1" applyAlignment="1">
      <alignment horizontal="center" vertical="top" textRotation="180" wrapText="1"/>
    </xf>
    <xf numFmtId="164" fontId="1" fillId="4" borderId="29" xfId="0" applyNumberFormat="1" applyFont="1" applyFill="1" applyBorder="1" applyAlignment="1">
      <alignment horizontal="center" vertical="top" wrapText="1"/>
    </xf>
    <xf numFmtId="164" fontId="5" fillId="5" borderId="50" xfId="0" applyNumberFormat="1" applyFont="1" applyFill="1" applyBorder="1" applyAlignment="1">
      <alignment horizontal="center" vertical="top"/>
    </xf>
    <xf numFmtId="164" fontId="5" fillId="5" borderId="4" xfId="0" applyNumberFormat="1" applyFont="1" applyFill="1" applyBorder="1" applyAlignment="1">
      <alignment horizontal="center" vertical="top"/>
    </xf>
    <xf numFmtId="3" fontId="2" fillId="0" borderId="4" xfId="0" applyNumberFormat="1" applyFont="1" applyFill="1" applyBorder="1" applyAlignment="1">
      <alignment vertical="top" wrapText="1"/>
    </xf>
    <xf numFmtId="3" fontId="1" fillId="4" borderId="68" xfId="0" applyNumberFormat="1" applyFont="1" applyFill="1" applyBorder="1" applyAlignment="1">
      <alignment horizontal="center" vertical="top" wrapText="1"/>
    </xf>
    <xf numFmtId="3" fontId="4" fillId="4" borderId="65" xfId="0" applyNumberFormat="1" applyFont="1" applyFill="1" applyBorder="1" applyAlignment="1">
      <alignment horizontal="center" vertical="top"/>
    </xf>
    <xf numFmtId="3" fontId="5" fillId="4" borderId="51" xfId="0" applyNumberFormat="1" applyFont="1" applyFill="1" applyBorder="1" applyAlignment="1">
      <alignment horizontal="center" vertical="top"/>
    </xf>
    <xf numFmtId="3" fontId="5" fillId="0" borderId="13" xfId="0" applyNumberFormat="1" applyFont="1" applyFill="1" applyBorder="1" applyAlignment="1">
      <alignment horizontal="center" vertical="top" wrapText="1"/>
    </xf>
    <xf numFmtId="3" fontId="2" fillId="4" borderId="18" xfId="0" applyNumberFormat="1" applyFont="1" applyFill="1" applyBorder="1" applyAlignment="1">
      <alignment horizontal="center" vertical="top" textRotation="90" wrapText="1"/>
    </xf>
    <xf numFmtId="3" fontId="4" fillId="4" borderId="66" xfId="0" applyNumberFormat="1" applyFont="1" applyFill="1" applyBorder="1" applyAlignment="1">
      <alignment horizontal="left" vertical="top" wrapText="1"/>
    </xf>
    <xf numFmtId="3" fontId="12" fillId="4" borderId="51" xfId="0" applyNumberFormat="1" applyFont="1" applyFill="1" applyBorder="1" applyAlignment="1">
      <alignment horizontal="center" vertical="top" wrapText="1"/>
    </xf>
    <xf numFmtId="3" fontId="12" fillId="4" borderId="52" xfId="0" applyNumberFormat="1" applyFont="1" applyFill="1" applyBorder="1" applyAlignment="1">
      <alignment horizontal="center" vertical="top" wrapText="1"/>
    </xf>
    <xf numFmtId="3" fontId="1" fillId="4" borderId="27" xfId="0" applyNumberFormat="1" applyFont="1" applyFill="1" applyBorder="1" applyAlignment="1">
      <alignment horizontal="center" vertical="top" wrapText="1"/>
    </xf>
    <xf numFmtId="3" fontId="1" fillId="0" borderId="43" xfId="0" applyNumberFormat="1" applyFont="1" applyFill="1" applyBorder="1" applyAlignment="1">
      <alignment horizontal="center" vertical="top"/>
    </xf>
    <xf numFmtId="3" fontId="1" fillId="4" borderId="71" xfId="0" applyNumberFormat="1" applyFont="1" applyFill="1" applyBorder="1" applyAlignment="1">
      <alignment horizontal="center" vertical="top"/>
    </xf>
    <xf numFmtId="3" fontId="1" fillId="4" borderId="64" xfId="0" applyNumberFormat="1" applyFont="1" applyFill="1" applyBorder="1" applyAlignment="1">
      <alignment horizontal="center" vertical="top"/>
    </xf>
    <xf numFmtId="3" fontId="1" fillId="4" borderId="38" xfId="0" applyNumberFormat="1" applyFont="1" applyFill="1" applyBorder="1" applyAlignment="1">
      <alignment horizontal="center" vertical="top"/>
    </xf>
    <xf numFmtId="164" fontId="1" fillId="4" borderId="67" xfId="0" applyNumberFormat="1" applyFont="1" applyFill="1" applyBorder="1" applyAlignment="1">
      <alignment horizontal="center" vertical="top"/>
    </xf>
    <xf numFmtId="3" fontId="1" fillId="4" borderId="27" xfId="0" applyNumberFormat="1" applyFont="1" applyFill="1" applyBorder="1" applyAlignment="1">
      <alignment horizontal="center" vertical="top"/>
    </xf>
    <xf numFmtId="3" fontId="2" fillId="4" borderId="18" xfId="0" applyNumberFormat="1" applyFont="1" applyFill="1" applyBorder="1" applyAlignment="1">
      <alignment horizontal="center" vertical="top"/>
    </xf>
    <xf numFmtId="0" fontId="1" fillId="4" borderId="37" xfId="0" applyFont="1" applyFill="1" applyBorder="1" applyAlignment="1">
      <alignment vertical="top" wrapText="1"/>
    </xf>
    <xf numFmtId="49" fontId="1" fillId="4" borderId="61" xfId="0" applyNumberFormat="1" applyFont="1" applyFill="1" applyBorder="1" applyAlignment="1">
      <alignment horizontal="left" vertical="top" wrapText="1"/>
    </xf>
    <xf numFmtId="49" fontId="1" fillId="4" borderId="27" xfId="0" applyNumberFormat="1" applyFont="1" applyFill="1" applyBorder="1" applyAlignment="1">
      <alignment horizontal="center" vertical="top"/>
    </xf>
    <xf numFmtId="49" fontId="1" fillId="4" borderId="34" xfId="0" applyNumberFormat="1" applyFont="1" applyFill="1" applyBorder="1" applyAlignment="1">
      <alignment horizontal="center" vertical="top"/>
    </xf>
    <xf numFmtId="49" fontId="4" fillId="4" borderId="27" xfId="0" applyNumberFormat="1" applyFont="1" applyFill="1" applyBorder="1" applyAlignment="1">
      <alignment horizontal="center" vertical="top"/>
    </xf>
    <xf numFmtId="49" fontId="4" fillId="4" borderId="39" xfId="0" applyNumberFormat="1" applyFont="1" applyFill="1" applyBorder="1" applyAlignment="1">
      <alignment horizontal="center" vertical="top"/>
    </xf>
    <xf numFmtId="49" fontId="4" fillId="4" borderId="53" xfId="0" applyNumberFormat="1" applyFont="1" applyFill="1" applyBorder="1" applyAlignment="1">
      <alignment horizontal="center" vertical="top"/>
    </xf>
    <xf numFmtId="49" fontId="4" fillId="4" borderId="60" xfId="0" applyNumberFormat="1" applyFont="1" applyFill="1" applyBorder="1" applyAlignment="1">
      <alignment horizontal="center" vertical="top"/>
    </xf>
    <xf numFmtId="3" fontId="5" fillId="4" borderId="18" xfId="0" applyNumberFormat="1" applyFont="1" applyFill="1" applyBorder="1" applyAlignment="1">
      <alignment horizontal="center" vertical="top"/>
    </xf>
    <xf numFmtId="3" fontId="5" fillId="0" borderId="13" xfId="0" applyNumberFormat="1" applyFont="1" applyBorder="1" applyAlignment="1">
      <alignment horizontal="center" vertical="top"/>
    </xf>
    <xf numFmtId="3" fontId="4" fillId="0" borderId="62" xfId="0" applyNumberFormat="1" applyFont="1" applyFill="1" applyBorder="1" applyAlignment="1">
      <alignment horizontal="center" vertical="top" wrapText="1"/>
    </xf>
    <xf numFmtId="164" fontId="2" fillId="5" borderId="46" xfId="0" applyNumberFormat="1" applyFont="1" applyFill="1" applyBorder="1" applyAlignment="1">
      <alignment horizontal="center" vertical="top" wrapText="1"/>
    </xf>
    <xf numFmtId="164" fontId="2" fillId="5" borderId="48" xfId="0" applyNumberFormat="1" applyFont="1" applyFill="1" applyBorder="1" applyAlignment="1">
      <alignment horizontal="center" vertical="top" wrapText="1"/>
    </xf>
    <xf numFmtId="3" fontId="1" fillId="3" borderId="53" xfId="0" applyNumberFormat="1" applyFont="1" applyFill="1" applyBorder="1" applyAlignment="1">
      <alignment horizontal="center" vertical="top"/>
    </xf>
    <xf numFmtId="3" fontId="1" fillId="4" borderId="42" xfId="0" applyNumberFormat="1" applyFont="1" applyFill="1" applyBorder="1" applyAlignment="1">
      <alignment vertical="top" wrapText="1"/>
    </xf>
    <xf numFmtId="164" fontId="2" fillId="5" borderId="44" xfId="0" applyNumberFormat="1" applyFont="1" applyFill="1" applyBorder="1" applyAlignment="1">
      <alignment horizontal="center" vertical="top" wrapText="1"/>
    </xf>
    <xf numFmtId="3" fontId="2" fillId="4" borderId="18" xfId="0" applyNumberFormat="1" applyFont="1" applyFill="1" applyBorder="1" applyAlignment="1">
      <alignment horizontal="center" vertical="center" textRotation="90" wrapText="1"/>
    </xf>
    <xf numFmtId="3" fontId="1" fillId="4" borderId="27" xfId="0" applyNumberFormat="1" applyFont="1" applyFill="1" applyBorder="1" applyAlignment="1">
      <alignment horizontal="left" vertical="top" wrapText="1"/>
    </xf>
    <xf numFmtId="164" fontId="1" fillId="3" borderId="28" xfId="0" applyNumberFormat="1" applyFont="1" applyFill="1" applyBorder="1" applyAlignment="1">
      <alignment horizontal="center" vertical="top" wrapText="1"/>
    </xf>
    <xf numFmtId="3" fontId="5" fillId="0" borderId="18" xfId="0" applyNumberFormat="1" applyFont="1" applyFill="1" applyBorder="1" applyAlignment="1">
      <alignment horizontal="center" vertical="top" wrapText="1"/>
    </xf>
    <xf numFmtId="164" fontId="4" fillId="4" borderId="40" xfId="0" applyNumberFormat="1" applyFont="1" applyFill="1" applyBorder="1" applyAlignment="1">
      <alignment horizontal="center" vertical="top"/>
    </xf>
    <xf numFmtId="164" fontId="4" fillId="4" borderId="66" xfId="0" applyNumberFormat="1" applyFont="1" applyFill="1" applyBorder="1" applyAlignment="1">
      <alignment horizontal="center" vertical="top"/>
    </xf>
    <xf numFmtId="3" fontId="2" fillId="0" borderId="0" xfId="0" applyNumberFormat="1" applyFont="1" applyFill="1" applyBorder="1" applyAlignment="1">
      <alignment horizontal="center" vertical="center"/>
    </xf>
    <xf numFmtId="164" fontId="10" fillId="4" borderId="37" xfId="0" applyNumberFormat="1" applyFont="1" applyFill="1" applyBorder="1" applyAlignment="1">
      <alignment horizontal="center" vertical="top"/>
    </xf>
    <xf numFmtId="3" fontId="2" fillId="4" borderId="0" xfId="0" applyNumberFormat="1" applyFont="1" applyFill="1" applyBorder="1" applyAlignment="1">
      <alignment horizontal="center" vertical="top" textRotation="90" wrapText="1"/>
    </xf>
    <xf numFmtId="3" fontId="4" fillId="4" borderId="18" xfId="0" applyNumberFormat="1" applyFont="1" applyFill="1" applyBorder="1" applyAlignment="1">
      <alignment vertical="top"/>
    </xf>
    <xf numFmtId="49" fontId="4" fillId="4" borderId="33" xfId="0" applyNumberFormat="1" applyFont="1" applyFill="1" applyBorder="1" applyAlignment="1">
      <alignment horizontal="center" vertical="top" wrapText="1"/>
    </xf>
    <xf numFmtId="3" fontId="4" fillId="4" borderId="62" xfId="0" applyNumberFormat="1" applyFont="1" applyFill="1" applyBorder="1" applyAlignment="1">
      <alignment vertical="top" wrapText="1"/>
    </xf>
    <xf numFmtId="3" fontId="4" fillId="4" borderId="74" xfId="0" applyNumberFormat="1" applyFont="1" applyFill="1" applyBorder="1" applyAlignment="1">
      <alignment vertical="top" wrapText="1"/>
    </xf>
    <xf numFmtId="3" fontId="1" fillId="4" borderId="44" xfId="0" applyNumberFormat="1" applyFont="1" applyFill="1" applyBorder="1" applyAlignment="1">
      <alignment horizontal="center" vertical="top"/>
    </xf>
    <xf numFmtId="164" fontId="4" fillId="4" borderId="65" xfId="0" applyNumberFormat="1" applyFont="1" applyFill="1" applyBorder="1" applyAlignment="1">
      <alignment horizontal="center" vertical="top" wrapText="1"/>
    </xf>
    <xf numFmtId="49" fontId="5" fillId="4" borderId="32" xfId="0" applyNumberFormat="1" applyFont="1" applyFill="1" applyBorder="1" applyAlignment="1">
      <alignment horizontal="center" vertical="top"/>
    </xf>
    <xf numFmtId="3" fontId="1" fillId="4" borderId="43" xfId="0" applyNumberFormat="1" applyFont="1" applyFill="1" applyBorder="1" applyAlignment="1">
      <alignment horizontal="center" vertical="top"/>
    </xf>
    <xf numFmtId="3" fontId="5" fillId="0" borderId="67" xfId="0" applyNumberFormat="1" applyFont="1" applyFill="1" applyBorder="1" applyAlignment="1">
      <alignment horizontal="center" vertical="top" wrapText="1"/>
    </xf>
    <xf numFmtId="49" fontId="2" fillId="3" borderId="0" xfId="0" applyNumberFormat="1" applyFont="1" applyFill="1" applyBorder="1" applyAlignment="1">
      <alignment vertical="top"/>
    </xf>
    <xf numFmtId="3" fontId="4" fillId="4" borderId="61" xfId="0" applyNumberFormat="1" applyFont="1" applyFill="1" applyBorder="1" applyAlignment="1">
      <alignment vertical="top" wrapText="1"/>
    </xf>
    <xf numFmtId="164" fontId="1" fillId="0" borderId="0" xfId="0" applyNumberFormat="1" applyFont="1" applyBorder="1" applyAlignment="1">
      <alignment horizontal="left" vertical="top" indent="1"/>
    </xf>
    <xf numFmtId="3" fontId="4" fillId="4" borderId="18" xfId="0" applyNumberFormat="1" applyFont="1" applyFill="1" applyBorder="1" applyAlignment="1">
      <alignment horizontal="center" vertical="top" wrapText="1"/>
    </xf>
    <xf numFmtId="0" fontId="1" fillId="4" borderId="17" xfId="0" applyFont="1" applyFill="1" applyBorder="1" applyAlignment="1">
      <alignment vertical="top" wrapText="1"/>
    </xf>
    <xf numFmtId="3" fontId="4" fillId="0" borderId="10" xfId="0" applyNumberFormat="1" applyFont="1" applyBorder="1" applyAlignment="1">
      <alignment vertical="top"/>
    </xf>
    <xf numFmtId="3" fontId="4" fillId="4" borderId="7" xfId="0" applyNumberFormat="1" applyFont="1" applyFill="1" applyBorder="1" applyAlignment="1">
      <alignment vertical="top"/>
    </xf>
    <xf numFmtId="49" fontId="4" fillId="4" borderId="39" xfId="0" applyNumberFormat="1" applyFont="1" applyFill="1" applyBorder="1" applyAlignment="1">
      <alignment horizontal="center" vertical="top" wrapText="1"/>
    </xf>
    <xf numFmtId="0" fontId="12" fillId="4" borderId="52" xfId="0" applyFont="1" applyFill="1" applyBorder="1" applyAlignment="1">
      <alignment horizontal="center" vertical="top"/>
    </xf>
    <xf numFmtId="3" fontId="1" fillId="4" borderId="47" xfId="0" applyNumberFormat="1" applyFont="1" applyFill="1" applyBorder="1" applyAlignment="1">
      <alignment vertical="top" wrapText="1"/>
    </xf>
    <xf numFmtId="3" fontId="1" fillId="4" borderId="19" xfId="0" applyNumberFormat="1" applyFont="1" applyFill="1" applyBorder="1" applyAlignment="1">
      <alignment vertical="top" wrapText="1"/>
    </xf>
    <xf numFmtId="3" fontId="4" fillId="4" borderId="16" xfId="0" applyNumberFormat="1" applyFont="1" applyFill="1" applyBorder="1" applyAlignment="1">
      <alignment horizontal="center" vertical="top"/>
    </xf>
    <xf numFmtId="0" fontId="1" fillId="4" borderId="41" xfId="0" applyFont="1" applyFill="1" applyBorder="1" applyAlignment="1">
      <alignment vertical="top" wrapText="1"/>
    </xf>
    <xf numFmtId="3" fontId="4" fillId="4" borderId="44" xfId="0" applyNumberFormat="1" applyFont="1" applyFill="1" applyBorder="1" applyAlignment="1">
      <alignment horizontal="center" vertical="top"/>
    </xf>
    <xf numFmtId="164" fontId="4" fillId="0" borderId="17" xfId="0" applyNumberFormat="1" applyFont="1" applyFill="1" applyBorder="1" applyAlignment="1">
      <alignment horizontal="center" vertical="top" wrapText="1"/>
    </xf>
    <xf numFmtId="3" fontId="4" fillId="4" borderId="18" xfId="0" applyNumberFormat="1" applyFont="1" applyFill="1" applyBorder="1" applyAlignment="1">
      <alignment vertical="top" wrapText="1"/>
    </xf>
    <xf numFmtId="0" fontId="4" fillId="4" borderId="66" xfId="0" applyFont="1" applyFill="1" applyBorder="1" applyAlignment="1">
      <alignment vertical="top" wrapText="1"/>
    </xf>
    <xf numFmtId="3" fontId="2" fillId="3" borderId="51" xfId="0" applyNumberFormat="1" applyFont="1" applyFill="1" applyBorder="1" applyAlignment="1">
      <alignment horizontal="center" vertical="top" wrapText="1"/>
    </xf>
    <xf numFmtId="3" fontId="2" fillId="3" borderId="31" xfId="0" applyNumberFormat="1" applyFont="1" applyFill="1" applyBorder="1" applyAlignment="1">
      <alignment horizontal="center" vertical="top" wrapText="1"/>
    </xf>
    <xf numFmtId="3" fontId="4" fillId="4" borderId="62" xfId="0" applyNumberFormat="1" applyFont="1" applyFill="1" applyBorder="1" applyAlignment="1">
      <alignment horizontal="center" vertical="top" wrapText="1"/>
    </xf>
    <xf numFmtId="164" fontId="3" fillId="4" borderId="42" xfId="0" applyNumberFormat="1" applyFont="1" applyFill="1" applyBorder="1" applyAlignment="1">
      <alignment horizontal="center" vertical="top" wrapText="1"/>
    </xf>
    <xf numFmtId="164" fontId="2" fillId="5" borderId="56" xfId="0" applyNumberFormat="1" applyFont="1" applyFill="1" applyBorder="1" applyAlignment="1">
      <alignment horizontal="center" vertical="top" wrapText="1"/>
    </xf>
    <xf numFmtId="3" fontId="4" fillId="4" borderId="56" xfId="0" applyNumberFormat="1" applyFont="1" applyFill="1" applyBorder="1" applyAlignment="1">
      <alignment horizontal="left" vertical="top" wrapText="1"/>
    </xf>
    <xf numFmtId="3" fontId="1" fillId="4" borderId="65" xfId="0" applyNumberFormat="1" applyFont="1" applyFill="1" applyBorder="1" applyAlignment="1">
      <alignment horizontal="center" vertical="top" wrapText="1"/>
    </xf>
    <xf numFmtId="3" fontId="1" fillId="3" borderId="2" xfId="0" applyNumberFormat="1" applyFont="1" applyFill="1" applyBorder="1" applyAlignment="1">
      <alignment horizontal="center" vertical="top"/>
    </xf>
    <xf numFmtId="3" fontId="4" fillId="4" borderId="65" xfId="0" applyNumberFormat="1" applyFont="1" applyFill="1" applyBorder="1" applyAlignment="1">
      <alignment vertical="top" wrapText="1"/>
    </xf>
    <xf numFmtId="3" fontId="4" fillId="4" borderId="47" xfId="0" applyNumberFormat="1" applyFont="1" applyFill="1" applyBorder="1" applyAlignment="1">
      <alignment vertical="top" wrapText="1"/>
    </xf>
    <xf numFmtId="3" fontId="4" fillId="4" borderId="17" xfId="0" applyNumberFormat="1" applyFont="1" applyFill="1" applyBorder="1" applyAlignment="1">
      <alignment vertical="top"/>
    </xf>
    <xf numFmtId="3" fontId="4" fillId="0" borderId="16" xfId="0" applyNumberFormat="1" applyFont="1" applyBorder="1" applyAlignment="1">
      <alignment horizontal="center" vertical="top"/>
    </xf>
    <xf numFmtId="3" fontId="4" fillId="4" borderId="48" xfId="0" applyNumberFormat="1" applyFont="1" applyFill="1" applyBorder="1" applyAlignment="1">
      <alignment horizontal="center" vertical="top"/>
    </xf>
    <xf numFmtId="3" fontId="4" fillId="4" borderId="41" xfId="0" applyNumberFormat="1" applyFont="1" applyFill="1" applyBorder="1" applyAlignment="1">
      <alignment horizontal="center" vertical="top" wrapText="1"/>
    </xf>
    <xf numFmtId="3" fontId="4" fillId="4" borderId="36" xfId="0" applyNumberFormat="1" applyFont="1" applyFill="1" applyBorder="1" applyAlignment="1">
      <alignment horizontal="center" vertical="top"/>
    </xf>
    <xf numFmtId="3" fontId="4" fillId="4" borderId="36" xfId="0" applyNumberFormat="1" applyFont="1" applyFill="1" applyBorder="1" applyAlignment="1">
      <alignment horizontal="center" vertical="top" wrapText="1"/>
    </xf>
    <xf numFmtId="3" fontId="4" fillId="4" borderId="48" xfId="0" applyNumberFormat="1" applyFont="1" applyFill="1" applyBorder="1" applyAlignment="1">
      <alignment horizontal="center" vertical="top" wrapText="1"/>
    </xf>
    <xf numFmtId="3" fontId="4" fillId="4" borderId="37" xfId="0" applyNumberFormat="1" applyFont="1" applyFill="1" applyBorder="1" applyAlignment="1">
      <alignment horizontal="center" vertical="top" wrapText="1"/>
    </xf>
    <xf numFmtId="49" fontId="4" fillId="4" borderId="61" xfId="0" applyNumberFormat="1" applyFont="1" applyFill="1" applyBorder="1" applyAlignment="1">
      <alignment horizontal="center" vertical="top" wrapText="1"/>
    </xf>
    <xf numFmtId="3" fontId="4" fillId="4" borderId="37" xfId="0" applyNumberFormat="1" applyFont="1" applyFill="1" applyBorder="1" applyAlignment="1">
      <alignment horizontal="center" vertical="top"/>
    </xf>
    <xf numFmtId="3" fontId="4" fillId="4" borderId="40" xfId="0" applyNumberFormat="1" applyFont="1" applyFill="1" applyBorder="1" applyAlignment="1">
      <alignment horizontal="center" vertical="top"/>
    </xf>
    <xf numFmtId="3" fontId="16" fillId="4" borderId="40" xfId="0" applyNumberFormat="1" applyFont="1" applyFill="1" applyBorder="1" applyAlignment="1">
      <alignment horizontal="center" vertical="top" wrapText="1"/>
    </xf>
    <xf numFmtId="3" fontId="4" fillId="4" borderId="74" xfId="0" applyNumberFormat="1" applyFont="1" applyFill="1" applyBorder="1" applyAlignment="1">
      <alignment horizontal="center" vertical="top" wrapText="1"/>
    </xf>
    <xf numFmtId="0" fontId="17" fillId="4" borderId="36" xfId="0" applyFont="1" applyFill="1" applyBorder="1" applyAlignment="1">
      <alignment horizontal="center" vertical="top"/>
    </xf>
    <xf numFmtId="0" fontId="17" fillId="4" borderId="56" xfId="0" applyFont="1" applyFill="1" applyBorder="1" applyAlignment="1">
      <alignment horizontal="center" vertical="top"/>
    </xf>
    <xf numFmtId="3" fontId="12" fillId="4" borderId="65" xfId="0" applyNumberFormat="1" applyFont="1" applyFill="1" applyBorder="1" applyAlignment="1">
      <alignment horizontal="center" vertical="top" wrapText="1"/>
    </xf>
    <xf numFmtId="3" fontId="1" fillId="4" borderId="48" xfId="0" applyNumberFormat="1" applyFont="1" applyFill="1" applyBorder="1" applyAlignment="1">
      <alignment horizontal="center" vertical="top" wrapText="1"/>
    </xf>
    <xf numFmtId="3" fontId="1" fillId="4" borderId="56" xfId="0" applyNumberFormat="1" applyFont="1" applyFill="1" applyBorder="1" applyAlignment="1">
      <alignment horizontal="center" vertical="top" wrapText="1"/>
    </xf>
    <xf numFmtId="3" fontId="1" fillId="4" borderId="74" xfId="0" applyNumberFormat="1" applyFont="1" applyFill="1" applyBorder="1" applyAlignment="1">
      <alignment horizontal="center" vertical="top"/>
    </xf>
    <xf numFmtId="3" fontId="1" fillId="4" borderId="56" xfId="0" applyNumberFormat="1" applyFont="1" applyFill="1" applyBorder="1" applyAlignment="1">
      <alignment horizontal="center" vertical="top"/>
    </xf>
    <xf numFmtId="0" fontId="1" fillId="4" borderId="61" xfId="0" applyFont="1" applyFill="1" applyBorder="1" applyAlignment="1">
      <alignment vertical="top" wrapText="1"/>
    </xf>
    <xf numFmtId="2" fontId="4" fillId="4" borderId="65" xfId="0" applyNumberFormat="1" applyFont="1" applyFill="1" applyBorder="1" applyAlignment="1">
      <alignment vertical="top" wrapText="1"/>
    </xf>
    <xf numFmtId="49" fontId="4" fillId="4" borderId="61" xfId="0" applyNumberFormat="1" applyFont="1" applyFill="1" applyBorder="1" applyAlignment="1">
      <alignment horizontal="left" vertical="top" wrapText="1"/>
    </xf>
    <xf numFmtId="49" fontId="4" fillId="4" borderId="62" xfId="0" applyNumberFormat="1" applyFont="1" applyFill="1" applyBorder="1" applyAlignment="1">
      <alignment horizontal="left" vertical="top" wrapText="1"/>
    </xf>
    <xf numFmtId="3" fontId="4" fillId="4" borderId="16" xfId="0" applyNumberFormat="1" applyFont="1" applyFill="1" applyBorder="1" applyAlignment="1">
      <alignment vertical="top" wrapText="1"/>
    </xf>
    <xf numFmtId="3" fontId="1" fillId="4" borderId="0" xfId="0" applyNumberFormat="1" applyFont="1" applyFill="1" applyBorder="1" applyAlignment="1">
      <alignment vertical="top" wrapText="1"/>
    </xf>
    <xf numFmtId="3" fontId="1" fillId="4" borderId="36" xfId="0" applyNumberFormat="1" applyFont="1" applyFill="1" applyBorder="1" applyAlignment="1">
      <alignment horizontal="center" vertical="top" wrapText="1"/>
    </xf>
    <xf numFmtId="3" fontId="1" fillId="4" borderId="36" xfId="0" applyNumberFormat="1" applyFont="1" applyFill="1" applyBorder="1" applyAlignment="1">
      <alignment horizontal="center" vertical="top"/>
    </xf>
    <xf numFmtId="3" fontId="1" fillId="4" borderId="37" xfId="0" applyNumberFormat="1" applyFont="1" applyFill="1" applyBorder="1" applyAlignment="1">
      <alignment horizontal="center" vertical="top" wrapText="1"/>
    </xf>
    <xf numFmtId="3" fontId="1" fillId="4" borderId="40" xfId="0" applyNumberFormat="1" applyFont="1" applyFill="1" applyBorder="1" applyAlignment="1">
      <alignment horizontal="center" vertical="top"/>
    </xf>
    <xf numFmtId="0" fontId="1" fillId="4" borderId="40" xfId="0" applyFont="1" applyFill="1" applyBorder="1" applyAlignment="1">
      <alignment horizontal="center" vertical="top" wrapText="1"/>
    </xf>
    <xf numFmtId="49" fontId="1" fillId="4" borderId="37" xfId="0" applyNumberFormat="1" applyFont="1" applyFill="1" applyBorder="1" applyAlignment="1">
      <alignment horizontal="center" vertical="top"/>
    </xf>
    <xf numFmtId="49" fontId="1" fillId="4" borderId="36" xfId="0" applyNumberFormat="1" applyFont="1" applyFill="1" applyBorder="1" applyAlignment="1">
      <alignment horizontal="center" vertical="top"/>
    </xf>
    <xf numFmtId="49" fontId="4" fillId="4" borderId="37" xfId="0" applyNumberFormat="1" applyFont="1" applyFill="1" applyBorder="1" applyAlignment="1">
      <alignment horizontal="center" vertical="top"/>
    </xf>
    <xf numFmtId="0" fontId="4" fillId="4" borderId="37" xfId="0" applyFont="1" applyFill="1" applyBorder="1" applyAlignment="1">
      <alignment horizontal="center" vertical="top" wrapText="1"/>
    </xf>
    <xf numFmtId="0" fontId="3" fillId="4" borderId="20" xfId="0" applyFont="1" applyFill="1" applyBorder="1" applyAlignment="1">
      <alignment vertical="top"/>
    </xf>
    <xf numFmtId="3" fontId="1" fillId="4" borderId="41" xfId="0" applyNumberFormat="1" applyFont="1" applyFill="1" applyBorder="1" applyAlignment="1">
      <alignment horizontal="center" vertical="top"/>
    </xf>
    <xf numFmtId="0" fontId="1" fillId="4" borderId="37" xfId="0" applyFont="1" applyFill="1" applyBorder="1" applyAlignment="1">
      <alignment horizontal="center" vertical="top"/>
    </xf>
    <xf numFmtId="3" fontId="1" fillId="4" borderId="47" xfId="0" applyNumberFormat="1" applyFont="1" applyFill="1" applyBorder="1" applyAlignment="1">
      <alignment horizontal="center" vertical="top"/>
    </xf>
    <xf numFmtId="3" fontId="1" fillId="0" borderId="56" xfId="0" applyNumberFormat="1" applyFont="1" applyBorder="1" applyAlignment="1">
      <alignment horizontal="center" vertical="top"/>
    </xf>
    <xf numFmtId="0" fontId="1" fillId="4" borderId="65" xfId="0" applyFont="1" applyFill="1" applyBorder="1" applyAlignment="1">
      <alignment vertical="top" wrapText="1"/>
    </xf>
    <xf numFmtId="0" fontId="1" fillId="4" borderId="62" xfId="0" applyFont="1" applyFill="1" applyBorder="1" applyAlignment="1">
      <alignment vertical="top" wrapText="1"/>
    </xf>
    <xf numFmtId="3" fontId="1" fillId="3" borderId="65" xfId="0" applyNumberFormat="1" applyFont="1" applyFill="1" applyBorder="1" applyAlignment="1">
      <alignment horizontal="center" vertical="top"/>
    </xf>
    <xf numFmtId="3" fontId="1" fillId="0" borderId="65" xfId="0" applyNumberFormat="1" applyFont="1" applyFill="1" applyBorder="1" applyAlignment="1">
      <alignment horizontal="center" vertical="top"/>
    </xf>
    <xf numFmtId="3" fontId="1" fillId="4" borderId="37" xfId="0" applyNumberFormat="1" applyFont="1" applyFill="1" applyBorder="1" applyAlignment="1">
      <alignment horizontal="center" vertical="top"/>
    </xf>
    <xf numFmtId="3" fontId="10" fillId="4" borderId="17" xfId="0" applyNumberFormat="1" applyFont="1" applyFill="1" applyBorder="1" applyAlignment="1">
      <alignment horizontal="center" vertical="top"/>
    </xf>
    <xf numFmtId="3" fontId="1" fillId="0" borderId="36" xfId="0" applyNumberFormat="1" applyFont="1" applyFill="1" applyBorder="1" applyAlignment="1">
      <alignment horizontal="center" vertical="top"/>
    </xf>
    <xf numFmtId="3" fontId="1" fillId="0" borderId="20" xfId="0" applyNumberFormat="1" applyFont="1" applyFill="1" applyBorder="1" applyAlignment="1">
      <alignment horizontal="center" vertical="top"/>
    </xf>
    <xf numFmtId="49" fontId="5" fillId="3" borderId="0" xfId="0" applyNumberFormat="1" applyFont="1" applyFill="1" applyBorder="1" applyAlignment="1">
      <alignment vertical="top"/>
    </xf>
    <xf numFmtId="3" fontId="2" fillId="4" borderId="70" xfId="0" applyNumberFormat="1" applyFont="1" applyFill="1" applyBorder="1" applyAlignment="1">
      <alignment horizontal="center" vertical="top" textRotation="90" wrapText="1"/>
    </xf>
    <xf numFmtId="3" fontId="2" fillId="4" borderId="67" xfId="0" applyNumberFormat="1" applyFont="1" applyFill="1" applyBorder="1" applyAlignment="1">
      <alignment horizontal="center" vertical="top" textRotation="90" wrapText="1"/>
    </xf>
    <xf numFmtId="3" fontId="5" fillId="4" borderId="77" xfId="0" applyNumberFormat="1" applyFont="1" applyFill="1" applyBorder="1" applyAlignment="1">
      <alignment horizontal="center" vertical="top" wrapText="1"/>
    </xf>
    <xf numFmtId="164" fontId="4" fillId="0" borderId="34" xfId="0" applyNumberFormat="1" applyFont="1" applyBorder="1" applyAlignment="1">
      <alignment horizontal="center" vertical="top" wrapText="1"/>
    </xf>
    <xf numFmtId="3" fontId="4" fillId="4" borderId="59" xfId="0" applyNumberFormat="1" applyFont="1" applyFill="1" applyBorder="1" applyAlignment="1">
      <alignment vertical="top" wrapText="1"/>
    </xf>
    <xf numFmtId="3" fontId="4" fillId="4" borderId="28" xfId="0" applyNumberFormat="1" applyFont="1" applyFill="1" applyBorder="1" applyAlignment="1">
      <alignment horizontal="center" vertical="top"/>
    </xf>
    <xf numFmtId="164" fontId="4" fillId="0" borderId="28" xfId="0" applyNumberFormat="1" applyFont="1" applyBorder="1" applyAlignment="1">
      <alignment horizontal="center" vertical="top"/>
    </xf>
    <xf numFmtId="3" fontId="4" fillId="0" borderId="64" xfId="0" applyNumberFormat="1" applyFont="1" applyFill="1" applyBorder="1" applyAlignment="1">
      <alignment horizontal="center" vertical="top" wrapText="1"/>
    </xf>
    <xf numFmtId="3" fontId="2" fillId="3" borderId="18" xfId="0" applyNumberFormat="1" applyFont="1" applyFill="1" applyBorder="1" applyAlignment="1">
      <alignment horizontal="center" vertical="top" wrapText="1"/>
    </xf>
    <xf numFmtId="3" fontId="1" fillId="4" borderId="6" xfId="0" applyNumberFormat="1" applyFont="1" applyFill="1" applyBorder="1" applyAlignment="1">
      <alignment vertical="top" wrapText="1"/>
    </xf>
    <xf numFmtId="3" fontId="1" fillId="4" borderId="2" xfId="0" applyNumberFormat="1" applyFont="1" applyFill="1" applyBorder="1" applyAlignment="1">
      <alignment vertical="top" wrapText="1"/>
    </xf>
    <xf numFmtId="3" fontId="1" fillId="0" borderId="3" xfId="0" applyNumberFormat="1" applyFont="1" applyBorder="1" applyAlignment="1">
      <alignment horizontal="center" vertical="top"/>
    </xf>
    <xf numFmtId="3" fontId="1" fillId="4" borderId="70" xfId="0" applyNumberFormat="1" applyFont="1" applyFill="1" applyBorder="1" applyAlignment="1">
      <alignment horizontal="center" vertical="top" wrapText="1"/>
    </xf>
    <xf numFmtId="3" fontId="1" fillId="4" borderId="9" xfId="0" applyNumberFormat="1" applyFont="1" applyFill="1" applyBorder="1" applyAlignment="1">
      <alignment horizontal="left" vertical="top" wrapText="1"/>
    </xf>
    <xf numFmtId="3" fontId="1" fillId="4" borderId="49" xfId="0" applyNumberFormat="1" applyFont="1" applyFill="1" applyBorder="1" applyAlignment="1">
      <alignment vertical="top" wrapText="1"/>
    </xf>
    <xf numFmtId="3" fontId="2" fillId="0" borderId="66" xfId="0" applyNumberFormat="1" applyFont="1" applyFill="1" applyBorder="1" applyAlignment="1">
      <alignment horizontal="center" vertical="top" textRotation="90" wrapText="1"/>
    </xf>
    <xf numFmtId="3" fontId="2" fillId="3" borderId="66" xfId="0" applyNumberFormat="1" applyFont="1" applyFill="1" applyBorder="1" applyAlignment="1">
      <alignment horizontal="center" vertical="top" wrapText="1"/>
    </xf>
    <xf numFmtId="3" fontId="1" fillId="4" borderId="6" xfId="0" applyNumberFormat="1" applyFont="1" applyFill="1" applyBorder="1" applyAlignment="1">
      <alignment horizontal="center" vertical="top" wrapText="1"/>
    </xf>
    <xf numFmtId="3" fontId="5" fillId="4" borderId="19" xfId="0" applyNumberFormat="1" applyFont="1" applyFill="1" applyBorder="1" applyAlignment="1">
      <alignment vertical="top" wrapText="1"/>
    </xf>
    <xf numFmtId="164" fontId="4" fillId="4" borderId="7" xfId="0" applyNumberFormat="1" applyFont="1" applyFill="1" applyBorder="1" applyAlignment="1">
      <alignment horizontal="center" vertical="top" wrapText="1"/>
    </xf>
    <xf numFmtId="0" fontId="4" fillId="4" borderId="40" xfId="0" applyFont="1" applyFill="1" applyBorder="1" applyAlignment="1">
      <alignment horizontal="center" vertical="top" wrapText="1"/>
    </xf>
    <xf numFmtId="0" fontId="4" fillId="4" borderId="59" xfId="0" applyFont="1" applyFill="1" applyBorder="1" applyAlignment="1">
      <alignment horizontal="center" vertical="top"/>
    </xf>
    <xf numFmtId="0" fontId="4" fillId="4" borderId="39" xfId="0" applyFont="1" applyFill="1" applyBorder="1" applyAlignment="1">
      <alignment horizontal="center" vertical="top"/>
    </xf>
    <xf numFmtId="3" fontId="4" fillId="4" borderId="13" xfId="0" applyNumberFormat="1" applyFont="1" applyFill="1" applyBorder="1" applyAlignment="1">
      <alignment horizontal="center" vertical="top"/>
    </xf>
    <xf numFmtId="3" fontId="4" fillId="4" borderId="24" xfId="0" applyNumberFormat="1" applyFont="1" applyFill="1" applyBorder="1" applyAlignment="1">
      <alignment horizontal="center" vertical="top"/>
    </xf>
    <xf numFmtId="3" fontId="4" fillId="4" borderId="56" xfId="0" applyNumberFormat="1" applyFont="1" applyFill="1" applyBorder="1" applyAlignment="1">
      <alignment vertical="top"/>
    </xf>
    <xf numFmtId="3" fontId="4" fillId="4" borderId="47" xfId="0" applyNumberFormat="1" applyFont="1" applyFill="1" applyBorder="1" applyAlignment="1">
      <alignment horizontal="center" vertical="top"/>
    </xf>
    <xf numFmtId="3" fontId="4" fillId="4" borderId="46" xfId="0" applyNumberFormat="1" applyFont="1" applyFill="1" applyBorder="1" applyAlignment="1">
      <alignment horizontal="center" vertical="top"/>
    </xf>
    <xf numFmtId="164" fontId="1" fillId="4" borderId="37" xfId="0" applyNumberFormat="1" applyFont="1" applyFill="1" applyBorder="1" applyAlignment="1">
      <alignment horizontal="center" vertical="top"/>
    </xf>
    <xf numFmtId="0" fontId="4" fillId="4" borderId="62" xfId="0" applyFont="1" applyFill="1" applyBorder="1" applyAlignment="1">
      <alignment vertical="top" wrapText="1"/>
    </xf>
    <xf numFmtId="0" fontId="4" fillId="4" borderId="41" xfId="0" applyFont="1" applyFill="1" applyBorder="1" applyAlignment="1">
      <alignment horizontal="center" vertical="top" wrapText="1"/>
    </xf>
    <xf numFmtId="0" fontId="4" fillId="4" borderId="42" xfId="0" applyFont="1" applyFill="1" applyBorder="1" applyAlignment="1">
      <alignment horizontal="center" vertical="top"/>
    </xf>
    <xf numFmtId="0" fontId="4" fillId="4" borderId="60" xfId="0" applyFont="1" applyFill="1" applyBorder="1" applyAlignment="1">
      <alignment horizontal="center" vertical="top"/>
    </xf>
    <xf numFmtId="49" fontId="4" fillId="4" borderId="41" xfId="0" applyNumberFormat="1" applyFont="1" applyFill="1" applyBorder="1" applyAlignment="1">
      <alignment horizontal="center" vertical="top"/>
    </xf>
    <xf numFmtId="3" fontId="4" fillId="4" borderId="64" xfId="0" applyNumberFormat="1" applyFont="1" applyFill="1" applyBorder="1" applyAlignment="1">
      <alignment horizontal="center" vertical="top"/>
    </xf>
    <xf numFmtId="49" fontId="2" fillId="7" borderId="1" xfId="0" applyNumberFormat="1" applyFont="1" applyFill="1" applyBorder="1" applyAlignment="1">
      <alignment horizontal="center" vertical="top"/>
    </xf>
    <xf numFmtId="49" fontId="5" fillId="8" borderId="12" xfId="0" applyNumberFormat="1" applyFont="1" applyFill="1" applyBorder="1" applyAlignment="1">
      <alignment vertical="top"/>
    </xf>
    <xf numFmtId="49" fontId="2" fillId="8" borderId="12" xfId="0" applyNumberFormat="1" applyFont="1" applyFill="1" applyBorder="1" applyAlignment="1">
      <alignment horizontal="center" vertical="top"/>
    </xf>
    <xf numFmtId="164" fontId="2" fillId="8" borderId="12" xfId="0" applyNumberFormat="1" applyFont="1" applyFill="1" applyBorder="1" applyAlignment="1">
      <alignment horizontal="center" vertical="top"/>
    </xf>
    <xf numFmtId="49" fontId="5" fillId="8" borderId="16" xfId="0" applyNumberFormat="1" applyFont="1" applyFill="1" applyBorder="1" applyAlignment="1">
      <alignment horizontal="center" vertical="top"/>
    </xf>
    <xf numFmtId="49" fontId="5" fillId="8" borderId="16" xfId="0" applyNumberFormat="1" applyFont="1" applyFill="1" applyBorder="1" applyAlignment="1">
      <alignment vertical="top"/>
    </xf>
    <xf numFmtId="49" fontId="5" fillId="8" borderId="17" xfId="0" applyNumberFormat="1" applyFont="1" applyFill="1" applyBorder="1" applyAlignment="1">
      <alignment vertical="top"/>
    </xf>
    <xf numFmtId="49" fontId="5" fillId="8" borderId="17" xfId="0" applyNumberFormat="1" applyFont="1" applyFill="1" applyBorder="1" applyAlignment="1">
      <alignment horizontal="center" vertical="top"/>
    </xf>
    <xf numFmtId="49" fontId="5" fillId="8" borderId="40" xfId="0" applyNumberFormat="1" applyFont="1" applyFill="1" applyBorder="1" applyAlignment="1">
      <alignment vertical="top"/>
    </xf>
    <xf numFmtId="49" fontId="2" fillId="8" borderId="17" xfId="0" applyNumberFormat="1" applyFont="1" applyFill="1" applyBorder="1" applyAlignment="1">
      <alignment vertical="top"/>
    </xf>
    <xf numFmtId="49" fontId="2" fillId="8" borderId="17" xfId="0" applyNumberFormat="1" applyFont="1" applyFill="1" applyBorder="1" applyAlignment="1">
      <alignment horizontal="center" vertical="top"/>
    </xf>
    <xf numFmtId="49" fontId="2" fillId="8" borderId="40" xfId="0" applyNumberFormat="1" applyFont="1" applyFill="1" applyBorder="1" applyAlignment="1">
      <alignment horizontal="center" vertical="top"/>
    </xf>
    <xf numFmtId="49" fontId="5" fillId="8" borderId="20" xfId="0" applyNumberFormat="1" applyFont="1" applyFill="1" applyBorder="1" applyAlignment="1">
      <alignment vertical="top"/>
    </xf>
    <xf numFmtId="49" fontId="2" fillId="8" borderId="22" xfId="0" applyNumberFormat="1" applyFont="1" applyFill="1" applyBorder="1" applyAlignment="1">
      <alignment horizontal="center" vertical="top"/>
    </xf>
    <xf numFmtId="49" fontId="5" fillId="8" borderId="56" xfId="0" applyNumberFormat="1" applyFont="1" applyFill="1" applyBorder="1" applyAlignment="1">
      <alignment horizontal="center" vertical="top"/>
    </xf>
    <xf numFmtId="49" fontId="5" fillId="8" borderId="12" xfId="0" applyNumberFormat="1" applyFont="1" applyFill="1" applyBorder="1" applyAlignment="1">
      <alignment horizontal="center" vertical="top"/>
    </xf>
    <xf numFmtId="49" fontId="2" fillId="8" borderId="20" xfId="0" applyNumberFormat="1" applyFont="1" applyFill="1" applyBorder="1" applyAlignment="1">
      <alignment horizontal="center" vertical="top"/>
    </xf>
    <xf numFmtId="49" fontId="2" fillId="8" borderId="23" xfId="0" applyNumberFormat="1" applyFont="1" applyFill="1" applyBorder="1" applyAlignment="1">
      <alignment horizontal="center" vertical="top"/>
    </xf>
    <xf numFmtId="49" fontId="2" fillId="8" borderId="22" xfId="0" applyNumberFormat="1" applyFont="1" applyFill="1" applyBorder="1" applyAlignment="1">
      <alignment vertical="top"/>
    </xf>
    <xf numFmtId="49" fontId="2" fillId="8" borderId="20" xfId="0" applyNumberFormat="1" applyFont="1" applyFill="1" applyBorder="1" applyAlignment="1">
      <alignment vertical="top"/>
    </xf>
    <xf numFmtId="49" fontId="2" fillId="8" borderId="1" xfId="0" applyNumberFormat="1" applyFont="1" applyFill="1" applyBorder="1" applyAlignment="1">
      <alignment horizontal="center" vertical="top"/>
    </xf>
    <xf numFmtId="164" fontId="2" fillId="7" borderId="19" xfId="0" applyNumberFormat="1" applyFont="1" applyFill="1" applyBorder="1" applyAlignment="1">
      <alignment horizontal="center" vertical="top"/>
    </xf>
    <xf numFmtId="164" fontId="2" fillId="7" borderId="74" xfId="0" applyNumberFormat="1" applyFont="1" applyFill="1" applyBorder="1" applyAlignment="1">
      <alignment horizontal="center" vertical="top" wrapText="1"/>
    </xf>
    <xf numFmtId="164" fontId="2" fillId="7" borderId="29" xfId="0" applyNumberFormat="1" applyFont="1" applyFill="1" applyBorder="1" applyAlignment="1">
      <alignment horizontal="center" vertical="top" wrapText="1"/>
    </xf>
    <xf numFmtId="164" fontId="5" fillId="7" borderId="12" xfId="0" applyNumberFormat="1" applyFont="1" applyFill="1" applyBorder="1" applyAlignment="1">
      <alignment horizontal="center" vertical="top" wrapText="1"/>
    </xf>
    <xf numFmtId="164" fontId="5" fillId="7" borderId="11" xfId="0" applyNumberFormat="1" applyFont="1" applyFill="1" applyBorder="1" applyAlignment="1">
      <alignment horizontal="center" vertical="top" wrapText="1"/>
    </xf>
    <xf numFmtId="3" fontId="5" fillId="0" borderId="32" xfId="0" applyNumberFormat="1" applyFont="1" applyFill="1" applyBorder="1" applyAlignment="1">
      <alignment horizontal="center" vertical="top"/>
    </xf>
    <xf numFmtId="3" fontId="1" fillId="0" borderId="38" xfId="0" applyNumberFormat="1" applyFont="1" applyBorder="1" applyAlignment="1">
      <alignment horizontal="center" vertical="top"/>
    </xf>
    <xf numFmtId="3" fontId="1" fillId="0" borderId="21" xfId="0" applyNumberFormat="1" applyFont="1" applyBorder="1" applyAlignment="1">
      <alignment horizontal="center" vertical="top"/>
    </xf>
    <xf numFmtId="3" fontId="1" fillId="3" borderId="42" xfId="0" applyNumberFormat="1" applyFont="1" applyFill="1" applyBorder="1" applyAlignment="1">
      <alignment horizontal="left" vertical="top" wrapText="1"/>
    </xf>
    <xf numFmtId="3" fontId="1" fillId="4" borderId="18" xfId="0" applyNumberFormat="1" applyFont="1" applyFill="1" applyBorder="1" applyAlignment="1">
      <alignment horizontal="center" vertical="top"/>
    </xf>
    <xf numFmtId="3" fontId="1" fillId="4" borderId="32" xfId="0" applyNumberFormat="1" applyFont="1" applyFill="1" applyBorder="1" applyAlignment="1">
      <alignment horizontal="center" vertical="top"/>
    </xf>
    <xf numFmtId="3" fontId="1" fillId="4" borderId="53" xfId="0" applyNumberFormat="1" applyFont="1" applyFill="1" applyBorder="1" applyAlignment="1">
      <alignment horizontal="center" vertical="top"/>
    </xf>
    <xf numFmtId="3" fontId="1" fillId="4" borderId="31" xfId="0" applyNumberFormat="1" applyFont="1" applyFill="1" applyBorder="1" applyAlignment="1">
      <alignment horizontal="center" vertical="top"/>
    </xf>
    <xf numFmtId="3" fontId="1" fillId="4" borderId="60" xfId="0" applyNumberFormat="1" applyFont="1" applyFill="1" applyBorder="1" applyAlignment="1">
      <alignment horizontal="center" vertical="top"/>
    </xf>
    <xf numFmtId="164" fontId="4" fillId="4" borderId="0" xfId="0" applyNumberFormat="1" applyFont="1" applyFill="1" applyBorder="1" applyAlignment="1">
      <alignment horizontal="center" vertical="top" wrapText="1"/>
    </xf>
    <xf numFmtId="3" fontId="1" fillId="0" borderId="10"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wrapText="1"/>
    </xf>
    <xf numFmtId="3" fontId="1" fillId="0" borderId="6" xfId="0" applyNumberFormat="1" applyFont="1" applyFill="1" applyBorder="1" applyAlignment="1">
      <alignment horizontal="center" vertical="top" wrapText="1"/>
    </xf>
    <xf numFmtId="3" fontId="1" fillId="0" borderId="21" xfId="0" applyNumberFormat="1" applyFont="1" applyFill="1" applyBorder="1" applyAlignment="1">
      <alignment horizontal="center" vertical="top"/>
    </xf>
    <xf numFmtId="164" fontId="2" fillId="8" borderId="11" xfId="0" applyNumberFormat="1" applyFont="1" applyFill="1" applyBorder="1" applyAlignment="1">
      <alignment horizontal="center" vertical="top"/>
    </xf>
    <xf numFmtId="164" fontId="3" fillId="4" borderId="57" xfId="0" applyNumberFormat="1" applyFont="1" applyFill="1" applyBorder="1" applyAlignment="1">
      <alignment horizontal="center" vertical="top" wrapText="1"/>
    </xf>
    <xf numFmtId="164" fontId="1" fillId="4" borderId="58" xfId="0" applyNumberFormat="1" applyFont="1" applyFill="1" applyBorder="1" applyAlignment="1">
      <alignment horizontal="center" vertical="top" wrapText="1"/>
    </xf>
    <xf numFmtId="164" fontId="1" fillId="3" borderId="17" xfId="0" applyNumberFormat="1" applyFont="1" applyFill="1" applyBorder="1" applyAlignment="1">
      <alignment horizontal="center" vertical="top"/>
    </xf>
    <xf numFmtId="164" fontId="1" fillId="3" borderId="62" xfId="0" applyNumberFormat="1" applyFont="1" applyFill="1" applyBorder="1" applyAlignment="1">
      <alignment horizontal="center" vertical="top"/>
    </xf>
    <xf numFmtId="164" fontId="2" fillId="8" borderId="56" xfId="0" applyNumberFormat="1" applyFont="1" applyFill="1" applyBorder="1" applyAlignment="1">
      <alignment horizontal="center" vertical="top"/>
    </xf>
    <xf numFmtId="164" fontId="2" fillId="7" borderId="56" xfId="0" applyNumberFormat="1" applyFont="1" applyFill="1" applyBorder="1" applyAlignment="1">
      <alignment horizontal="center" vertical="top"/>
    </xf>
    <xf numFmtId="164" fontId="1" fillId="3" borderId="42" xfId="0" applyNumberFormat="1" applyFont="1" applyFill="1" applyBorder="1" applyAlignment="1">
      <alignment horizontal="center" vertical="top"/>
    </xf>
    <xf numFmtId="164" fontId="2" fillId="8" borderId="19" xfId="0" applyNumberFormat="1" applyFont="1" applyFill="1" applyBorder="1" applyAlignment="1">
      <alignment horizontal="center" vertical="top"/>
    </xf>
    <xf numFmtId="164" fontId="4" fillId="0" borderId="0" xfId="0" applyNumberFormat="1" applyFont="1" applyFill="1" applyBorder="1" applyAlignment="1">
      <alignment horizontal="center" vertical="top" wrapText="1"/>
    </xf>
    <xf numFmtId="0" fontId="17" fillId="4" borderId="52" xfId="0" applyFont="1" applyFill="1" applyBorder="1" applyAlignment="1">
      <alignment horizontal="center" vertical="top"/>
    </xf>
    <xf numFmtId="49" fontId="1" fillId="4" borderId="28" xfId="0" applyNumberFormat="1" applyFont="1" applyFill="1" applyBorder="1" applyAlignment="1">
      <alignment horizontal="center" vertical="top"/>
    </xf>
    <xf numFmtId="49" fontId="1" fillId="4" borderId="26" xfId="0" applyNumberFormat="1" applyFont="1" applyFill="1" applyBorder="1" applyAlignment="1">
      <alignment horizontal="center" vertical="top"/>
    </xf>
    <xf numFmtId="164" fontId="2" fillId="5" borderId="43" xfId="0" applyNumberFormat="1" applyFont="1" applyFill="1" applyBorder="1" applyAlignment="1">
      <alignment horizontal="center" vertical="top" wrapText="1"/>
    </xf>
    <xf numFmtId="164" fontId="4" fillId="0" borderId="65" xfId="0" applyNumberFormat="1" applyFont="1" applyBorder="1" applyAlignment="1">
      <alignment horizontal="center" vertical="top" wrapText="1"/>
    </xf>
    <xf numFmtId="164" fontId="4" fillId="0" borderId="59" xfId="0" applyNumberFormat="1" applyFont="1" applyBorder="1" applyAlignment="1">
      <alignment horizontal="center" vertical="top"/>
    </xf>
    <xf numFmtId="164" fontId="1" fillId="3" borderId="15" xfId="0" applyNumberFormat="1" applyFont="1" applyFill="1" applyBorder="1" applyAlignment="1">
      <alignment horizontal="center" vertical="top"/>
    </xf>
    <xf numFmtId="164" fontId="4" fillId="0" borderId="18" xfId="0" applyNumberFormat="1" applyFont="1" applyFill="1" applyBorder="1" applyAlignment="1">
      <alignment horizontal="center" vertical="top" wrapText="1"/>
    </xf>
    <xf numFmtId="164" fontId="4" fillId="0" borderId="61" xfId="0" applyNumberFormat="1" applyFont="1" applyFill="1" applyBorder="1" applyAlignment="1">
      <alignment horizontal="center" vertical="top" wrapText="1"/>
    </xf>
    <xf numFmtId="164" fontId="4" fillId="0" borderId="27" xfId="0" applyNumberFormat="1" applyFont="1" applyFill="1" applyBorder="1" applyAlignment="1">
      <alignment horizontal="center" vertical="top" wrapText="1"/>
    </xf>
    <xf numFmtId="164" fontId="4" fillId="0" borderId="59" xfId="0" applyNumberFormat="1" applyFont="1" applyFill="1" applyBorder="1" applyAlignment="1">
      <alignment horizontal="center" vertical="top" wrapText="1"/>
    </xf>
    <xf numFmtId="164" fontId="4" fillId="0" borderId="26" xfId="0" applyNumberFormat="1" applyFont="1" applyBorder="1" applyAlignment="1">
      <alignment horizontal="center" vertical="top" wrapText="1"/>
    </xf>
    <xf numFmtId="0" fontId="4" fillId="4" borderId="15" xfId="0" applyFont="1" applyFill="1" applyBorder="1" applyAlignment="1">
      <alignment horizontal="center" vertical="top" wrapText="1"/>
    </xf>
    <xf numFmtId="164" fontId="1" fillId="4" borderId="73" xfId="0" applyNumberFormat="1" applyFont="1" applyFill="1" applyBorder="1" applyAlignment="1">
      <alignment horizontal="center" vertical="top" wrapText="1"/>
    </xf>
    <xf numFmtId="164" fontId="1" fillId="0" borderId="24" xfId="0" applyNumberFormat="1" applyFont="1" applyBorder="1" applyAlignment="1">
      <alignment horizontal="center" vertical="top" wrapText="1"/>
    </xf>
    <xf numFmtId="164" fontId="4" fillId="0" borderId="28" xfId="0" applyNumberFormat="1" applyFont="1" applyFill="1" applyBorder="1" applyAlignment="1">
      <alignment horizontal="center" vertical="top" wrapText="1"/>
    </xf>
    <xf numFmtId="164" fontId="4" fillId="0" borderId="13" xfId="0" applyNumberFormat="1" applyFont="1" applyBorder="1" applyAlignment="1">
      <alignment horizontal="center" vertical="center" wrapText="1"/>
    </xf>
    <xf numFmtId="164" fontId="2" fillId="7" borderId="30" xfId="0" applyNumberFormat="1" applyFont="1" applyFill="1" applyBorder="1" applyAlignment="1">
      <alignment horizontal="center" vertical="top" wrapText="1"/>
    </xf>
    <xf numFmtId="164" fontId="5" fillId="7" borderId="76" xfId="0" applyNumberFormat="1" applyFont="1" applyFill="1" applyBorder="1" applyAlignment="1">
      <alignment horizontal="center" vertical="top" wrapText="1"/>
    </xf>
    <xf numFmtId="164" fontId="2" fillId="5" borderId="79" xfId="0" applyNumberFormat="1" applyFont="1" applyFill="1" applyBorder="1" applyAlignment="1">
      <alignment horizontal="center" vertical="top"/>
    </xf>
    <xf numFmtId="0" fontId="4" fillId="4" borderId="41" xfId="0" applyFont="1" applyFill="1" applyBorder="1" applyAlignment="1">
      <alignment horizontal="center" vertical="top"/>
    </xf>
    <xf numFmtId="0" fontId="4" fillId="4" borderId="53" xfId="0" applyFont="1" applyFill="1" applyBorder="1" applyAlignment="1">
      <alignment horizontal="center" vertical="top"/>
    </xf>
    <xf numFmtId="0" fontId="1" fillId="4" borderId="60" xfId="0" applyFont="1" applyFill="1" applyBorder="1" applyAlignment="1">
      <alignment horizontal="center" vertical="top"/>
    </xf>
    <xf numFmtId="3" fontId="1" fillId="3" borderId="42" xfId="0" applyNumberFormat="1" applyFont="1" applyFill="1" applyBorder="1" applyAlignment="1">
      <alignment vertical="top" wrapText="1"/>
    </xf>
    <xf numFmtId="3" fontId="4" fillId="4" borderId="42" xfId="0" applyNumberFormat="1" applyFont="1" applyFill="1" applyBorder="1" applyAlignment="1">
      <alignment vertical="top" wrapText="1"/>
    </xf>
    <xf numFmtId="3" fontId="1" fillId="4" borderId="16" xfId="0" applyNumberFormat="1" applyFont="1" applyFill="1" applyBorder="1" applyAlignment="1">
      <alignment horizontal="center" vertical="top" wrapText="1"/>
    </xf>
    <xf numFmtId="3" fontId="1" fillId="4" borderId="64" xfId="0" applyNumberFormat="1" applyFont="1" applyFill="1" applyBorder="1" applyAlignment="1">
      <alignment horizontal="center" vertical="top" wrapText="1"/>
    </xf>
    <xf numFmtId="3" fontId="1" fillId="4" borderId="38" xfId="0" applyNumberFormat="1" applyFont="1" applyFill="1" applyBorder="1" applyAlignment="1">
      <alignment horizontal="center" vertical="top" wrapText="1"/>
    </xf>
    <xf numFmtId="49" fontId="2" fillId="3" borderId="75" xfId="0" applyNumberFormat="1" applyFont="1" applyFill="1" applyBorder="1" applyAlignment="1">
      <alignment horizontal="center" vertical="top"/>
    </xf>
    <xf numFmtId="3" fontId="1" fillId="3" borderId="62" xfId="0" applyNumberFormat="1" applyFont="1" applyFill="1" applyBorder="1" applyAlignment="1">
      <alignment horizontal="center" vertical="top"/>
    </xf>
    <xf numFmtId="3" fontId="4" fillId="4" borderId="8" xfId="0" applyNumberFormat="1" applyFont="1" applyFill="1" applyBorder="1" applyAlignment="1">
      <alignment horizontal="center" vertical="top" wrapText="1"/>
    </xf>
    <xf numFmtId="164" fontId="1" fillId="4" borderId="70" xfId="0" applyNumberFormat="1" applyFont="1" applyFill="1" applyBorder="1" applyAlignment="1">
      <alignment horizontal="center" vertical="top"/>
    </xf>
    <xf numFmtId="164" fontId="1" fillId="4" borderId="63" xfId="0" applyNumberFormat="1" applyFont="1" applyFill="1" applyBorder="1" applyAlignment="1">
      <alignment horizontal="center" vertical="top"/>
    </xf>
    <xf numFmtId="164" fontId="1" fillId="4" borderId="42" xfId="0" applyNumberFormat="1" applyFont="1" applyFill="1" applyBorder="1" applyAlignment="1">
      <alignment horizontal="center" vertical="top"/>
    </xf>
    <xf numFmtId="49" fontId="2" fillId="3" borderId="13" xfId="0" applyNumberFormat="1" applyFont="1" applyFill="1" applyBorder="1" applyAlignment="1">
      <alignment horizontal="center" vertical="top"/>
    </xf>
    <xf numFmtId="3" fontId="4" fillId="4" borderId="5" xfId="0" applyNumberFormat="1" applyFont="1" applyFill="1" applyBorder="1" applyAlignment="1">
      <alignment horizontal="center" vertical="top" wrapText="1"/>
    </xf>
    <xf numFmtId="164" fontId="1" fillId="4" borderId="41" xfId="0" applyNumberFormat="1" applyFont="1" applyFill="1" applyBorder="1" applyAlignment="1">
      <alignment horizontal="center" vertical="top"/>
    </xf>
    <xf numFmtId="164" fontId="1" fillId="4" borderId="62" xfId="0" applyNumberFormat="1" applyFont="1" applyFill="1" applyBorder="1" applyAlignment="1">
      <alignment horizontal="center" vertical="top"/>
    </xf>
    <xf numFmtId="3" fontId="5" fillId="0" borderId="31" xfId="0" applyNumberFormat="1" applyFont="1" applyBorder="1" applyAlignment="1">
      <alignment horizontal="center" vertical="top"/>
    </xf>
    <xf numFmtId="3" fontId="10" fillId="4" borderId="32" xfId="0" applyNumberFormat="1" applyFont="1" applyFill="1" applyBorder="1" applyAlignment="1">
      <alignment horizontal="center" vertical="top"/>
    </xf>
    <xf numFmtId="49" fontId="5" fillId="3" borderId="13" xfId="0" applyNumberFormat="1" applyFont="1" applyFill="1" applyBorder="1" applyAlignment="1">
      <alignment horizontal="center" vertical="top"/>
    </xf>
    <xf numFmtId="164" fontId="4" fillId="0" borderId="3" xfId="0" applyNumberFormat="1" applyFont="1" applyBorder="1" applyAlignment="1">
      <alignment horizontal="center" vertical="center" wrapText="1"/>
    </xf>
    <xf numFmtId="164" fontId="4" fillId="0" borderId="24" xfId="0" applyNumberFormat="1" applyFont="1" applyBorder="1" applyAlignment="1">
      <alignment horizontal="center" vertical="center" wrapText="1"/>
    </xf>
    <xf numFmtId="164" fontId="4" fillId="0" borderId="29" xfId="0" applyNumberFormat="1" applyFont="1" applyBorder="1" applyAlignment="1">
      <alignment horizontal="center" vertical="top" wrapText="1"/>
    </xf>
    <xf numFmtId="164" fontId="4" fillId="0" borderId="73" xfId="0" applyNumberFormat="1" applyFont="1" applyBorder="1" applyAlignment="1">
      <alignment horizontal="center" vertical="top" wrapText="1"/>
    </xf>
    <xf numFmtId="3" fontId="10" fillId="4" borderId="18" xfId="0" applyNumberFormat="1" applyFont="1" applyFill="1" applyBorder="1" applyAlignment="1">
      <alignment vertical="top" wrapText="1"/>
    </xf>
    <xf numFmtId="164" fontId="2" fillId="2" borderId="14" xfId="0" applyNumberFormat="1" applyFont="1" applyFill="1" applyBorder="1" applyAlignment="1">
      <alignment horizontal="center" vertical="top"/>
    </xf>
    <xf numFmtId="164" fontId="2" fillId="8" borderId="14" xfId="0" applyNumberFormat="1" applyFont="1" applyFill="1" applyBorder="1" applyAlignment="1">
      <alignment horizontal="center" vertical="top"/>
    </xf>
    <xf numFmtId="164" fontId="4" fillId="0" borderId="80" xfId="0" applyNumberFormat="1" applyFont="1" applyBorder="1" applyAlignment="1">
      <alignment horizontal="center" vertical="top" wrapText="1"/>
    </xf>
    <xf numFmtId="164" fontId="4" fillId="0" borderId="77" xfId="0" applyNumberFormat="1" applyFont="1" applyBorder="1" applyAlignment="1">
      <alignment horizontal="center" vertical="top" wrapText="1"/>
    </xf>
    <xf numFmtId="164" fontId="4" fillId="0" borderId="70" xfId="0" applyNumberFormat="1" applyFont="1" applyBorder="1" applyAlignment="1">
      <alignment horizontal="center" vertical="top"/>
    </xf>
    <xf numFmtId="164" fontId="2" fillId="8" borderId="54" xfId="0" applyNumberFormat="1" applyFont="1" applyFill="1" applyBorder="1" applyAlignment="1">
      <alignment horizontal="center" vertical="top"/>
    </xf>
    <xf numFmtId="164" fontId="4" fillId="0" borderId="35" xfId="0" applyNumberFormat="1" applyFont="1" applyBorder="1" applyAlignment="1">
      <alignment horizontal="center" vertical="top" wrapText="1"/>
    </xf>
    <xf numFmtId="164" fontId="4" fillId="0" borderId="36" xfId="0" applyNumberFormat="1" applyFont="1" applyBorder="1" applyAlignment="1">
      <alignment horizontal="center" vertical="top" wrapText="1"/>
    </xf>
    <xf numFmtId="164" fontId="4" fillId="0" borderId="37" xfId="0" applyNumberFormat="1" applyFont="1" applyBorder="1" applyAlignment="1">
      <alignment horizontal="center" vertical="top"/>
    </xf>
    <xf numFmtId="164" fontId="2" fillId="8" borderId="76" xfId="0" applyNumberFormat="1" applyFont="1" applyFill="1" applyBorder="1" applyAlignment="1">
      <alignment horizontal="center" vertical="top"/>
    </xf>
    <xf numFmtId="164" fontId="4" fillId="4" borderId="40" xfId="0" applyNumberFormat="1" applyFont="1" applyFill="1" applyBorder="1" applyAlignment="1">
      <alignment horizontal="center" vertical="top" wrapText="1"/>
    </xf>
    <xf numFmtId="164" fontId="14" fillId="3" borderId="13" xfId="0" applyNumberFormat="1" applyFont="1" applyFill="1" applyBorder="1" applyAlignment="1">
      <alignment horizontal="center" vertical="top"/>
    </xf>
    <xf numFmtId="164" fontId="18" fillId="4" borderId="13" xfId="0" applyNumberFormat="1" applyFont="1" applyFill="1" applyBorder="1" applyAlignment="1">
      <alignment horizontal="center" vertical="top"/>
    </xf>
    <xf numFmtId="3" fontId="4" fillId="0" borderId="66" xfId="0" applyNumberFormat="1" applyFont="1" applyFill="1" applyBorder="1" applyAlignment="1">
      <alignment horizontal="center" vertical="top" wrapText="1"/>
    </xf>
    <xf numFmtId="3" fontId="4" fillId="0" borderId="26" xfId="0" applyNumberFormat="1" applyFont="1" applyFill="1" applyBorder="1" applyAlignment="1">
      <alignment horizontal="center" vertical="top" wrapText="1"/>
    </xf>
    <xf numFmtId="0" fontId="4" fillId="4" borderId="65" xfId="0" applyNumberFormat="1" applyFont="1" applyFill="1" applyBorder="1" applyAlignment="1">
      <alignment horizontal="center" vertical="top"/>
    </xf>
    <xf numFmtId="3" fontId="1" fillId="0" borderId="8" xfId="0" applyNumberFormat="1" applyFont="1" applyBorder="1" applyAlignment="1">
      <alignment vertical="top" wrapText="1"/>
    </xf>
    <xf numFmtId="164" fontId="18" fillId="4" borderId="24" xfId="0" applyNumberFormat="1" applyFont="1" applyFill="1" applyBorder="1" applyAlignment="1">
      <alignment horizontal="center" vertical="top"/>
    </xf>
    <xf numFmtId="3" fontId="4" fillId="0" borderId="6" xfId="0" applyNumberFormat="1" applyFont="1" applyFill="1" applyBorder="1" applyAlignment="1">
      <alignment horizontal="center" vertical="top" wrapText="1"/>
    </xf>
    <xf numFmtId="164" fontId="4" fillId="0" borderId="37" xfId="0" applyNumberFormat="1" applyFont="1" applyFill="1" applyBorder="1" applyAlignment="1">
      <alignment horizontal="center" vertical="top"/>
    </xf>
    <xf numFmtId="164" fontId="1" fillId="4" borderId="61" xfId="0" applyNumberFormat="1" applyFont="1" applyFill="1" applyBorder="1" applyAlignment="1">
      <alignment horizontal="center" vertical="top"/>
    </xf>
    <xf numFmtId="164" fontId="1" fillId="4" borderId="66" xfId="0" applyNumberFormat="1" applyFont="1" applyFill="1" applyBorder="1" applyAlignment="1">
      <alignment horizontal="center" vertical="top"/>
    </xf>
    <xf numFmtId="164" fontId="1" fillId="4" borderId="59" xfId="0" applyNumberFormat="1" applyFont="1" applyFill="1" applyBorder="1" applyAlignment="1">
      <alignment horizontal="center" vertical="top"/>
    </xf>
    <xf numFmtId="164" fontId="4" fillId="4" borderId="42" xfId="0" applyNumberFormat="1" applyFont="1" applyFill="1" applyBorder="1" applyAlignment="1">
      <alignment horizontal="center" vertical="top"/>
    </xf>
    <xf numFmtId="3" fontId="10" fillId="3" borderId="8" xfId="0" applyNumberFormat="1" applyFont="1" applyFill="1" applyBorder="1" applyAlignment="1">
      <alignment horizontal="center" vertical="top"/>
    </xf>
    <xf numFmtId="3" fontId="10" fillId="4" borderId="8" xfId="0" applyNumberFormat="1" applyFont="1" applyFill="1" applyBorder="1" applyAlignment="1">
      <alignment horizontal="center" vertical="top"/>
    </xf>
    <xf numFmtId="164" fontId="10" fillId="4" borderId="18" xfId="0" applyNumberFormat="1" applyFont="1" applyFill="1" applyBorder="1" applyAlignment="1">
      <alignment horizontal="center" vertical="top"/>
    </xf>
    <xf numFmtId="164" fontId="10" fillId="4" borderId="0" xfId="0" applyNumberFormat="1" applyFont="1" applyFill="1" applyBorder="1" applyAlignment="1">
      <alignment horizontal="center" vertical="top"/>
    </xf>
    <xf numFmtId="164" fontId="10" fillId="4" borderId="40" xfId="0" applyNumberFormat="1" applyFont="1" applyFill="1" applyBorder="1" applyAlignment="1">
      <alignment horizontal="center" vertical="top"/>
    </xf>
    <xf numFmtId="164" fontId="10" fillId="4" borderId="7" xfId="0" applyNumberFormat="1" applyFont="1" applyFill="1" applyBorder="1" applyAlignment="1">
      <alignment horizontal="center" vertical="top"/>
    </xf>
    <xf numFmtId="3" fontId="10" fillId="0" borderId="8" xfId="0" applyNumberFormat="1" applyFont="1" applyBorder="1" applyAlignment="1">
      <alignment horizontal="center" vertical="top"/>
    </xf>
    <xf numFmtId="3" fontId="10" fillId="4" borderId="8" xfId="0" applyNumberFormat="1" applyFont="1" applyFill="1" applyBorder="1" applyAlignment="1">
      <alignment horizontal="center" vertical="top" wrapText="1"/>
    </xf>
    <xf numFmtId="3" fontId="10" fillId="0" borderId="8" xfId="0" applyNumberFormat="1" applyFont="1" applyFill="1" applyBorder="1" applyAlignment="1">
      <alignment horizontal="center" vertical="top" wrapText="1"/>
    </xf>
    <xf numFmtId="164" fontId="19" fillId="4" borderId="18" xfId="0" applyNumberFormat="1" applyFont="1" applyFill="1" applyBorder="1" applyAlignment="1">
      <alignment horizontal="center" vertical="top"/>
    </xf>
    <xf numFmtId="164" fontId="19" fillId="4" borderId="7" xfId="0" applyNumberFormat="1" applyFont="1" applyFill="1" applyBorder="1" applyAlignment="1">
      <alignment horizontal="center" vertical="top"/>
    </xf>
    <xf numFmtId="0" fontId="10" fillId="4" borderId="18" xfId="0" applyFont="1" applyFill="1" applyBorder="1" applyAlignment="1">
      <alignment horizontal="center" vertical="top" wrapText="1"/>
    </xf>
    <xf numFmtId="164" fontId="10" fillId="4" borderId="18" xfId="0" applyNumberFormat="1" applyFont="1" applyFill="1" applyBorder="1" applyAlignment="1">
      <alignment horizontal="center" vertical="top" wrapText="1"/>
    </xf>
    <xf numFmtId="164" fontId="10" fillId="4" borderId="7" xfId="0" applyNumberFormat="1" applyFont="1" applyFill="1" applyBorder="1" applyAlignment="1">
      <alignment horizontal="center" vertical="top" wrapText="1"/>
    </xf>
    <xf numFmtId="3" fontId="10" fillId="3" borderId="6" xfId="0" applyNumberFormat="1" applyFont="1" applyFill="1" applyBorder="1" applyAlignment="1">
      <alignment horizontal="center" vertical="top"/>
    </xf>
    <xf numFmtId="164" fontId="10" fillId="0" borderId="59" xfId="0" applyNumberFormat="1" applyFont="1" applyFill="1" applyBorder="1" applyAlignment="1">
      <alignment horizontal="center" vertical="top"/>
    </xf>
    <xf numFmtId="164" fontId="10" fillId="0" borderId="28" xfId="0" applyNumberFormat="1" applyFont="1" applyFill="1" applyBorder="1" applyAlignment="1">
      <alignment horizontal="center" vertical="top"/>
    </xf>
    <xf numFmtId="164" fontId="10" fillId="4" borderId="27" xfId="0" applyNumberFormat="1" applyFont="1" applyFill="1" applyBorder="1" applyAlignment="1">
      <alignment horizontal="center" vertical="top"/>
    </xf>
    <xf numFmtId="164" fontId="10" fillId="4" borderId="28" xfId="0" applyNumberFormat="1" applyFont="1" applyFill="1" applyBorder="1" applyAlignment="1">
      <alignment horizontal="center" vertical="top"/>
    </xf>
    <xf numFmtId="164" fontId="10" fillId="4" borderId="67" xfId="0" applyNumberFormat="1" applyFont="1" applyFill="1" applyBorder="1" applyAlignment="1">
      <alignment horizontal="center" vertical="top"/>
    </xf>
    <xf numFmtId="0" fontId="10" fillId="4" borderId="7" xfId="0" applyFont="1" applyFill="1" applyBorder="1" applyAlignment="1">
      <alignment horizontal="center" vertical="top" wrapText="1"/>
    </xf>
    <xf numFmtId="164" fontId="10" fillId="4" borderId="19" xfId="0" applyNumberFormat="1" applyFont="1" applyFill="1" applyBorder="1" applyAlignment="1">
      <alignment horizontal="center" vertical="top" wrapText="1"/>
    </xf>
    <xf numFmtId="164" fontId="10" fillId="4" borderId="69" xfId="0" applyNumberFormat="1" applyFont="1" applyFill="1" applyBorder="1" applyAlignment="1">
      <alignment horizontal="center" vertical="top" wrapText="1"/>
    </xf>
    <xf numFmtId="164" fontId="10" fillId="4" borderId="70" xfId="0" applyNumberFormat="1" applyFont="1" applyFill="1" applyBorder="1" applyAlignment="1">
      <alignment horizontal="center" vertical="top"/>
    </xf>
    <xf numFmtId="164" fontId="10" fillId="4" borderId="42" xfId="0" applyNumberFormat="1" applyFont="1" applyFill="1" applyBorder="1" applyAlignment="1">
      <alignment horizontal="center" vertical="top"/>
    </xf>
    <xf numFmtId="164" fontId="10" fillId="4" borderId="15" xfId="0" applyNumberFormat="1" applyFont="1" applyFill="1" applyBorder="1" applyAlignment="1">
      <alignment horizontal="center" vertical="top"/>
    </xf>
    <xf numFmtId="164" fontId="10" fillId="4" borderId="26" xfId="0" applyNumberFormat="1" applyFont="1" applyFill="1" applyBorder="1" applyAlignment="1">
      <alignment horizontal="center" vertical="top"/>
    </xf>
    <xf numFmtId="164" fontId="10" fillId="4" borderId="66" xfId="0" applyNumberFormat="1" applyFont="1" applyFill="1" applyBorder="1" applyAlignment="1">
      <alignment horizontal="center" vertical="top"/>
    </xf>
    <xf numFmtId="164" fontId="10" fillId="4" borderId="65" xfId="0" applyNumberFormat="1" applyFont="1" applyFill="1" applyBorder="1" applyAlignment="1">
      <alignment horizontal="center" vertical="top"/>
    </xf>
    <xf numFmtId="164" fontId="10" fillId="4" borderId="77" xfId="0" applyNumberFormat="1" applyFont="1" applyFill="1" applyBorder="1" applyAlignment="1">
      <alignment horizontal="center" vertical="top"/>
    </xf>
    <xf numFmtId="164" fontId="10" fillId="4" borderId="34" xfId="0" applyNumberFormat="1" applyFont="1" applyFill="1" applyBorder="1" applyAlignment="1">
      <alignment horizontal="center" vertical="top"/>
    </xf>
    <xf numFmtId="3" fontId="1" fillId="3" borderId="9" xfId="0" applyNumberFormat="1" applyFont="1" applyFill="1" applyBorder="1" applyAlignment="1">
      <alignment horizontal="center" vertical="top"/>
    </xf>
    <xf numFmtId="3" fontId="10" fillId="4" borderId="2" xfId="0" applyNumberFormat="1" applyFont="1" applyFill="1" applyBorder="1" applyAlignment="1">
      <alignment horizontal="center" vertical="top"/>
    </xf>
    <xf numFmtId="3" fontId="10" fillId="4" borderId="6" xfId="0" applyNumberFormat="1" applyFont="1" applyFill="1" applyBorder="1" applyAlignment="1">
      <alignment horizontal="center" vertical="top"/>
    </xf>
    <xf numFmtId="3" fontId="10" fillId="4" borderId="5" xfId="0" applyNumberFormat="1" applyFont="1" applyFill="1" applyBorder="1" applyAlignment="1">
      <alignment horizontal="center" vertical="top"/>
    </xf>
    <xf numFmtId="3" fontId="10" fillId="4" borderId="2" xfId="0" applyNumberFormat="1" applyFont="1" applyFill="1" applyBorder="1" applyAlignment="1">
      <alignment horizontal="center" vertical="top" wrapText="1"/>
    </xf>
    <xf numFmtId="3" fontId="10" fillId="4" borderId="49" xfId="0" applyNumberFormat="1" applyFont="1" applyFill="1" applyBorder="1" applyAlignment="1">
      <alignment horizontal="center" vertical="top" wrapText="1"/>
    </xf>
    <xf numFmtId="164" fontId="10" fillId="4" borderId="61" xfId="0" applyNumberFormat="1" applyFont="1" applyFill="1" applyBorder="1" applyAlignment="1">
      <alignment horizontal="center" vertical="top"/>
    </xf>
    <xf numFmtId="3" fontId="10" fillId="4" borderId="6" xfId="0" applyNumberFormat="1" applyFont="1" applyFill="1" applyBorder="1" applyAlignment="1">
      <alignment horizontal="center" vertical="top" wrapText="1"/>
    </xf>
    <xf numFmtId="164" fontId="2" fillId="5" borderId="69" xfId="0" applyNumberFormat="1" applyFont="1" applyFill="1" applyBorder="1" applyAlignment="1">
      <alignment horizontal="center" vertical="top" wrapText="1"/>
    </xf>
    <xf numFmtId="3" fontId="10" fillId="0" borderId="66" xfId="0" applyNumberFormat="1" applyFont="1" applyBorder="1" applyAlignment="1">
      <alignment vertical="top"/>
    </xf>
    <xf numFmtId="164" fontId="4" fillId="0" borderId="66" xfId="0" applyNumberFormat="1" applyFont="1" applyFill="1" applyBorder="1" applyAlignment="1">
      <alignment horizontal="center" vertical="top"/>
    </xf>
    <xf numFmtId="164" fontId="4" fillId="0" borderId="36" xfId="0" applyNumberFormat="1" applyFont="1" applyFill="1" applyBorder="1" applyAlignment="1">
      <alignment horizontal="center" vertical="top"/>
    </xf>
    <xf numFmtId="164" fontId="4" fillId="0" borderId="26" xfId="0" applyNumberFormat="1" applyFont="1" applyFill="1" applyBorder="1" applyAlignment="1">
      <alignment horizontal="center" vertical="top"/>
    </xf>
    <xf numFmtId="164" fontId="4" fillId="0" borderId="59" xfId="0" applyNumberFormat="1" applyFont="1" applyFill="1" applyBorder="1" applyAlignment="1">
      <alignment horizontal="center" vertical="top"/>
    </xf>
    <xf numFmtId="3" fontId="5" fillId="0" borderId="18" xfId="0" applyNumberFormat="1" applyFont="1" applyFill="1" applyBorder="1" applyAlignment="1">
      <alignment horizontal="center" vertical="top" textRotation="90" wrapText="1"/>
    </xf>
    <xf numFmtId="49" fontId="5" fillId="3" borderId="18" xfId="0" applyNumberFormat="1" applyFont="1" applyFill="1" applyBorder="1" applyAlignment="1">
      <alignment horizontal="center" vertical="top"/>
    </xf>
    <xf numFmtId="3" fontId="15" fillId="4" borderId="37" xfId="0" applyNumberFormat="1" applyFont="1" applyFill="1" applyBorder="1" applyAlignment="1">
      <alignment horizontal="center" vertical="top"/>
    </xf>
    <xf numFmtId="3" fontId="6" fillId="0" borderId="18" xfId="0" applyNumberFormat="1" applyFont="1" applyFill="1" applyBorder="1" applyAlignment="1">
      <alignment horizontal="left" vertical="top" wrapText="1"/>
    </xf>
    <xf numFmtId="3" fontId="4" fillId="0" borderId="62" xfId="0" applyNumberFormat="1" applyFont="1" applyBorder="1" applyAlignment="1">
      <alignment vertical="top"/>
    </xf>
    <xf numFmtId="3" fontId="4" fillId="0" borderId="42" xfId="0" applyNumberFormat="1" applyFont="1" applyBorder="1" applyAlignment="1">
      <alignment vertical="top"/>
    </xf>
    <xf numFmtId="3" fontId="4" fillId="0" borderId="15" xfId="0" applyNumberFormat="1" applyFont="1" applyBorder="1" applyAlignment="1">
      <alignment vertical="top"/>
    </xf>
    <xf numFmtId="3" fontId="4" fillId="0" borderId="59" xfId="0" applyNumberFormat="1" applyFont="1" applyBorder="1" applyAlignment="1">
      <alignment vertical="top"/>
    </xf>
    <xf numFmtId="3" fontId="4" fillId="0" borderId="28" xfId="0" applyNumberFormat="1" applyFont="1" applyBorder="1" applyAlignment="1">
      <alignment vertical="top"/>
    </xf>
    <xf numFmtId="3" fontId="4" fillId="4" borderId="17" xfId="0" applyNumberFormat="1" applyFont="1" applyFill="1" applyBorder="1" applyAlignment="1">
      <alignment vertical="top" wrapText="1"/>
    </xf>
    <xf numFmtId="3" fontId="4" fillId="0" borderId="61" xfId="0" applyNumberFormat="1" applyFont="1" applyBorder="1" applyAlignment="1">
      <alignment horizontal="center" vertical="top"/>
    </xf>
    <xf numFmtId="164" fontId="18" fillId="4" borderId="27" xfId="0" applyNumberFormat="1" applyFont="1" applyFill="1" applyBorder="1" applyAlignment="1">
      <alignment horizontal="center" vertical="top"/>
    </xf>
    <xf numFmtId="164" fontId="4" fillId="4" borderId="37" xfId="0" applyNumberFormat="1" applyFont="1" applyFill="1" applyBorder="1" applyAlignment="1">
      <alignment horizontal="center" vertical="top"/>
    </xf>
    <xf numFmtId="164" fontId="4" fillId="4" borderId="59" xfId="0" applyNumberFormat="1" applyFont="1" applyFill="1" applyBorder="1" applyAlignment="1">
      <alignment horizontal="center" vertical="top"/>
    </xf>
    <xf numFmtId="164" fontId="1" fillId="4" borderId="40" xfId="0" applyNumberFormat="1" applyFont="1" applyFill="1" applyBorder="1" applyAlignment="1">
      <alignment horizontal="center" vertical="top"/>
    </xf>
    <xf numFmtId="3" fontId="10" fillId="0" borderId="65" xfId="0" applyNumberFormat="1" applyFont="1" applyBorder="1" applyAlignment="1">
      <alignment horizontal="center" vertical="top"/>
    </xf>
    <xf numFmtId="3" fontId="10" fillId="4" borderId="61" xfId="0" applyNumberFormat="1" applyFont="1" applyFill="1" applyBorder="1" applyAlignment="1">
      <alignment horizontal="center" vertical="top"/>
    </xf>
    <xf numFmtId="3" fontId="15" fillId="4" borderId="53" xfId="0" applyNumberFormat="1" applyFont="1" applyFill="1" applyBorder="1" applyAlignment="1">
      <alignment horizontal="center" vertical="top"/>
    </xf>
    <xf numFmtId="3" fontId="1" fillId="4" borderId="22" xfId="0" applyNumberFormat="1" applyFont="1" applyFill="1" applyBorder="1" applyAlignment="1">
      <alignment horizontal="center" vertical="top"/>
    </xf>
    <xf numFmtId="3" fontId="2" fillId="0" borderId="13" xfId="0" applyNumberFormat="1" applyFont="1" applyFill="1" applyBorder="1" applyAlignment="1">
      <alignment vertical="top" textRotation="90" wrapText="1"/>
    </xf>
    <xf numFmtId="3" fontId="2" fillId="0" borderId="19" xfId="0" applyNumberFormat="1" applyFont="1" applyFill="1" applyBorder="1" applyAlignment="1">
      <alignment vertical="top" wrapText="1"/>
    </xf>
    <xf numFmtId="3" fontId="2" fillId="0" borderId="59" xfId="0" applyNumberFormat="1" applyFont="1" applyFill="1" applyBorder="1" applyAlignment="1">
      <alignment vertical="top" wrapText="1"/>
    </xf>
    <xf numFmtId="49" fontId="2" fillId="3" borderId="18" xfId="0" applyNumberFormat="1" applyFont="1" applyFill="1" applyBorder="1" applyAlignment="1">
      <alignment horizontal="center" vertical="top"/>
    </xf>
    <xf numFmtId="3" fontId="2" fillId="4" borderId="32" xfId="0" applyNumberFormat="1" applyFont="1" applyFill="1" applyBorder="1" applyAlignment="1">
      <alignment horizontal="center" vertical="top"/>
    </xf>
    <xf numFmtId="3" fontId="1" fillId="4" borderId="8"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wrapText="1"/>
    </xf>
    <xf numFmtId="3" fontId="1" fillId="0" borderId="0" xfId="0" applyNumberFormat="1" applyFont="1" applyBorder="1" applyAlignment="1">
      <alignment horizontal="center" vertical="top"/>
    </xf>
    <xf numFmtId="3" fontId="4" fillId="0" borderId="18" xfId="0" applyNumberFormat="1" applyFont="1" applyFill="1" applyBorder="1" applyAlignment="1">
      <alignment horizontal="left" vertical="top" wrapText="1"/>
    </xf>
    <xf numFmtId="3" fontId="1" fillId="4" borderId="6" xfId="0" applyNumberFormat="1" applyFont="1" applyFill="1" applyBorder="1" applyAlignment="1">
      <alignment horizontal="left" vertical="top" wrapText="1"/>
    </xf>
    <xf numFmtId="3" fontId="4" fillId="4" borderId="42" xfId="0" applyNumberFormat="1" applyFont="1" applyFill="1" applyBorder="1" applyAlignment="1">
      <alignment horizontal="left" vertical="top" wrapText="1"/>
    </xf>
    <xf numFmtId="3" fontId="1" fillId="3" borderId="59" xfId="0" applyNumberFormat="1" applyFont="1" applyFill="1" applyBorder="1" applyAlignment="1">
      <alignment horizontal="left" vertical="top" wrapText="1"/>
    </xf>
    <xf numFmtId="3" fontId="4" fillId="4" borderId="59" xfId="0" applyNumberFormat="1" applyFont="1" applyFill="1" applyBorder="1" applyAlignment="1">
      <alignment horizontal="left" vertical="top" wrapText="1"/>
    </xf>
    <xf numFmtId="49" fontId="2" fillId="2" borderId="18" xfId="0" applyNumberFormat="1" applyFont="1" applyFill="1" applyBorder="1" applyAlignment="1">
      <alignment horizontal="center" vertical="top"/>
    </xf>
    <xf numFmtId="3" fontId="2" fillId="2" borderId="12" xfId="0" applyNumberFormat="1" applyFont="1" applyFill="1" applyBorder="1" applyAlignment="1">
      <alignment horizontal="center" vertical="top"/>
    </xf>
    <xf numFmtId="3" fontId="1" fillId="4" borderId="16" xfId="0" applyNumberFormat="1" applyFont="1" applyFill="1" applyBorder="1" applyAlignment="1">
      <alignment horizontal="left" vertical="top" wrapText="1"/>
    </xf>
    <xf numFmtId="3" fontId="1" fillId="4" borderId="56" xfId="0" applyNumberFormat="1" applyFont="1" applyFill="1" applyBorder="1" applyAlignment="1">
      <alignment horizontal="left" vertical="top" wrapText="1"/>
    </xf>
    <xf numFmtId="3" fontId="1" fillId="4" borderId="13" xfId="0" applyNumberFormat="1" applyFont="1" applyFill="1" applyBorder="1" applyAlignment="1">
      <alignment horizontal="left" vertical="top" wrapText="1"/>
    </xf>
    <xf numFmtId="3" fontId="1" fillId="4" borderId="19" xfId="0" applyNumberFormat="1" applyFont="1" applyFill="1" applyBorder="1" applyAlignment="1">
      <alignment horizontal="left" vertical="top" wrapText="1"/>
    </xf>
    <xf numFmtId="3" fontId="2" fillId="0" borderId="13" xfId="0" applyNumberFormat="1" applyFont="1" applyFill="1" applyBorder="1" applyAlignment="1">
      <alignment horizontal="center" vertical="top" textRotation="90" wrapText="1"/>
    </xf>
    <xf numFmtId="3" fontId="2" fillId="0" borderId="18" xfId="0" applyNumberFormat="1" applyFont="1" applyFill="1" applyBorder="1" applyAlignment="1">
      <alignment horizontal="center" vertical="top" textRotation="90" wrapText="1"/>
    </xf>
    <xf numFmtId="49" fontId="2" fillId="8" borderId="16" xfId="0" applyNumberFormat="1" applyFont="1" applyFill="1" applyBorder="1" applyAlignment="1">
      <alignment horizontal="center" vertical="top"/>
    </xf>
    <xf numFmtId="49" fontId="2" fillId="8" borderId="56" xfId="0" applyNumberFormat="1" applyFont="1" applyFill="1" applyBorder="1" applyAlignment="1">
      <alignment horizontal="center" vertical="top"/>
    </xf>
    <xf numFmtId="3" fontId="2" fillId="0" borderId="19" xfId="0" applyNumberFormat="1" applyFont="1" applyFill="1" applyBorder="1" applyAlignment="1">
      <alignment horizontal="center" vertical="top" textRotation="90" wrapText="1"/>
    </xf>
    <xf numFmtId="3" fontId="1" fillId="4" borderId="61" xfId="0" applyNumberFormat="1" applyFont="1" applyFill="1" applyBorder="1" applyAlignment="1">
      <alignment horizontal="left" vertical="top" wrapText="1"/>
    </xf>
    <xf numFmtId="3" fontId="1" fillId="4" borderId="62" xfId="0" applyNumberFormat="1" applyFont="1" applyFill="1" applyBorder="1" applyAlignment="1">
      <alignment horizontal="left" vertical="top" wrapText="1"/>
    </xf>
    <xf numFmtId="3" fontId="1" fillId="4" borderId="59" xfId="0" applyNumberFormat="1" applyFont="1" applyFill="1" applyBorder="1" applyAlignment="1">
      <alignment horizontal="left" vertical="top" wrapText="1"/>
    </xf>
    <xf numFmtId="3" fontId="1" fillId="4" borderId="42" xfId="0" applyNumberFormat="1" applyFont="1" applyFill="1" applyBorder="1" applyAlignment="1">
      <alignment horizontal="left" vertical="top" wrapText="1"/>
    </xf>
    <xf numFmtId="3" fontId="1" fillId="4" borderId="10" xfId="0" applyNumberFormat="1" applyFont="1" applyFill="1" applyBorder="1" applyAlignment="1">
      <alignment horizontal="left" vertical="top" wrapText="1"/>
    </xf>
    <xf numFmtId="3" fontId="1" fillId="0" borderId="0" xfId="0" applyNumberFormat="1" applyFont="1" applyFill="1" applyBorder="1" applyAlignment="1">
      <alignment horizontal="center" vertical="top" wrapText="1"/>
    </xf>
    <xf numFmtId="3" fontId="2" fillId="0" borderId="18" xfId="0" applyNumberFormat="1" applyFont="1" applyBorder="1" applyAlignment="1">
      <alignment horizontal="center" vertical="top"/>
    </xf>
    <xf numFmtId="3" fontId="2" fillId="0" borderId="32" xfId="0" applyNumberFormat="1" applyFont="1" applyBorder="1" applyAlignment="1">
      <alignment horizontal="center" vertical="top"/>
    </xf>
    <xf numFmtId="3" fontId="2" fillId="4" borderId="13" xfId="0" applyNumberFormat="1" applyFont="1" applyFill="1" applyBorder="1" applyAlignment="1">
      <alignment horizontal="left" vertical="top" wrapText="1"/>
    </xf>
    <xf numFmtId="3" fontId="2" fillId="4" borderId="18" xfId="0" applyNumberFormat="1" applyFont="1" applyFill="1" applyBorder="1" applyAlignment="1">
      <alignment horizontal="left" vertical="top" wrapText="1"/>
    </xf>
    <xf numFmtId="3" fontId="5" fillId="4" borderId="42" xfId="0" applyNumberFormat="1" applyFont="1" applyFill="1" applyBorder="1" applyAlignment="1">
      <alignment horizontal="left" vertical="top" wrapText="1"/>
    </xf>
    <xf numFmtId="3" fontId="4" fillId="4" borderId="18" xfId="0" applyNumberFormat="1" applyFont="1" applyFill="1" applyBorder="1" applyAlignment="1">
      <alignment horizontal="left" vertical="top" wrapText="1"/>
    </xf>
    <xf numFmtId="3" fontId="2" fillId="4" borderId="59" xfId="0" applyNumberFormat="1" applyFont="1" applyFill="1" applyBorder="1" applyAlignment="1">
      <alignment horizontal="left" vertical="top" wrapText="1"/>
    </xf>
    <xf numFmtId="3" fontId="1" fillId="4" borderId="17" xfId="0" applyNumberFormat="1" applyFont="1" applyFill="1" applyBorder="1" applyAlignment="1">
      <alignment horizontal="left" vertical="top" wrapText="1"/>
    </xf>
    <xf numFmtId="49" fontId="2" fillId="3" borderId="64" xfId="0" applyNumberFormat="1" applyFont="1" applyFill="1" applyBorder="1" applyAlignment="1">
      <alignment horizontal="center" vertical="top"/>
    </xf>
    <xf numFmtId="49" fontId="2" fillId="3" borderId="68" xfId="0" applyNumberFormat="1" applyFont="1" applyFill="1" applyBorder="1" applyAlignment="1">
      <alignment horizontal="center" vertical="top"/>
    </xf>
    <xf numFmtId="3" fontId="2" fillId="0" borderId="78" xfId="0" applyNumberFormat="1" applyFont="1" applyFill="1" applyBorder="1" applyAlignment="1">
      <alignment horizontal="center" vertical="top" textRotation="90" wrapText="1"/>
    </xf>
    <xf numFmtId="3" fontId="2" fillId="0" borderId="75" xfId="0" applyNumberFormat="1" applyFont="1" applyFill="1" applyBorder="1" applyAlignment="1">
      <alignment horizontal="center" vertical="top" textRotation="90" wrapText="1"/>
    </xf>
    <xf numFmtId="3" fontId="2" fillId="4" borderId="68" xfId="0" applyNumberFormat="1" applyFont="1" applyFill="1" applyBorder="1" applyAlignment="1">
      <alignment horizontal="center" vertical="top"/>
    </xf>
    <xf numFmtId="3" fontId="2" fillId="0" borderId="64" xfId="0" applyNumberFormat="1" applyFont="1" applyFill="1" applyBorder="1" applyAlignment="1">
      <alignment horizontal="center" vertical="top"/>
    </xf>
    <xf numFmtId="3" fontId="2" fillId="0" borderId="68" xfId="0" applyNumberFormat="1" applyFont="1" applyFill="1" applyBorder="1" applyAlignment="1">
      <alignment horizontal="center" vertical="top"/>
    </xf>
    <xf numFmtId="49" fontId="5" fillId="8" borderId="40" xfId="0" applyNumberFormat="1" applyFont="1" applyFill="1" applyBorder="1" applyAlignment="1">
      <alignment horizontal="center" vertical="top"/>
    </xf>
    <xf numFmtId="49" fontId="2" fillId="3" borderId="32" xfId="0" applyNumberFormat="1" applyFont="1" applyFill="1" applyBorder="1" applyAlignment="1">
      <alignment horizontal="center" vertical="top"/>
    </xf>
    <xf numFmtId="3" fontId="2" fillId="0" borderId="67" xfId="0" applyNumberFormat="1" applyFont="1" applyFill="1" applyBorder="1" applyAlignment="1">
      <alignment horizontal="center" vertical="top" textRotation="90" wrapText="1"/>
    </xf>
    <xf numFmtId="3" fontId="2" fillId="0" borderId="32" xfId="0" applyNumberFormat="1" applyFont="1" applyFill="1" applyBorder="1" applyAlignment="1">
      <alignment horizontal="center" vertical="top"/>
    </xf>
    <xf numFmtId="164" fontId="1" fillId="4" borderId="17"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3" fontId="4" fillId="0" borderId="8" xfId="0" applyNumberFormat="1" applyFont="1" applyFill="1" applyBorder="1" applyAlignment="1">
      <alignment horizontal="center" vertical="top" wrapText="1"/>
    </xf>
    <xf numFmtId="164" fontId="4" fillId="4" borderId="0" xfId="0" applyNumberFormat="1" applyFont="1" applyFill="1" applyBorder="1" applyAlignment="1">
      <alignment horizontal="center" vertical="top"/>
    </xf>
    <xf numFmtId="3" fontId="4" fillId="4" borderId="61" xfId="0" applyNumberFormat="1" applyFont="1" applyFill="1" applyBorder="1" applyAlignment="1">
      <alignment horizontal="left" vertical="top" wrapText="1"/>
    </xf>
    <xf numFmtId="3" fontId="4" fillId="4" borderId="17" xfId="0" applyNumberFormat="1" applyFont="1" applyFill="1" applyBorder="1" applyAlignment="1">
      <alignment horizontal="left" vertical="top" wrapText="1"/>
    </xf>
    <xf numFmtId="3" fontId="5" fillId="0" borderId="67" xfId="0" applyNumberFormat="1" applyFont="1" applyFill="1" applyBorder="1" applyAlignment="1">
      <alignment horizontal="center" vertical="top" textRotation="90" wrapText="1"/>
    </xf>
    <xf numFmtId="3" fontId="5" fillId="0" borderId="32" xfId="0" applyNumberFormat="1" applyFont="1" applyBorder="1" applyAlignment="1">
      <alignment horizontal="center" vertical="top"/>
    </xf>
    <xf numFmtId="3" fontId="4" fillId="4" borderId="61" xfId="0" applyNumberFormat="1" applyFont="1" applyFill="1" applyBorder="1" applyAlignment="1">
      <alignment horizontal="center" vertical="top"/>
    </xf>
    <xf numFmtId="3" fontId="4" fillId="4" borderId="17" xfId="0" applyNumberFormat="1" applyFont="1" applyFill="1" applyBorder="1" applyAlignment="1">
      <alignment horizontal="center" vertical="top"/>
    </xf>
    <xf numFmtId="3" fontId="4" fillId="4" borderId="33" xfId="0" applyNumberFormat="1" applyFont="1" applyFill="1" applyBorder="1" applyAlignment="1">
      <alignment horizontal="center" vertical="top"/>
    </xf>
    <xf numFmtId="3" fontId="4" fillId="4" borderId="32" xfId="0" applyNumberFormat="1" applyFont="1" applyFill="1" applyBorder="1" applyAlignment="1">
      <alignment horizontal="center" vertical="top"/>
    </xf>
    <xf numFmtId="3" fontId="4" fillId="4" borderId="39" xfId="0" applyNumberFormat="1" applyFont="1" applyFill="1" applyBorder="1" applyAlignment="1">
      <alignment horizontal="center" vertical="top"/>
    </xf>
    <xf numFmtId="3" fontId="4" fillId="4" borderId="31" xfId="0" applyNumberFormat="1" applyFont="1" applyFill="1" applyBorder="1" applyAlignment="1">
      <alignment horizontal="center" vertical="top"/>
    </xf>
    <xf numFmtId="49" fontId="5" fillId="2" borderId="18" xfId="0" applyNumberFormat="1" applyFont="1" applyFill="1" applyBorder="1" applyAlignment="1">
      <alignment horizontal="center" vertical="top"/>
    </xf>
    <xf numFmtId="49" fontId="5" fillId="3" borderId="32" xfId="0" applyNumberFormat="1" applyFont="1" applyFill="1" applyBorder="1" applyAlignment="1">
      <alignment horizontal="center" vertical="top"/>
    </xf>
    <xf numFmtId="49" fontId="5" fillId="3" borderId="0" xfId="0" applyNumberFormat="1" applyFont="1" applyFill="1" applyBorder="1" applyAlignment="1">
      <alignment horizontal="center" vertical="top"/>
    </xf>
    <xf numFmtId="3" fontId="4" fillId="4" borderId="0" xfId="0" applyNumberFormat="1" applyFont="1" applyFill="1" applyBorder="1" applyAlignment="1">
      <alignment horizontal="center" vertical="top" wrapText="1"/>
    </xf>
    <xf numFmtId="3" fontId="4" fillId="4" borderId="62" xfId="0" applyNumberFormat="1" applyFont="1" applyFill="1" applyBorder="1" applyAlignment="1">
      <alignment horizontal="left" vertical="top" wrapText="1"/>
    </xf>
    <xf numFmtId="3" fontId="4" fillId="4" borderId="65" xfId="0" applyNumberFormat="1" applyFont="1" applyFill="1" applyBorder="1" applyAlignment="1">
      <alignment horizontal="left" vertical="top" wrapText="1"/>
    </xf>
    <xf numFmtId="164" fontId="4" fillId="4" borderId="18" xfId="0" applyNumberFormat="1" applyFont="1" applyFill="1" applyBorder="1" applyAlignment="1">
      <alignment horizontal="center" vertical="top"/>
    </xf>
    <xf numFmtId="164" fontId="1" fillId="4" borderId="18" xfId="0" applyNumberFormat="1" applyFont="1" applyFill="1" applyBorder="1" applyAlignment="1">
      <alignment horizontal="center" vertical="top"/>
    </xf>
    <xf numFmtId="3" fontId="4" fillId="0" borderId="0" xfId="0" applyNumberFormat="1" applyFont="1" applyAlignment="1">
      <alignment vertical="top"/>
    </xf>
    <xf numFmtId="3" fontId="1" fillId="4" borderId="8" xfId="0" applyNumberFormat="1" applyFont="1" applyFill="1" applyBorder="1" applyAlignment="1">
      <alignment horizontal="left" vertical="top" wrapText="1"/>
    </xf>
    <xf numFmtId="3" fontId="4" fillId="4" borderId="5" xfId="0" applyNumberFormat="1" applyFont="1" applyFill="1" applyBorder="1" applyAlignment="1">
      <alignment horizontal="left" vertical="top" wrapText="1"/>
    </xf>
    <xf numFmtId="3" fontId="4" fillId="4" borderId="60" xfId="0" applyNumberFormat="1" applyFont="1" applyFill="1" applyBorder="1" applyAlignment="1">
      <alignment horizontal="center" vertical="top"/>
    </xf>
    <xf numFmtId="3" fontId="1" fillId="0" borderId="51" xfId="0" applyNumberFormat="1" applyFont="1" applyBorder="1" applyAlignment="1">
      <alignment horizontal="center" vertical="top"/>
    </xf>
    <xf numFmtId="3" fontId="4" fillId="0" borderId="8" xfId="0" applyNumberFormat="1" applyFont="1" applyBorder="1" applyAlignment="1">
      <alignment horizontal="left" vertical="top" wrapText="1"/>
    </xf>
    <xf numFmtId="49" fontId="4" fillId="4" borderId="17" xfId="0" applyNumberFormat="1" applyFont="1" applyFill="1" applyBorder="1" applyAlignment="1">
      <alignment horizontal="left" vertical="top" wrapText="1"/>
    </xf>
    <xf numFmtId="3" fontId="2" fillId="4" borderId="42" xfId="0" applyNumberFormat="1" applyFont="1" applyFill="1" applyBorder="1" applyAlignment="1">
      <alignment horizontal="center" vertical="top"/>
    </xf>
    <xf numFmtId="3" fontId="2" fillId="4" borderId="53" xfId="0" applyNumberFormat="1" applyFont="1" applyFill="1" applyBorder="1" applyAlignment="1">
      <alignment horizontal="center" vertical="top"/>
    </xf>
    <xf numFmtId="3" fontId="1" fillId="0" borderId="62" xfId="0" applyNumberFormat="1" applyFont="1" applyFill="1" applyBorder="1" applyAlignment="1">
      <alignment horizontal="center" vertical="top" wrapText="1"/>
    </xf>
    <xf numFmtId="3" fontId="18" fillId="4" borderId="18" xfId="0" applyNumberFormat="1" applyFont="1" applyFill="1" applyBorder="1" applyAlignment="1">
      <alignment horizontal="left" vertical="top" wrapText="1"/>
    </xf>
    <xf numFmtId="3" fontId="4" fillId="4" borderId="59" xfId="0" applyNumberFormat="1" applyFont="1" applyFill="1" applyBorder="1" applyAlignment="1">
      <alignment horizontal="left" vertical="top" wrapText="1"/>
    </xf>
    <xf numFmtId="3" fontId="2" fillId="4" borderId="59" xfId="0" applyNumberFormat="1" applyFont="1" applyFill="1" applyBorder="1" applyAlignment="1">
      <alignment horizontal="center" vertical="top"/>
    </xf>
    <xf numFmtId="3" fontId="2" fillId="4" borderId="33" xfId="0" applyNumberFormat="1" applyFont="1" applyFill="1" applyBorder="1" applyAlignment="1">
      <alignment horizontal="center" vertical="top"/>
    </xf>
    <xf numFmtId="0" fontId="4" fillId="4" borderId="17" xfId="0" applyFont="1" applyFill="1" applyBorder="1" applyAlignment="1">
      <alignment vertical="top" wrapText="1"/>
    </xf>
    <xf numFmtId="0" fontId="4" fillId="4" borderId="40" xfId="0" applyFont="1" applyFill="1" applyBorder="1" applyAlignment="1">
      <alignment horizontal="center" vertical="top"/>
    </xf>
    <xf numFmtId="3" fontId="10" fillId="0" borderId="51" xfId="0" applyNumberFormat="1" applyFont="1" applyBorder="1" applyAlignment="1">
      <alignment vertical="top"/>
    </xf>
    <xf numFmtId="164" fontId="4" fillId="4" borderId="78" xfId="0" applyNumberFormat="1" applyFont="1" applyFill="1" applyBorder="1" applyAlignment="1">
      <alignment horizontal="center" vertical="top"/>
    </xf>
    <xf numFmtId="164" fontId="4" fillId="4" borderId="70" xfId="0" applyNumberFormat="1" applyFont="1" applyFill="1" applyBorder="1" applyAlignment="1">
      <alignment horizontal="center" vertical="top"/>
    </xf>
    <xf numFmtId="164" fontId="4" fillId="4" borderId="67" xfId="0" applyNumberFormat="1" applyFont="1" applyFill="1" applyBorder="1" applyAlignment="1">
      <alignment horizontal="center" vertical="top"/>
    </xf>
    <xf numFmtId="164" fontId="4" fillId="4" borderId="67" xfId="0" applyNumberFormat="1" applyFont="1" applyFill="1" applyBorder="1" applyAlignment="1">
      <alignment horizontal="center" vertical="top" wrapText="1"/>
    </xf>
    <xf numFmtId="0" fontId="4" fillId="4" borderId="63" xfId="0" applyFont="1" applyFill="1" applyBorder="1" applyAlignment="1">
      <alignment horizontal="center" vertical="top" wrapText="1"/>
    </xf>
    <xf numFmtId="164" fontId="5" fillId="5" borderId="79" xfId="0" applyNumberFormat="1" applyFont="1" applyFill="1" applyBorder="1" applyAlignment="1">
      <alignment horizontal="center" vertical="top" wrapText="1"/>
    </xf>
    <xf numFmtId="164" fontId="4" fillId="0" borderId="67" xfId="0" applyNumberFormat="1" applyFont="1" applyFill="1" applyBorder="1" applyAlignment="1">
      <alignment horizontal="center" vertical="top"/>
    </xf>
    <xf numFmtId="164" fontId="4" fillId="4" borderId="57" xfId="0" applyNumberFormat="1" applyFont="1" applyFill="1" applyBorder="1" applyAlignment="1">
      <alignment horizontal="center" vertical="top"/>
    </xf>
    <xf numFmtId="164" fontId="2" fillId="5" borderId="45" xfId="0" applyNumberFormat="1" applyFont="1" applyFill="1" applyBorder="1" applyAlignment="1">
      <alignment horizontal="center" vertical="top" wrapText="1"/>
    </xf>
    <xf numFmtId="164" fontId="5" fillId="5" borderId="44" xfId="0" applyNumberFormat="1" applyFont="1" applyFill="1" applyBorder="1" applyAlignment="1">
      <alignment horizontal="center" vertical="top" wrapText="1"/>
    </xf>
    <xf numFmtId="164" fontId="4" fillId="0" borderId="73" xfId="0" applyNumberFormat="1" applyFont="1" applyFill="1" applyBorder="1" applyAlignment="1">
      <alignment horizontal="center" vertical="top"/>
    </xf>
    <xf numFmtId="0" fontId="15" fillId="4" borderId="42" xfId="0" applyFont="1" applyFill="1" applyBorder="1" applyAlignment="1">
      <alignment vertical="top" wrapText="1"/>
    </xf>
    <xf numFmtId="0" fontId="14" fillId="4" borderId="59" xfId="0" applyFont="1" applyFill="1" applyBorder="1" applyAlignment="1">
      <alignment horizontal="left" vertical="top" wrapText="1"/>
    </xf>
    <xf numFmtId="164" fontId="5" fillId="5" borderId="48" xfId="0" applyNumberFormat="1" applyFont="1" applyFill="1" applyBorder="1" applyAlignment="1">
      <alignment horizontal="center" vertical="top"/>
    </xf>
    <xf numFmtId="164" fontId="5" fillId="5" borderId="44" xfId="0" applyNumberFormat="1" applyFont="1" applyFill="1" applyBorder="1" applyAlignment="1">
      <alignment horizontal="center" vertical="top"/>
    </xf>
    <xf numFmtId="164" fontId="14" fillId="3" borderId="24" xfId="0" applyNumberFormat="1" applyFont="1" applyFill="1" applyBorder="1" applyAlignment="1">
      <alignment horizontal="center" vertical="top"/>
    </xf>
    <xf numFmtId="3" fontId="4" fillId="0" borderId="74" xfId="0" applyNumberFormat="1" applyFont="1" applyBorder="1" applyAlignment="1">
      <alignment horizontal="center" vertical="top"/>
    </xf>
    <xf numFmtId="3" fontId="4" fillId="0" borderId="17"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4" fillId="0" borderId="17" xfId="0" applyNumberFormat="1" applyFont="1" applyFill="1" applyBorder="1" applyAlignment="1">
      <alignment horizontal="center" vertical="top" wrapText="1"/>
    </xf>
    <xf numFmtId="3" fontId="4" fillId="0" borderId="40" xfId="0" applyNumberFormat="1" applyFont="1" applyBorder="1" applyAlignment="1">
      <alignment vertical="top"/>
    </xf>
    <xf numFmtId="164" fontId="4" fillId="4" borderId="17" xfId="0" applyNumberFormat="1" applyFont="1" applyFill="1" applyBorder="1" applyAlignment="1">
      <alignment horizontal="center" vertical="center"/>
    </xf>
    <xf numFmtId="164" fontId="4" fillId="4" borderId="17" xfId="0" applyNumberFormat="1" applyFont="1" applyFill="1" applyBorder="1" applyAlignment="1">
      <alignment horizontal="center" vertical="top"/>
    </xf>
    <xf numFmtId="3" fontId="4" fillId="0" borderId="65" xfId="0" applyNumberFormat="1" applyFont="1" applyFill="1" applyBorder="1" applyAlignment="1">
      <alignment horizontal="center" vertical="top"/>
    </xf>
    <xf numFmtId="164" fontId="10" fillId="4" borderId="40" xfId="0" applyNumberFormat="1" applyFont="1" applyFill="1" applyBorder="1" applyAlignment="1">
      <alignment horizontal="center" vertical="center"/>
    </xf>
    <xf numFmtId="164" fontId="10" fillId="4" borderId="36" xfId="0" applyNumberFormat="1" applyFont="1" applyFill="1" applyBorder="1" applyAlignment="1">
      <alignment horizontal="center" vertical="top"/>
    </xf>
    <xf numFmtId="164" fontId="1" fillId="0" borderId="52" xfId="0" applyNumberFormat="1" applyFont="1" applyFill="1" applyBorder="1" applyAlignment="1">
      <alignment horizontal="center" vertical="top"/>
    </xf>
    <xf numFmtId="164" fontId="1" fillId="0" borderId="39" xfId="0" applyNumberFormat="1" applyFont="1" applyFill="1" applyBorder="1" applyAlignment="1">
      <alignment horizontal="center" vertical="top"/>
    </xf>
    <xf numFmtId="164" fontId="10" fillId="4" borderId="60" xfId="0" applyNumberFormat="1" applyFont="1" applyFill="1" applyBorder="1" applyAlignment="1">
      <alignment horizontal="center" vertical="top"/>
    </xf>
    <xf numFmtId="3" fontId="15" fillId="4" borderId="60" xfId="0" applyNumberFormat="1" applyFont="1" applyFill="1" applyBorder="1" applyAlignment="1">
      <alignment horizontal="center" vertical="top"/>
    </xf>
    <xf numFmtId="3" fontId="4" fillId="4" borderId="6" xfId="0" applyNumberFormat="1" applyFont="1" applyFill="1" applyBorder="1" applyAlignment="1">
      <alignment horizontal="center" vertical="top" wrapText="1"/>
    </xf>
    <xf numFmtId="164" fontId="4" fillId="0" borderId="80" xfId="0" applyNumberFormat="1" applyFont="1" applyFill="1" applyBorder="1" applyAlignment="1">
      <alignment horizontal="center" vertical="top"/>
    </xf>
    <xf numFmtId="164" fontId="4" fillId="0" borderId="34" xfId="0" applyNumberFormat="1" applyFont="1" applyFill="1" applyBorder="1" applyAlignment="1">
      <alignment horizontal="center" vertical="top"/>
    </xf>
    <xf numFmtId="164" fontId="4" fillId="0" borderId="77" xfId="0" applyNumberFormat="1" applyFont="1" applyFill="1" applyBorder="1" applyAlignment="1">
      <alignment horizontal="center" vertical="top"/>
    </xf>
    <xf numFmtId="164" fontId="4" fillId="0" borderId="27" xfId="0" applyNumberFormat="1" applyFont="1" applyFill="1" applyBorder="1" applyAlignment="1">
      <alignment horizontal="center" vertical="top"/>
    </xf>
    <xf numFmtId="164" fontId="4" fillId="0" borderId="28" xfId="0" applyNumberFormat="1" applyFont="1" applyFill="1" applyBorder="1" applyAlignment="1">
      <alignment horizontal="center" vertical="top"/>
    </xf>
    <xf numFmtId="164" fontId="4" fillId="0" borderId="70" xfId="0" applyNumberFormat="1" applyFont="1" applyFill="1" applyBorder="1" applyAlignment="1">
      <alignment horizontal="center" vertical="top"/>
    </xf>
    <xf numFmtId="164" fontId="4" fillId="4" borderId="15" xfId="0" applyNumberFormat="1" applyFont="1" applyFill="1" applyBorder="1" applyAlignment="1">
      <alignment horizontal="center" vertical="top"/>
    </xf>
    <xf numFmtId="164" fontId="1" fillId="3" borderId="22" xfId="0" applyNumberFormat="1" applyFont="1" applyFill="1" applyBorder="1" applyAlignment="1">
      <alignment horizontal="center" vertical="top"/>
    </xf>
    <xf numFmtId="164" fontId="1" fillId="3" borderId="36" xfId="0" applyNumberFormat="1" applyFont="1" applyFill="1" applyBorder="1" applyAlignment="1">
      <alignment horizontal="center" vertical="top"/>
    </xf>
    <xf numFmtId="3" fontId="1" fillId="0" borderId="33" xfId="0" applyNumberFormat="1" applyFont="1" applyBorder="1" applyAlignment="1">
      <alignment horizontal="center" vertical="top"/>
    </xf>
    <xf numFmtId="164" fontId="4" fillId="4" borderId="36" xfId="0" applyNumberFormat="1" applyFont="1" applyFill="1" applyBorder="1" applyAlignment="1">
      <alignment horizontal="center" vertical="top"/>
    </xf>
    <xf numFmtId="3" fontId="1" fillId="0" borderId="10" xfId="0" applyNumberFormat="1" applyFont="1" applyBorder="1" applyAlignment="1">
      <alignment vertical="top" wrapText="1"/>
    </xf>
    <xf numFmtId="3" fontId="14" fillId="4" borderId="66" xfId="0" applyNumberFormat="1" applyFont="1" applyFill="1" applyBorder="1" applyAlignment="1">
      <alignment vertical="top" wrapText="1"/>
    </xf>
    <xf numFmtId="3" fontId="14" fillId="4" borderId="65" xfId="0" applyNumberFormat="1" applyFont="1" applyFill="1" applyBorder="1" applyAlignment="1">
      <alignment horizontal="center" vertical="top"/>
    </xf>
    <xf numFmtId="164" fontId="14" fillId="4" borderId="66" xfId="0" applyNumberFormat="1" applyFont="1" applyFill="1" applyBorder="1" applyAlignment="1">
      <alignment horizontal="center" vertical="top"/>
    </xf>
    <xf numFmtId="164" fontId="14" fillId="4" borderId="34" xfId="0" applyNumberFormat="1" applyFont="1" applyFill="1" applyBorder="1" applyAlignment="1">
      <alignment horizontal="center" vertical="top"/>
    </xf>
    <xf numFmtId="3" fontId="18" fillId="4" borderId="65" xfId="0" applyNumberFormat="1" applyFont="1" applyFill="1" applyBorder="1" applyAlignment="1">
      <alignment horizontal="center" vertical="top"/>
    </xf>
    <xf numFmtId="3" fontId="14" fillId="3" borderId="66" xfId="0" applyNumberFormat="1" applyFont="1" applyFill="1" applyBorder="1" applyAlignment="1">
      <alignment vertical="top" wrapText="1"/>
    </xf>
    <xf numFmtId="3" fontId="14" fillId="4" borderId="0" xfId="0" applyNumberFormat="1" applyFont="1" applyFill="1" applyBorder="1" applyAlignment="1">
      <alignment horizontal="center" vertical="top"/>
    </xf>
    <xf numFmtId="3" fontId="23" fillId="4" borderId="40" xfId="0" applyNumberFormat="1" applyFont="1" applyFill="1" applyBorder="1" applyAlignment="1">
      <alignment horizontal="center" vertical="top"/>
    </xf>
    <xf numFmtId="164" fontId="18" fillId="0" borderId="29" xfId="0" applyNumberFormat="1" applyFont="1" applyBorder="1" applyAlignment="1">
      <alignment horizontal="center" vertical="top" wrapText="1"/>
    </xf>
    <xf numFmtId="164" fontId="18" fillId="0" borderId="73" xfId="0" applyNumberFormat="1" applyFont="1" applyBorder="1" applyAlignment="1">
      <alignment horizontal="center" vertical="top" wrapText="1"/>
    </xf>
    <xf numFmtId="3" fontId="18" fillId="4" borderId="36" xfId="0" applyNumberFormat="1" applyFont="1" applyFill="1" applyBorder="1" applyAlignment="1">
      <alignment horizontal="center" vertical="top" wrapText="1"/>
    </xf>
    <xf numFmtId="164" fontId="25" fillId="4" borderId="7" xfId="0" applyNumberFormat="1" applyFont="1" applyFill="1" applyBorder="1" applyAlignment="1">
      <alignment horizontal="center" vertical="top"/>
    </xf>
    <xf numFmtId="3" fontId="4" fillId="4" borderId="39" xfId="0" applyNumberFormat="1" applyFont="1" applyFill="1" applyBorder="1" applyAlignment="1">
      <alignment horizontal="left" vertical="top" wrapText="1"/>
    </xf>
    <xf numFmtId="164" fontId="25" fillId="4" borderId="17" xfId="0" applyNumberFormat="1" applyFont="1" applyFill="1" applyBorder="1" applyAlignment="1">
      <alignment horizontal="center" vertical="top"/>
    </xf>
    <xf numFmtId="164" fontId="25" fillId="4" borderId="18" xfId="0" applyNumberFormat="1" applyFont="1" applyFill="1" applyBorder="1" applyAlignment="1">
      <alignment horizontal="center" vertical="top"/>
    </xf>
    <xf numFmtId="3" fontId="25" fillId="4" borderId="17" xfId="0" applyNumberFormat="1" applyFont="1" applyFill="1" applyBorder="1" applyAlignment="1">
      <alignment horizontal="center" vertical="top"/>
    </xf>
    <xf numFmtId="3" fontId="14" fillId="4" borderId="65" xfId="0" applyNumberFormat="1" applyFont="1" applyFill="1" applyBorder="1" applyAlignment="1">
      <alignment horizontal="center" vertical="top" wrapText="1"/>
    </xf>
    <xf numFmtId="3" fontId="14" fillId="4" borderId="62" xfId="0" applyNumberFormat="1" applyFont="1" applyFill="1" applyBorder="1" applyAlignment="1">
      <alignment horizontal="center" vertical="top" wrapText="1"/>
    </xf>
    <xf numFmtId="3" fontId="1" fillId="4" borderId="52" xfId="0" applyNumberFormat="1" applyFont="1" applyFill="1" applyBorder="1" applyAlignment="1">
      <alignment horizontal="left" vertical="top" wrapText="1"/>
    </xf>
    <xf numFmtId="3" fontId="1" fillId="4" borderId="60" xfId="0" applyNumberFormat="1" applyFont="1" applyFill="1" applyBorder="1" applyAlignment="1">
      <alignment horizontal="left" vertical="top" wrapText="1"/>
    </xf>
    <xf numFmtId="4" fontId="4" fillId="4" borderId="15" xfId="0" applyNumberFormat="1" applyFont="1" applyFill="1" applyBorder="1" applyAlignment="1">
      <alignment horizontal="center" vertical="top"/>
    </xf>
    <xf numFmtId="164" fontId="25" fillId="4" borderId="28" xfId="0" applyNumberFormat="1" applyFont="1" applyFill="1" applyBorder="1" applyAlignment="1">
      <alignment horizontal="center" vertical="top"/>
    </xf>
    <xf numFmtId="4" fontId="4" fillId="4" borderId="28" xfId="0" applyNumberFormat="1" applyFont="1" applyFill="1" applyBorder="1" applyAlignment="1">
      <alignment horizontal="center" vertical="top"/>
    </xf>
    <xf numFmtId="164" fontId="14" fillId="4" borderId="18" xfId="0" applyNumberFormat="1" applyFont="1" applyFill="1" applyBorder="1" applyAlignment="1">
      <alignment horizontal="center" vertical="top"/>
    </xf>
    <xf numFmtId="164" fontId="14" fillId="4" borderId="0" xfId="0" applyNumberFormat="1" applyFont="1" applyFill="1" applyBorder="1" applyAlignment="1">
      <alignment horizontal="center" vertical="top"/>
    </xf>
    <xf numFmtId="164" fontId="14" fillId="4" borderId="13" xfId="0" applyNumberFormat="1" applyFont="1" applyFill="1" applyBorder="1" applyAlignment="1">
      <alignment horizontal="center" vertical="top"/>
    </xf>
    <xf numFmtId="164" fontId="14" fillId="4" borderId="24" xfId="0" applyNumberFormat="1" applyFont="1" applyFill="1" applyBorder="1" applyAlignment="1">
      <alignment horizontal="center" vertical="top"/>
    </xf>
    <xf numFmtId="3" fontId="18" fillId="4" borderId="16" xfId="0" applyNumberFormat="1" applyFont="1" applyFill="1" applyBorder="1" applyAlignment="1">
      <alignment horizontal="center" vertical="top"/>
    </xf>
    <xf numFmtId="164" fontId="25" fillId="4" borderId="59" xfId="0" applyNumberFormat="1" applyFont="1" applyFill="1" applyBorder="1" applyAlignment="1">
      <alignment horizontal="center" vertical="top"/>
    </xf>
    <xf numFmtId="164" fontId="14" fillId="0" borderId="66" xfId="0" applyNumberFormat="1" applyFont="1" applyFill="1" applyBorder="1" applyAlignment="1">
      <alignment horizontal="center" vertical="top"/>
    </xf>
    <xf numFmtId="164" fontId="14" fillId="0" borderId="26" xfId="0" applyNumberFormat="1" applyFont="1" applyFill="1" applyBorder="1" applyAlignment="1">
      <alignment horizontal="center" vertical="top"/>
    </xf>
    <xf numFmtId="3" fontId="18" fillId="4" borderId="59" xfId="0" applyNumberFormat="1" applyFont="1" applyFill="1" applyBorder="1" applyAlignment="1">
      <alignment vertical="top" wrapText="1"/>
    </xf>
    <xf numFmtId="164" fontId="25" fillId="4" borderId="66" xfId="0" applyNumberFormat="1" applyFont="1" applyFill="1" applyBorder="1" applyAlignment="1">
      <alignment horizontal="center" vertical="top"/>
    </xf>
    <xf numFmtId="0" fontId="18" fillId="4" borderId="36" xfId="0" applyNumberFormat="1" applyFont="1" applyFill="1" applyBorder="1" applyAlignment="1">
      <alignment horizontal="center" vertical="top"/>
    </xf>
    <xf numFmtId="3" fontId="18" fillId="4" borderId="51" xfId="0" applyNumberFormat="1" applyFont="1" applyFill="1" applyBorder="1" applyAlignment="1">
      <alignment horizontal="center" vertical="top"/>
    </xf>
    <xf numFmtId="164" fontId="25" fillId="4" borderId="26" xfId="0" applyNumberFormat="1" applyFont="1" applyFill="1" applyBorder="1" applyAlignment="1">
      <alignment horizontal="center" vertical="top"/>
    </xf>
    <xf numFmtId="3" fontId="25" fillId="4" borderId="8" xfId="0" applyNumberFormat="1" applyFont="1" applyFill="1" applyBorder="1" applyAlignment="1">
      <alignment horizontal="center" vertical="top" wrapText="1"/>
    </xf>
    <xf numFmtId="164" fontId="25" fillId="4" borderId="0" xfId="0" applyNumberFormat="1" applyFont="1" applyFill="1" applyBorder="1" applyAlignment="1">
      <alignment horizontal="center" vertical="top"/>
    </xf>
    <xf numFmtId="164" fontId="18" fillId="4" borderId="3" xfId="0" applyNumberFormat="1" applyFont="1" applyFill="1" applyBorder="1" applyAlignment="1">
      <alignment horizontal="center" vertical="top"/>
    </xf>
    <xf numFmtId="3" fontId="10" fillId="0" borderId="17" xfId="0" applyNumberFormat="1" applyFont="1" applyBorder="1" applyAlignment="1">
      <alignment horizontal="center" vertical="top"/>
    </xf>
    <xf numFmtId="49" fontId="5" fillId="3" borderId="32" xfId="0" applyNumberFormat="1" applyFont="1" applyFill="1" applyBorder="1" applyAlignment="1">
      <alignment horizontal="center" vertical="top"/>
    </xf>
    <xf numFmtId="3" fontId="4" fillId="0" borderId="18" xfId="0" applyNumberFormat="1" applyFont="1" applyFill="1" applyBorder="1" applyAlignment="1">
      <alignment horizontal="left" vertical="top" wrapText="1"/>
    </xf>
    <xf numFmtId="3" fontId="4" fillId="4" borderId="18" xfId="0" applyNumberFormat="1" applyFont="1" applyFill="1" applyBorder="1" applyAlignment="1">
      <alignment horizontal="left" vertical="top" wrapText="1"/>
    </xf>
    <xf numFmtId="3" fontId="4" fillId="4" borderId="62" xfId="0" applyNumberFormat="1" applyFont="1" applyFill="1" applyBorder="1" applyAlignment="1">
      <alignment horizontal="left" vertical="top" wrapText="1"/>
    </xf>
    <xf numFmtId="3" fontId="4" fillId="4" borderId="65" xfId="0" applyNumberFormat="1" applyFont="1" applyFill="1" applyBorder="1" applyAlignment="1">
      <alignment horizontal="left" vertical="top" wrapText="1"/>
    </xf>
    <xf numFmtId="49" fontId="5" fillId="8" borderId="40" xfId="0" applyNumberFormat="1" applyFont="1" applyFill="1" applyBorder="1" applyAlignment="1">
      <alignment horizontal="center" vertical="top"/>
    </xf>
    <xf numFmtId="49" fontId="5" fillId="3" borderId="0" xfId="0" applyNumberFormat="1" applyFont="1" applyFill="1" applyBorder="1" applyAlignment="1">
      <alignment horizontal="center" vertical="top"/>
    </xf>
    <xf numFmtId="3" fontId="5" fillId="0" borderId="32" xfId="0" applyNumberFormat="1" applyFont="1" applyBorder="1" applyAlignment="1">
      <alignment horizontal="center" vertical="top"/>
    </xf>
    <xf numFmtId="3" fontId="4" fillId="4" borderId="0" xfId="0" applyNumberFormat="1" applyFont="1" applyFill="1" applyBorder="1" applyAlignment="1">
      <alignment horizontal="center" vertical="top" wrapText="1"/>
    </xf>
    <xf numFmtId="3" fontId="4" fillId="4" borderId="61" xfId="0" applyNumberFormat="1" applyFont="1" applyFill="1" applyBorder="1" applyAlignment="1">
      <alignment horizontal="left" vertical="top" wrapText="1"/>
    </xf>
    <xf numFmtId="3" fontId="4" fillId="4" borderId="17" xfId="0" applyNumberFormat="1" applyFont="1" applyFill="1" applyBorder="1" applyAlignment="1">
      <alignment horizontal="left" vertical="top" wrapText="1"/>
    </xf>
    <xf numFmtId="49" fontId="5" fillId="2" borderId="18" xfId="0" applyNumberFormat="1" applyFont="1" applyFill="1" applyBorder="1" applyAlignment="1">
      <alignment horizontal="center" vertical="top"/>
    </xf>
    <xf numFmtId="3" fontId="4" fillId="4" borderId="61" xfId="0" applyNumberFormat="1" applyFont="1" applyFill="1" applyBorder="1" applyAlignment="1">
      <alignment horizontal="center" vertical="top"/>
    </xf>
    <xf numFmtId="3" fontId="4" fillId="4" borderId="17" xfId="0" applyNumberFormat="1" applyFont="1" applyFill="1" applyBorder="1" applyAlignment="1">
      <alignment horizontal="center" vertical="top"/>
    </xf>
    <xf numFmtId="3" fontId="4" fillId="4" borderId="33" xfId="0" applyNumberFormat="1" applyFont="1" applyFill="1" applyBorder="1" applyAlignment="1">
      <alignment horizontal="center" vertical="top"/>
    </xf>
    <xf numFmtId="3" fontId="4" fillId="4" borderId="32" xfId="0" applyNumberFormat="1" applyFont="1" applyFill="1" applyBorder="1" applyAlignment="1">
      <alignment horizontal="center" vertical="top"/>
    </xf>
    <xf numFmtId="3" fontId="4" fillId="4" borderId="39" xfId="0" applyNumberFormat="1" applyFont="1" applyFill="1" applyBorder="1" applyAlignment="1">
      <alignment horizontal="center" vertical="top"/>
    </xf>
    <xf numFmtId="3" fontId="4" fillId="4" borderId="31" xfId="0" applyNumberFormat="1" applyFont="1" applyFill="1" applyBorder="1" applyAlignment="1">
      <alignment horizontal="center" vertical="top"/>
    </xf>
    <xf numFmtId="3" fontId="5" fillId="4" borderId="42" xfId="0" applyNumberFormat="1" applyFont="1" applyFill="1" applyBorder="1" applyAlignment="1">
      <alignment horizontal="left" vertical="top" wrapText="1"/>
    </xf>
    <xf numFmtId="3" fontId="5" fillId="0" borderId="67" xfId="0" applyNumberFormat="1" applyFont="1" applyFill="1" applyBorder="1" applyAlignment="1">
      <alignment horizontal="center" vertical="top" textRotation="90" wrapText="1"/>
    </xf>
    <xf numFmtId="3" fontId="4" fillId="4" borderId="59" xfId="0" applyNumberFormat="1" applyFont="1" applyFill="1" applyBorder="1" applyAlignment="1">
      <alignment horizontal="left" vertical="top" wrapText="1"/>
    </xf>
    <xf numFmtId="3" fontId="4" fillId="4" borderId="42" xfId="0" applyNumberFormat="1" applyFont="1" applyFill="1" applyBorder="1" applyAlignment="1">
      <alignment horizontal="left" vertical="top" wrapText="1"/>
    </xf>
    <xf numFmtId="3" fontId="4" fillId="0" borderId="8" xfId="0" applyNumberFormat="1" applyFont="1" applyFill="1" applyBorder="1" applyAlignment="1">
      <alignment horizontal="center" vertical="top" wrapText="1"/>
    </xf>
    <xf numFmtId="164" fontId="4" fillId="4" borderId="0" xfId="0" applyNumberFormat="1" applyFont="1" applyFill="1" applyBorder="1" applyAlignment="1">
      <alignment horizontal="center" vertical="top"/>
    </xf>
    <xf numFmtId="3" fontId="1" fillId="4" borderId="59" xfId="0" applyNumberFormat="1" applyFont="1" applyFill="1" applyBorder="1" applyAlignment="1">
      <alignment horizontal="left" vertical="top" wrapText="1"/>
    </xf>
    <xf numFmtId="3" fontId="1" fillId="4" borderId="42" xfId="0" applyNumberFormat="1" applyFont="1" applyFill="1" applyBorder="1" applyAlignment="1">
      <alignment horizontal="left" vertical="top" wrapText="1"/>
    </xf>
    <xf numFmtId="3" fontId="2" fillId="0" borderId="67" xfId="0" applyNumberFormat="1" applyFont="1" applyFill="1" applyBorder="1" applyAlignment="1">
      <alignment horizontal="center" vertical="top" textRotation="90" wrapText="1"/>
    </xf>
    <xf numFmtId="3" fontId="2" fillId="0" borderId="32" xfId="0" applyNumberFormat="1" applyFont="1" applyBorder="1" applyAlignment="1">
      <alignment horizontal="center" vertical="top"/>
    </xf>
    <xf numFmtId="49" fontId="2" fillId="3" borderId="64" xfId="0" applyNumberFormat="1" applyFont="1" applyFill="1" applyBorder="1" applyAlignment="1">
      <alignment horizontal="center" vertical="top"/>
    </xf>
    <xf numFmtId="49" fontId="2" fillId="3" borderId="32" xfId="0" applyNumberFormat="1" applyFont="1" applyFill="1" applyBorder="1" applyAlignment="1">
      <alignment horizontal="center" vertical="top"/>
    </xf>
    <xf numFmtId="49" fontId="2" fillId="3" borderId="68" xfId="0" applyNumberFormat="1" applyFont="1" applyFill="1" applyBorder="1" applyAlignment="1">
      <alignment horizontal="center" vertical="top"/>
    </xf>
    <xf numFmtId="3" fontId="1" fillId="4" borderId="13" xfId="0" applyNumberFormat="1" applyFont="1" applyFill="1" applyBorder="1" applyAlignment="1">
      <alignment horizontal="left" vertical="top" wrapText="1"/>
    </xf>
    <xf numFmtId="3" fontId="1" fillId="4" borderId="19" xfId="0" applyNumberFormat="1" applyFont="1" applyFill="1" applyBorder="1" applyAlignment="1">
      <alignment horizontal="left" vertical="top" wrapText="1"/>
    </xf>
    <xf numFmtId="3" fontId="2" fillId="0" borderId="78" xfId="0" applyNumberFormat="1" applyFont="1" applyFill="1" applyBorder="1" applyAlignment="1">
      <alignment horizontal="center" vertical="top" textRotation="90" wrapText="1"/>
    </xf>
    <xf numFmtId="3" fontId="2" fillId="0" borderId="75" xfId="0" applyNumberFormat="1" applyFont="1" applyFill="1" applyBorder="1" applyAlignment="1">
      <alignment horizontal="center" vertical="top" textRotation="90" wrapText="1"/>
    </xf>
    <xf numFmtId="3" fontId="2" fillId="0" borderId="64" xfId="0" applyNumberFormat="1" applyFont="1" applyFill="1" applyBorder="1" applyAlignment="1">
      <alignment horizontal="center" vertical="top"/>
    </xf>
    <xf numFmtId="3" fontId="2" fillId="0" borderId="32" xfId="0" applyNumberFormat="1" applyFont="1" applyFill="1" applyBorder="1" applyAlignment="1">
      <alignment horizontal="center" vertical="top"/>
    </xf>
    <xf numFmtId="3" fontId="2" fillId="0" borderId="68" xfId="0" applyNumberFormat="1" applyFont="1" applyFill="1" applyBorder="1" applyAlignment="1">
      <alignment horizontal="center" vertical="top"/>
    </xf>
    <xf numFmtId="3" fontId="1" fillId="4" borderId="61" xfId="0" applyNumberFormat="1" applyFont="1" applyFill="1" applyBorder="1" applyAlignment="1">
      <alignment horizontal="left" vertical="top" wrapText="1"/>
    </xf>
    <xf numFmtId="3" fontId="1" fillId="4" borderId="56" xfId="0" applyNumberFormat="1" applyFont="1" applyFill="1" applyBorder="1" applyAlignment="1">
      <alignment horizontal="left" vertical="top" wrapText="1"/>
    </xf>
    <xf numFmtId="164" fontId="1" fillId="4" borderId="17" xfId="0" applyNumberFormat="1" applyFont="1" applyFill="1" applyBorder="1" applyAlignment="1">
      <alignment horizontal="center" vertical="top"/>
    </xf>
    <xf numFmtId="3" fontId="1" fillId="4" borderId="62" xfId="0" applyNumberFormat="1" applyFont="1" applyFill="1" applyBorder="1" applyAlignment="1">
      <alignment horizontal="left" vertical="top" wrapText="1"/>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3" fontId="1" fillId="4" borderId="16" xfId="0" applyNumberFormat="1" applyFont="1" applyFill="1" applyBorder="1" applyAlignment="1">
      <alignment horizontal="left" vertical="top" wrapText="1"/>
    </xf>
    <xf numFmtId="3" fontId="2" fillId="4" borderId="68" xfId="0" applyNumberFormat="1" applyFont="1" applyFill="1" applyBorder="1" applyAlignment="1">
      <alignment horizontal="center" vertical="top"/>
    </xf>
    <xf numFmtId="3" fontId="2" fillId="0" borderId="18" xfId="0" applyNumberFormat="1" applyFont="1" applyBorder="1" applyAlignment="1">
      <alignment horizontal="center" vertical="top"/>
    </xf>
    <xf numFmtId="3" fontId="2" fillId="4" borderId="59" xfId="0" applyNumberFormat="1" applyFont="1" applyFill="1" applyBorder="1" applyAlignment="1">
      <alignment horizontal="left" vertical="top" wrapText="1"/>
    </xf>
    <xf numFmtId="3" fontId="1" fillId="4" borderId="17" xfId="0" applyNumberFormat="1" applyFont="1" applyFill="1" applyBorder="1" applyAlignment="1">
      <alignment horizontal="left" vertical="top" wrapText="1"/>
    </xf>
    <xf numFmtId="3" fontId="2" fillId="4" borderId="13" xfId="0" applyNumberFormat="1" applyFont="1" applyFill="1" applyBorder="1" applyAlignment="1">
      <alignment horizontal="left" vertical="top" wrapText="1"/>
    </xf>
    <xf numFmtId="3" fontId="2" fillId="4" borderId="18" xfId="0" applyNumberFormat="1" applyFont="1" applyFill="1" applyBorder="1" applyAlignment="1">
      <alignment horizontal="left" vertical="top" wrapText="1"/>
    </xf>
    <xf numFmtId="3" fontId="1" fillId="0" borderId="0" xfId="0" applyNumberFormat="1" applyFont="1" applyFill="1" applyBorder="1" applyAlignment="1">
      <alignment horizontal="center" vertical="top" wrapText="1"/>
    </xf>
    <xf numFmtId="3" fontId="1" fillId="4" borderId="6" xfId="0" applyNumberFormat="1" applyFont="1" applyFill="1" applyBorder="1" applyAlignment="1">
      <alignment horizontal="left" vertical="top" wrapText="1"/>
    </xf>
    <xf numFmtId="3" fontId="2" fillId="2" borderId="12" xfId="0" applyNumberFormat="1" applyFont="1" applyFill="1" applyBorder="1" applyAlignment="1">
      <alignment horizontal="center" vertical="top"/>
    </xf>
    <xf numFmtId="3" fontId="2" fillId="0" borderId="13" xfId="0" applyNumberFormat="1" applyFont="1" applyFill="1" applyBorder="1" applyAlignment="1">
      <alignment horizontal="center" vertical="top" textRotation="90" wrapText="1"/>
    </xf>
    <xf numFmtId="3" fontId="2" fillId="0" borderId="19" xfId="0" applyNumberFormat="1" applyFont="1" applyFill="1" applyBorder="1" applyAlignment="1">
      <alignment horizontal="center" vertical="top" textRotation="90" wrapText="1"/>
    </xf>
    <xf numFmtId="3" fontId="1" fillId="4" borderId="10" xfId="0" applyNumberFormat="1" applyFont="1" applyFill="1" applyBorder="1" applyAlignment="1">
      <alignment horizontal="left" vertical="top" wrapText="1"/>
    </xf>
    <xf numFmtId="49" fontId="2" fillId="8" borderId="16" xfId="0" applyNumberFormat="1" applyFont="1" applyFill="1" applyBorder="1" applyAlignment="1">
      <alignment horizontal="center" vertical="top"/>
    </xf>
    <xf numFmtId="49" fontId="2" fillId="8" borderId="56"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1" fillId="0" borderId="0" xfId="0" applyNumberFormat="1" applyFont="1" applyBorder="1" applyAlignment="1">
      <alignment horizontal="center" vertical="top"/>
    </xf>
    <xf numFmtId="3" fontId="1" fillId="3" borderId="59" xfId="0" applyNumberFormat="1" applyFont="1" applyFill="1" applyBorder="1" applyAlignment="1">
      <alignment horizontal="left" vertical="top" wrapText="1"/>
    </xf>
    <xf numFmtId="164" fontId="1" fillId="4" borderId="18" xfId="0" applyNumberFormat="1" applyFont="1" applyFill="1" applyBorder="1" applyAlignment="1">
      <alignment horizontal="center" vertical="top"/>
    </xf>
    <xf numFmtId="3" fontId="4" fillId="4" borderId="5" xfId="0" applyNumberFormat="1" applyFont="1" applyFill="1" applyBorder="1" applyAlignment="1">
      <alignment horizontal="left" vertical="top" wrapText="1"/>
    </xf>
    <xf numFmtId="3" fontId="4" fillId="0" borderId="8" xfId="0" applyNumberFormat="1" applyFont="1" applyBorder="1" applyAlignment="1">
      <alignment horizontal="left" vertical="top" wrapText="1"/>
    </xf>
    <xf numFmtId="3" fontId="1" fillId="4" borderId="8" xfId="0" applyNumberFormat="1" applyFont="1" applyFill="1" applyBorder="1" applyAlignment="1">
      <alignment horizontal="left" vertical="top" wrapText="1"/>
    </xf>
    <xf numFmtId="3" fontId="1" fillId="0" borderId="51" xfId="0" applyNumberFormat="1" applyFont="1" applyBorder="1" applyAlignment="1">
      <alignment horizontal="center" vertical="top"/>
    </xf>
    <xf numFmtId="3" fontId="4" fillId="4" borderId="60" xfId="0" applyNumberFormat="1" applyFont="1" applyFill="1" applyBorder="1" applyAlignment="1">
      <alignment horizontal="center" vertical="top"/>
    </xf>
    <xf numFmtId="3" fontId="18" fillId="4" borderId="18" xfId="0" applyNumberFormat="1" applyFont="1" applyFill="1" applyBorder="1" applyAlignment="1">
      <alignment horizontal="left" vertical="top" wrapText="1"/>
    </xf>
    <xf numFmtId="0" fontId="14" fillId="4" borderId="59" xfId="0" applyFont="1" applyFill="1" applyBorder="1" applyAlignment="1">
      <alignment horizontal="left" vertical="top" wrapText="1"/>
    </xf>
    <xf numFmtId="3" fontId="4" fillId="0" borderId="0" xfId="0" applyNumberFormat="1" applyFont="1" applyAlignment="1">
      <alignment vertical="top"/>
    </xf>
    <xf numFmtId="3" fontId="4" fillId="9" borderId="66" xfId="0" applyNumberFormat="1" applyFont="1" applyFill="1" applyBorder="1" applyAlignment="1">
      <alignment horizontal="center" vertical="top" wrapText="1"/>
    </xf>
    <xf numFmtId="3" fontId="4" fillId="9" borderId="52" xfId="0" applyNumberFormat="1" applyFont="1" applyFill="1" applyBorder="1" applyAlignment="1">
      <alignment horizontal="center" vertical="top" wrapText="1"/>
    </xf>
    <xf numFmtId="164" fontId="18" fillId="4" borderId="0" xfId="0" applyNumberFormat="1" applyFont="1" applyFill="1" applyBorder="1" applyAlignment="1">
      <alignment vertical="top"/>
    </xf>
    <xf numFmtId="164" fontId="18" fillId="0" borderId="0" xfId="0" applyNumberFormat="1" applyFont="1" applyBorder="1" applyAlignment="1">
      <alignment vertical="top"/>
    </xf>
    <xf numFmtId="3" fontId="18" fillId="0" borderId="0" xfId="0" applyNumberFormat="1" applyFont="1" applyBorder="1" applyAlignment="1">
      <alignment vertical="top"/>
    </xf>
    <xf numFmtId="164" fontId="18" fillId="9" borderId="0" xfId="0" applyNumberFormat="1" applyFont="1" applyFill="1" applyBorder="1" applyAlignment="1">
      <alignment vertical="top"/>
    </xf>
    <xf numFmtId="3" fontId="18" fillId="9" borderId="0" xfId="0" applyNumberFormat="1" applyFont="1" applyFill="1" applyBorder="1" applyAlignment="1">
      <alignment vertical="top"/>
    </xf>
    <xf numFmtId="3" fontId="4" fillId="9" borderId="18" xfId="0" applyNumberFormat="1" applyFont="1" applyFill="1" applyBorder="1" applyAlignment="1">
      <alignment vertical="top"/>
    </xf>
    <xf numFmtId="3" fontId="4" fillId="9" borderId="7" xfId="0" applyNumberFormat="1" applyFont="1" applyFill="1" applyBorder="1" applyAlignment="1">
      <alignment vertical="top"/>
    </xf>
    <xf numFmtId="164" fontId="25" fillId="9" borderId="18" xfId="0" applyNumberFormat="1" applyFont="1" applyFill="1" applyBorder="1" applyAlignment="1">
      <alignment horizontal="center" vertical="top"/>
    </xf>
    <xf numFmtId="164" fontId="25" fillId="9" borderId="7" xfId="0" applyNumberFormat="1" applyFont="1" applyFill="1" applyBorder="1" applyAlignment="1">
      <alignment horizontal="center" vertical="top"/>
    </xf>
    <xf numFmtId="164" fontId="4" fillId="9" borderId="18" xfId="0" applyNumberFormat="1" applyFont="1" applyFill="1" applyBorder="1" applyAlignment="1">
      <alignment horizontal="center" vertical="top"/>
    </xf>
    <xf numFmtId="164" fontId="4" fillId="9" borderId="7" xfId="0" applyNumberFormat="1" applyFont="1" applyFill="1" applyBorder="1" applyAlignment="1">
      <alignment horizontal="center" vertical="top"/>
    </xf>
    <xf numFmtId="164" fontId="25" fillId="9" borderId="18" xfId="0" applyNumberFormat="1" applyFont="1" applyFill="1" applyBorder="1" applyAlignment="1">
      <alignment horizontal="center" vertical="center"/>
    </xf>
    <xf numFmtId="164" fontId="25" fillId="9" borderId="7" xfId="0" applyNumberFormat="1" applyFont="1" applyFill="1" applyBorder="1" applyAlignment="1">
      <alignment horizontal="center" vertical="center"/>
    </xf>
    <xf numFmtId="164" fontId="10" fillId="9" borderId="59" xfId="0" applyNumberFormat="1" applyFont="1" applyFill="1" applyBorder="1" applyAlignment="1">
      <alignment horizontal="center" vertical="top"/>
    </xf>
    <xf numFmtId="164" fontId="10" fillId="9" borderId="28" xfId="0" applyNumberFormat="1" applyFont="1" applyFill="1" applyBorder="1" applyAlignment="1">
      <alignment horizontal="center" vertical="top"/>
    </xf>
    <xf numFmtId="164" fontId="10" fillId="9" borderId="66" xfId="0" applyNumberFormat="1" applyFont="1" applyFill="1" applyBorder="1" applyAlignment="1">
      <alignment horizontal="center" vertical="top"/>
    </xf>
    <xf numFmtId="164" fontId="10" fillId="9" borderId="52" xfId="0" applyNumberFormat="1" applyFont="1" applyFill="1" applyBorder="1" applyAlignment="1">
      <alignment horizontal="center" vertical="top"/>
    </xf>
    <xf numFmtId="164" fontId="4" fillId="9" borderId="18" xfId="0" applyNumberFormat="1" applyFont="1" applyFill="1" applyBorder="1" applyAlignment="1">
      <alignment horizontal="center" vertical="center"/>
    </xf>
    <xf numFmtId="164" fontId="4" fillId="9" borderId="7" xfId="0" applyNumberFormat="1" applyFont="1" applyFill="1" applyBorder="1" applyAlignment="1">
      <alignment horizontal="center" vertical="center"/>
    </xf>
    <xf numFmtId="164" fontId="1" fillId="9" borderId="18" xfId="0" applyNumberFormat="1" applyFont="1" applyFill="1" applyBorder="1" applyAlignment="1">
      <alignment horizontal="center" vertical="top"/>
    </xf>
    <xf numFmtId="164" fontId="1" fillId="9" borderId="7" xfId="0" applyNumberFormat="1" applyFont="1" applyFill="1" applyBorder="1" applyAlignment="1">
      <alignment horizontal="center" vertical="top"/>
    </xf>
    <xf numFmtId="164" fontId="5" fillId="9" borderId="18" xfId="0" applyNumberFormat="1" applyFont="1" applyFill="1" applyBorder="1" applyAlignment="1">
      <alignment horizontal="center" vertical="top"/>
    </xf>
    <xf numFmtId="164" fontId="5" fillId="9" borderId="7" xfId="0" applyNumberFormat="1" applyFont="1" applyFill="1" applyBorder="1" applyAlignment="1">
      <alignment horizontal="center" vertical="top"/>
    </xf>
    <xf numFmtId="164" fontId="25" fillId="9" borderId="28" xfId="0" applyNumberFormat="1" applyFont="1" applyFill="1" applyBorder="1" applyAlignment="1">
      <alignment horizontal="center" vertical="top"/>
    </xf>
    <xf numFmtId="164" fontId="25" fillId="9" borderId="15" xfId="0" applyNumberFormat="1" applyFont="1" applyFill="1" applyBorder="1" applyAlignment="1">
      <alignment horizontal="center" vertical="top"/>
    </xf>
    <xf numFmtId="165" fontId="25" fillId="9" borderId="0" xfId="0" applyNumberFormat="1" applyFont="1" applyFill="1" applyBorder="1" applyAlignment="1">
      <alignment horizontal="center" vertical="top"/>
    </xf>
    <xf numFmtId="164" fontId="1" fillId="9" borderId="42" xfId="0" applyNumberFormat="1" applyFont="1" applyFill="1" applyBorder="1" applyAlignment="1">
      <alignment horizontal="center" vertical="top"/>
    </xf>
    <xf numFmtId="164" fontId="1" fillId="9" borderId="15" xfId="0" applyNumberFormat="1" applyFont="1" applyFill="1" applyBorder="1" applyAlignment="1">
      <alignment horizontal="center" vertical="top"/>
    </xf>
    <xf numFmtId="3" fontId="14" fillId="0" borderId="0" xfId="0" applyNumberFormat="1" applyFont="1" applyBorder="1" applyAlignment="1">
      <alignment vertical="top"/>
    </xf>
    <xf numFmtId="3" fontId="4" fillId="0" borderId="8" xfId="0" applyNumberFormat="1" applyFont="1" applyBorder="1" applyAlignment="1">
      <alignment vertical="top" wrapText="1"/>
    </xf>
    <xf numFmtId="3" fontId="4" fillId="0" borderId="5" xfId="0" applyNumberFormat="1" applyFont="1" applyBorder="1" applyAlignment="1">
      <alignment vertical="top" wrapText="1"/>
    </xf>
    <xf numFmtId="3" fontId="4" fillId="4" borderId="40" xfId="0" applyNumberFormat="1" applyFont="1" applyFill="1" applyBorder="1" applyAlignment="1">
      <alignment horizontal="center" vertical="top" wrapText="1"/>
    </xf>
    <xf numFmtId="3" fontId="4" fillId="4" borderId="34" xfId="0" applyNumberFormat="1" applyFont="1" applyFill="1" applyBorder="1" applyAlignment="1">
      <alignment horizontal="center" vertical="top"/>
    </xf>
    <xf numFmtId="3" fontId="4" fillId="4" borderId="28" xfId="0" applyNumberFormat="1" applyFont="1" applyFill="1" applyBorder="1" applyAlignment="1">
      <alignment horizontal="center" vertical="top" wrapText="1"/>
    </xf>
    <xf numFmtId="3" fontId="4" fillId="4" borderId="40" xfId="0" applyNumberFormat="1" applyFont="1" applyFill="1" applyBorder="1" applyAlignment="1">
      <alignment vertical="top"/>
    </xf>
    <xf numFmtId="164" fontId="4" fillId="4" borderId="18" xfId="0" applyNumberFormat="1" applyFont="1" applyFill="1" applyBorder="1" applyAlignment="1">
      <alignment horizontal="center" vertical="center"/>
    </xf>
    <xf numFmtId="164" fontId="4" fillId="4" borderId="7" xfId="0" applyNumberFormat="1" applyFont="1" applyFill="1" applyBorder="1" applyAlignment="1">
      <alignment horizontal="center" vertical="center"/>
    </xf>
    <xf numFmtId="165" fontId="25" fillId="4" borderId="0" xfId="0" applyNumberFormat="1" applyFont="1" applyFill="1" applyBorder="1" applyAlignment="1">
      <alignment horizontal="center" vertical="top"/>
    </xf>
    <xf numFmtId="3" fontId="18" fillId="4" borderId="0" xfId="0" applyNumberFormat="1" applyFont="1" applyFill="1" applyBorder="1" applyAlignment="1">
      <alignment vertical="top"/>
    </xf>
    <xf numFmtId="164" fontId="18" fillId="0" borderId="24" xfId="0" applyNumberFormat="1" applyFont="1" applyBorder="1" applyAlignment="1">
      <alignment horizontal="center" vertical="top" wrapText="1"/>
    </xf>
    <xf numFmtId="164" fontId="18" fillId="0" borderId="52" xfId="0" applyNumberFormat="1" applyFont="1" applyBorder="1" applyAlignment="1">
      <alignment horizontal="center" vertical="top" wrapText="1"/>
    </xf>
    <xf numFmtId="164" fontId="18" fillId="0" borderId="66" xfId="0" applyNumberFormat="1" applyFont="1" applyBorder="1" applyAlignment="1">
      <alignment horizontal="center" vertical="top" wrapText="1"/>
    </xf>
    <xf numFmtId="0" fontId="1" fillId="4" borderId="2" xfId="0" applyFont="1" applyFill="1" applyBorder="1" applyAlignment="1">
      <alignment horizontal="left" vertical="top" wrapText="1"/>
    </xf>
    <xf numFmtId="0" fontId="1" fillId="4" borderId="36" xfId="0" applyFont="1" applyFill="1" applyBorder="1" applyAlignment="1">
      <alignment vertical="top" wrapText="1"/>
    </xf>
    <xf numFmtId="164" fontId="25" fillId="4" borderId="59" xfId="0" applyNumberFormat="1" applyFont="1" applyFill="1" applyBorder="1" applyAlignment="1">
      <alignment horizontal="center" vertical="top"/>
    </xf>
    <xf numFmtId="164" fontId="14" fillId="4" borderId="52" xfId="0" applyNumberFormat="1" applyFont="1" applyFill="1" applyBorder="1" applyAlignment="1">
      <alignment horizontal="center" vertical="top"/>
    </xf>
    <xf numFmtId="164" fontId="14" fillId="0" borderId="52" xfId="0" applyNumberFormat="1" applyFont="1" applyFill="1" applyBorder="1" applyAlignment="1">
      <alignment horizontal="center" vertical="top"/>
    </xf>
    <xf numFmtId="164" fontId="14" fillId="4" borderId="26" xfId="0" applyNumberFormat="1" applyFont="1" applyFill="1" applyBorder="1" applyAlignment="1">
      <alignment horizontal="center" vertical="top"/>
    </xf>
    <xf numFmtId="164" fontId="1" fillId="4" borderId="78" xfId="0" applyNumberFormat="1" applyFont="1" applyFill="1" applyBorder="1" applyAlignment="1">
      <alignment horizontal="center" vertical="top"/>
    </xf>
    <xf numFmtId="164" fontId="1" fillId="4" borderId="77" xfId="0" applyNumberFormat="1" applyFont="1" applyFill="1" applyBorder="1" applyAlignment="1">
      <alignment horizontal="center" vertical="top"/>
    </xf>
    <xf numFmtId="164" fontId="1" fillId="0" borderId="77" xfId="0" applyNumberFormat="1" applyFont="1" applyFill="1" applyBorder="1" applyAlignment="1">
      <alignment horizontal="center" vertical="top"/>
    </xf>
    <xf numFmtId="164" fontId="1" fillId="0" borderId="67" xfId="0" applyNumberFormat="1" applyFont="1" applyFill="1" applyBorder="1" applyAlignment="1">
      <alignment horizontal="center" vertical="top"/>
    </xf>
    <xf numFmtId="164" fontId="1" fillId="0" borderId="70" xfId="0" applyNumberFormat="1" applyFont="1" applyFill="1" applyBorder="1" applyAlignment="1">
      <alignment horizontal="center" vertical="top"/>
    </xf>
    <xf numFmtId="164" fontId="10" fillId="0" borderId="70" xfId="0" applyNumberFormat="1" applyFont="1" applyFill="1" applyBorder="1" applyAlignment="1">
      <alignment horizontal="center" vertical="top"/>
    </xf>
    <xf numFmtId="164" fontId="10" fillId="4" borderId="63" xfId="0" applyNumberFormat="1" applyFont="1" applyFill="1" applyBorder="1" applyAlignment="1">
      <alignment horizontal="center" vertical="top"/>
    </xf>
    <xf numFmtId="0" fontId="10" fillId="4" borderId="67" xfId="0" applyFont="1" applyFill="1" applyBorder="1" applyAlignment="1">
      <alignment horizontal="center" vertical="top" wrapText="1"/>
    </xf>
    <xf numFmtId="164" fontId="10" fillId="4" borderId="75" xfId="0" applyNumberFormat="1" applyFont="1" applyFill="1" applyBorder="1" applyAlignment="1">
      <alignment horizontal="center" vertical="top" wrapText="1"/>
    </xf>
    <xf numFmtId="49" fontId="28" fillId="4" borderId="6" xfId="2" applyNumberFormat="1" applyFont="1" applyFill="1" applyBorder="1" applyAlignment="1">
      <alignment horizontal="center" vertical="top"/>
    </xf>
    <xf numFmtId="164" fontId="10" fillId="4" borderId="70" xfId="2" applyNumberFormat="1" applyFont="1" applyFill="1" applyBorder="1" applyAlignment="1">
      <alignment horizontal="center" vertical="top"/>
    </xf>
    <xf numFmtId="164" fontId="25" fillId="0" borderId="59" xfId="0" applyNumberFormat="1" applyFont="1" applyFill="1" applyBorder="1" applyAlignment="1">
      <alignment horizontal="center" vertical="top"/>
    </xf>
    <xf numFmtId="164" fontId="25" fillId="0" borderId="28" xfId="0" applyNumberFormat="1" applyFont="1" applyFill="1" applyBorder="1" applyAlignment="1">
      <alignment horizontal="center" vertical="top"/>
    </xf>
    <xf numFmtId="164" fontId="18" fillId="0" borderId="26" xfId="0" applyNumberFormat="1" applyFont="1" applyBorder="1" applyAlignment="1">
      <alignment horizontal="center" vertical="top" wrapText="1"/>
    </xf>
    <xf numFmtId="3" fontId="4" fillId="4" borderId="17" xfId="0" applyNumberFormat="1" applyFont="1" applyFill="1" applyBorder="1" applyAlignment="1">
      <alignment horizontal="center" vertical="top"/>
    </xf>
    <xf numFmtId="164" fontId="4" fillId="4" borderId="0" xfId="0" applyNumberFormat="1" applyFont="1" applyFill="1" applyBorder="1" applyAlignment="1">
      <alignment horizontal="center" vertical="top"/>
    </xf>
    <xf numFmtId="4" fontId="4" fillId="4" borderId="7" xfId="0" applyNumberFormat="1" applyFont="1" applyFill="1" applyBorder="1" applyAlignment="1">
      <alignment horizontal="center" vertical="top"/>
    </xf>
    <xf numFmtId="3" fontId="14" fillId="4" borderId="62" xfId="0" applyNumberFormat="1" applyFont="1" applyFill="1" applyBorder="1" applyAlignment="1">
      <alignment horizontal="center" vertical="top"/>
    </xf>
    <xf numFmtId="3" fontId="14" fillId="4" borderId="61" xfId="0" applyNumberFormat="1" applyFont="1" applyFill="1" applyBorder="1" applyAlignment="1">
      <alignment horizontal="center" vertical="top"/>
    </xf>
    <xf numFmtId="3" fontId="14" fillId="4" borderId="51" xfId="0" applyNumberFormat="1" applyFont="1" applyFill="1" applyBorder="1" applyAlignment="1">
      <alignment horizontal="center" vertical="top" wrapText="1"/>
    </xf>
    <xf numFmtId="3" fontId="14" fillId="4" borderId="52" xfId="0" applyNumberFormat="1" applyFont="1" applyFill="1" applyBorder="1" applyAlignment="1">
      <alignment horizontal="center" vertical="top" wrapText="1"/>
    </xf>
    <xf numFmtId="3" fontId="14" fillId="4" borderId="61" xfId="0" applyNumberFormat="1" applyFont="1" applyFill="1" applyBorder="1" applyAlignment="1">
      <alignment horizontal="center" vertical="top" wrapText="1"/>
    </xf>
    <xf numFmtId="3" fontId="14" fillId="4" borderId="33" xfId="0" applyNumberFormat="1" applyFont="1" applyFill="1" applyBorder="1" applyAlignment="1">
      <alignment horizontal="center" vertical="top" wrapText="1"/>
    </xf>
    <xf numFmtId="3" fontId="14" fillId="4" borderId="39" xfId="0" applyNumberFormat="1" applyFont="1" applyFill="1" applyBorder="1" applyAlignment="1">
      <alignment horizontal="center" vertical="top" wrapText="1"/>
    </xf>
    <xf numFmtId="164" fontId="14" fillId="4" borderId="13" xfId="0" applyNumberFormat="1" applyFont="1" applyFill="1" applyBorder="1" applyAlignment="1">
      <alignment horizontal="center" vertical="top" wrapText="1"/>
    </xf>
    <xf numFmtId="164" fontId="14" fillId="4" borderId="3" xfId="0" applyNumberFormat="1" applyFont="1" applyFill="1" applyBorder="1" applyAlignment="1">
      <alignment horizontal="center" vertical="top" wrapText="1"/>
    </xf>
    <xf numFmtId="164" fontId="25" fillId="4" borderId="18" xfId="0" applyNumberFormat="1" applyFont="1" applyFill="1" applyBorder="1" applyAlignment="1">
      <alignment horizontal="center" vertical="center"/>
    </xf>
    <xf numFmtId="164" fontId="25" fillId="4" borderId="7" xfId="0" applyNumberFormat="1" applyFont="1" applyFill="1" applyBorder="1" applyAlignment="1">
      <alignment horizontal="center" vertical="center"/>
    </xf>
    <xf numFmtId="164" fontId="10" fillId="4" borderId="31" xfId="0" applyNumberFormat="1" applyFont="1" applyFill="1" applyBorder="1" applyAlignment="1">
      <alignment horizontal="center" vertical="top"/>
    </xf>
    <xf numFmtId="164" fontId="18" fillId="0" borderId="66" xfId="0" applyNumberFormat="1" applyFont="1" applyFill="1" applyBorder="1" applyAlignment="1">
      <alignment horizontal="center" vertical="top" wrapText="1"/>
    </xf>
    <xf numFmtId="164" fontId="18" fillId="0" borderId="34" xfId="0" applyNumberFormat="1" applyFont="1" applyFill="1" applyBorder="1" applyAlignment="1">
      <alignment horizontal="center" vertical="top" wrapText="1"/>
    </xf>
    <xf numFmtId="164" fontId="18" fillId="4" borderId="66" xfId="0" applyNumberFormat="1" applyFont="1" applyFill="1" applyBorder="1" applyAlignment="1">
      <alignment horizontal="center" vertical="top" wrapText="1"/>
    </xf>
    <xf numFmtId="164" fontId="18" fillId="0" borderId="42" xfId="0" applyNumberFormat="1" applyFont="1" applyFill="1" applyBorder="1" applyAlignment="1">
      <alignment horizontal="center" vertical="top" wrapText="1"/>
    </xf>
    <xf numFmtId="164" fontId="18" fillId="0" borderId="57" xfId="0" applyNumberFormat="1" applyFont="1" applyFill="1" applyBorder="1" applyAlignment="1">
      <alignment horizontal="center" vertical="top" wrapText="1"/>
    </xf>
    <xf numFmtId="164" fontId="18" fillId="0" borderId="4" xfId="0" applyNumberFormat="1" applyFont="1" applyFill="1" applyBorder="1" applyAlignment="1">
      <alignment horizontal="center" vertical="top" wrapText="1"/>
    </xf>
    <xf numFmtId="164" fontId="18" fillId="0" borderId="45" xfId="0" applyNumberFormat="1" applyFont="1" applyFill="1" applyBorder="1" applyAlignment="1">
      <alignment horizontal="center" vertical="top" wrapText="1"/>
    </xf>
    <xf numFmtId="3" fontId="18" fillId="4" borderId="59" xfId="0" applyNumberFormat="1" applyFont="1" applyFill="1" applyBorder="1" applyAlignment="1">
      <alignment horizontal="left" vertical="top" wrapText="1"/>
    </xf>
    <xf numFmtId="164" fontId="18" fillId="4" borderId="66" xfId="0" applyNumberFormat="1" applyFont="1" applyFill="1" applyBorder="1" applyAlignment="1">
      <alignment horizontal="center" vertical="top"/>
    </xf>
    <xf numFmtId="164" fontId="18" fillId="4" borderId="26" xfId="0" applyNumberFormat="1" applyFont="1" applyFill="1" applyBorder="1" applyAlignment="1">
      <alignment horizontal="center" vertical="top"/>
    </xf>
    <xf numFmtId="3" fontId="1" fillId="0" borderId="2" xfId="0" applyNumberFormat="1" applyFont="1" applyBorder="1" applyAlignment="1">
      <alignment vertical="top" wrapText="1"/>
    </xf>
    <xf numFmtId="3" fontId="4" fillId="4" borderId="46" xfId="0" applyNumberFormat="1" applyFont="1" applyFill="1" applyBorder="1" applyAlignment="1">
      <alignment horizontal="center" vertical="top" wrapText="1"/>
    </xf>
    <xf numFmtId="164" fontId="2" fillId="5" borderId="68" xfId="0" applyNumberFormat="1" applyFont="1" applyFill="1" applyBorder="1" applyAlignment="1">
      <alignment horizontal="center" vertical="top" wrapText="1"/>
    </xf>
    <xf numFmtId="164" fontId="1" fillId="4" borderId="53" xfId="0" applyNumberFormat="1" applyFont="1" applyFill="1" applyBorder="1" applyAlignment="1">
      <alignment horizontal="center" vertical="top"/>
    </xf>
    <xf numFmtId="164" fontId="2" fillId="5" borderId="19" xfId="0" applyNumberFormat="1" applyFont="1" applyFill="1" applyBorder="1" applyAlignment="1">
      <alignment horizontal="center" vertical="top" wrapText="1"/>
    </xf>
    <xf numFmtId="164" fontId="1" fillId="4" borderId="32" xfId="0" applyNumberFormat="1" applyFont="1" applyFill="1" applyBorder="1" applyAlignment="1">
      <alignment horizontal="center" vertical="top"/>
    </xf>
    <xf numFmtId="3" fontId="1" fillId="4" borderId="28" xfId="0" applyNumberFormat="1" applyFont="1" applyFill="1" applyBorder="1" applyAlignment="1">
      <alignment horizontal="center" vertical="top" wrapText="1"/>
    </xf>
    <xf numFmtId="3" fontId="1" fillId="4" borderId="7" xfId="0" applyNumberFormat="1" applyFont="1" applyFill="1" applyBorder="1" applyAlignment="1">
      <alignment horizontal="center" vertical="top" wrapText="1"/>
    </xf>
    <xf numFmtId="3" fontId="1" fillId="4" borderId="15" xfId="0" applyNumberFormat="1" applyFont="1" applyFill="1" applyBorder="1" applyAlignment="1">
      <alignment horizontal="center" vertical="top" wrapText="1"/>
    </xf>
    <xf numFmtId="3" fontId="1" fillId="4" borderId="59" xfId="0" applyNumberFormat="1" applyFont="1" applyFill="1" applyBorder="1" applyAlignment="1">
      <alignment horizontal="center" vertical="top" wrapText="1"/>
    </xf>
    <xf numFmtId="164" fontId="1" fillId="4" borderId="35" xfId="0" applyNumberFormat="1" applyFont="1" applyFill="1" applyBorder="1" applyAlignment="1">
      <alignment horizontal="center" vertical="top" wrapText="1"/>
    </xf>
    <xf numFmtId="164" fontId="1" fillId="4" borderId="30" xfId="0" applyNumberFormat="1" applyFont="1" applyFill="1" applyBorder="1" applyAlignment="1">
      <alignment horizontal="center" vertical="top" wrapText="1"/>
    </xf>
    <xf numFmtId="164" fontId="1" fillId="4" borderId="71" xfId="0" applyNumberFormat="1" applyFont="1" applyFill="1" applyBorder="1" applyAlignment="1">
      <alignment horizontal="center" vertical="top" wrapText="1"/>
    </xf>
    <xf numFmtId="3" fontId="1" fillId="4" borderId="66" xfId="0" applyNumberFormat="1" applyFont="1" applyFill="1" applyBorder="1" applyAlignment="1">
      <alignment horizontal="center" vertical="top" wrapText="1"/>
    </xf>
    <xf numFmtId="3" fontId="1" fillId="4" borderId="4" xfId="0" applyNumberFormat="1" applyFont="1" applyFill="1" applyBorder="1" applyAlignment="1">
      <alignment horizontal="center" vertical="top" wrapText="1"/>
    </xf>
    <xf numFmtId="3" fontId="4" fillId="4" borderId="35" xfId="0" applyNumberFormat="1" applyFont="1" applyFill="1" applyBorder="1" applyAlignment="1">
      <alignment horizontal="center" vertical="top" wrapText="1"/>
    </xf>
    <xf numFmtId="3" fontId="16" fillId="4" borderId="17" xfId="0" applyNumberFormat="1" applyFont="1" applyFill="1" applyBorder="1" applyAlignment="1">
      <alignment horizontal="center" vertical="top" wrapText="1"/>
    </xf>
    <xf numFmtId="3" fontId="1" fillId="4" borderId="47" xfId="0" applyNumberFormat="1" applyFont="1" applyFill="1" applyBorder="1" applyAlignment="1">
      <alignment horizontal="center" vertical="top" wrapText="1"/>
    </xf>
    <xf numFmtId="3" fontId="4" fillId="0" borderId="56" xfId="0" applyNumberFormat="1" applyFont="1" applyBorder="1" applyAlignment="1">
      <alignment horizontal="center" vertical="center" textRotation="90" wrapText="1"/>
    </xf>
    <xf numFmtId="3" fontId="4" fillId="4" borderId="64" xfId="0" applyNumberFormat="1" applyFont="1" applyFill="1" applyBorder="1" applyAlignment="1">
      <alignment horizontal="center" vertical="top" wrapText="1"/>
    </xf>
    <xf numFmtId="3" fontId="4" fillId="4" borderId="3" xfId="0" applyNumberFormat="1" applyFont="1" applyFill="1" applyBorder="1" applyAlignment="1">
      <alignment horizontal="center" vertical="top" wrapText="1"/>
    </xf>
    <xf numFmtId="49" fontId="4" fillId="4" borderId="32" xfId="0" applyNumberFormat="1" applyFont="1" applyFill="1" applyBorder="1" applyAlignment="1">
      <alignment horizontal="center" vertical="top" wrapText="1"/>
    </xf>
    <xf numFmtId="49" fontId="4" fillId="4" borderId="31" xfId="0" applyNumberFormat="1" applyFont="1" applyFill="1" applyBorder="1" applyAlignment="1">
      <alignment horizontal="center" vertical="top" wrapText="1"/>
    </xf>
    <xf numFmtId="3" fontId="4" fillId="4" borderId="80" xfId="0" applyNumberFormat="1" applyFont="1" applyFill="1" applyBorder="1" applyAlignment="1">
      <alignment horizontal="center" vertical="top" wrapText="1"/>
    </xf>
    <xf numFmtId="3" fontId="4" fillId="4" borderId="77" xfId="0" applyNumberFormat="1" applyFont="1" applyFill="1" applyBorder="1" applyAlignment="1">
      <alignment horizontal="center" vertical="top" wrapText="1"/>
    </xf>
    <xf numFmtId="3" fontId="4" fillId="4" borderId="67" xfId="0" applyNumberFormat="1" applyFont="1" applyFill="1" applyBorder="1" applyAlignment="1">
      <alignment horizontal="center" vertical="top" wrapText="1"/>
    </xf>
    <xf numFmtId="3" fontId="4" fillId="4" borderId="63" xfId="0" applyNumberFormat="1" applyFont="1" applyFill="1" applyBorder="1" applyAlignment="1">
      <alignment horizontal="center" vertical="top" wrapText="1"/>
    </xf>
    <xf numFmtId="3" fontId="1" fillId="4" borderId="0" xfId="0" applyNumberFormat="1" applyFont="1" applyFill="1" applyBorder="1" applyAlignment="1">
      <alignment horizontal="center" vertical="top" wrapText="1"/>
    </xf>
    <xf numFmtId="3" fontId="4" fillId="4" borderId="43" xfId="0" applyNumberFormat="1" applyFont="1" applyFill="1" applyBorder="1" applyAlignment="1">
      <alignment horizontal="center" vertical="top" wrapText="1"/>
    </xf>
    <xf numFmtId="3" fontId="4" fillId="4" borderId="56" xfId="0" applyNumberFormat="1" applyFont="1" applyFill="1" applyBorder="1" applyAlignment="1">
      <alignment horizontal="center" vertical="top" wrapText="1"/>
    </xf>
    <xf numFmtId="3" fontId="4" fillId="4" borderId="16" xfId="0" applyNumberFormat="1" applyFont="1" applyFill="1" applyBorder="1" applyAlignment="1">
      <alignment horizontal="left" vertical="top" wrapText="1"/>
    </xf>
    <xf numFmtId="3" fontId="1" fillId="4" borderId="12" xfId="0" applyNumberFormat="1" applyFont="1" applyFill="1" applyBorder="1" applyAlignment="1">
      <alignment horizontal="left" vertical="top" wrapText="1"/>
    </xf>
    <xf numFmtId="3" fontId="1" fillId="4" borderId="12" xfId="0" applyNumberFormat="1" applyFont="1" applyFill="1" applyBorder="1" applyAlignment="1">
      <alignment vertical="top" wrapText="1"/>
    </xf>
    <xf numFmtId="3" fontId="4" fillId="4" borderId="78" xfId="0" applyNumberFormat="1" applyFont="1" applyFill="1" applyBorder="1" applyAlignment="1">
      <alignment horizontal="center" vertical="top" wrapText="1"/>
    </xf>
    <xf numFmtId="3" fontId="4" fillId="4" borderId="34" xfId="0" applyNumberFormat="1" applyFont="1" applyFill="1" applyBorder="1" applyAlignment="1">
      <alignment horizontal="center" vertical="top" wrapText="1"/>
    </xf>
    <xf numFmtId="3" fontId="4" fillId="4" borderId="79" xfId="0" applyNumberFormat="1" applyFont="1" applyFill="1" applyBorder="1" applyAlignment="1">
      <alignment horizontal="center" vertical="top" wrapText="1"/>
    </xf>
    <xf numFmtId="49" fontId="4" fillId="4" borderId="0" xfId="0" applyNumberFormat="1" applyFont="1" applyFill="1" applyBorder="1" applyAlignment="1">
      <alignment horizontal="center" vertical="top" wrapText="1"/>
    </xf>
    <xf numFmtId="3" fontId="10" fillId="4" borderId="38" xfId="0" applyNumberFormat="1" applyFont="1" applyFill="1" applyBorder="1" applyAlignment="1">
      <alignment horizontal="center" vertical="top" wrapText="1"/>
    </xf>
    <xf numFmtId="3" fontId="4" fillId="4" borderId="38" xfId="0" applyNumberFormat="1" applyFont="1" applyFill="1" applyBorder="1" applyAlignment="1">
      <alignment horizontal="center" vertical="top" wrapText="1"/>
    </xf>
    <xf numFmtId="3" fontId="4" fillId="4" borderId="0" xfId="0" applyNumberFormat="1" applyFont="1" applyFill="1" applyBorder="1" applyAlignment="1">
      <alignment vertical="top" wrapText="1"/>
    </xf>
    <xf numFmtId="3" fontId="4" fillId="4" borderId="22" xfId="0" applyNumberFormat="1" applyFont="1" applyFill="1" applyBorder="1" applyAlignment="1">
      <alignment horizontal="center" vertical="top" wrapText="1"/>
    </xf>
    <xf numFmtId="3" fontId="4" fillId="4" borderId="47" xfId="0" applyNumberFormat="1" applyFont="1" applyFill="1" applyBorder="1" applyAlignment="1">
      <alignment horizontal="center" vertical="top" wrapText="1"/>
    </xf>
    <xf numFmtId="164" fontId="4" fillId="4" borderId="29" xfId="0" applyNumberFormat="1" applyFont="1" applyFill="1" applyBorder="1" applyAlignment="1">
      <alignment horizontal="center" vertical="top" wrapText="1"/>
    </xf>
    <xf numFmtId="164" fontId="4" fillId="4" borderId="0" xfId="0" applyNumberFormat="1" applyFont="1" applyFill="1" applyBorder="1" applyAlignment="1">
      <alignment vertical="top" wrapText="1"/>
    </xf>
    <xf numFmtId="164" fontId="2" fillId="4" borderId="32" xfId="0" applyNumberFormat="1" applyFont="1" applyFill="1" applyBorder="1" applyAlignment="1">
      <alignment vertical="top"/>
    </xf>
    <xf numFmtId="3" fontId="4" fillId="4" borderId="56" xfId="0" applyNumberFormat="1" applyFont="1" applyFill="1" applyBorder="1" applyAlignment="1">
      <alignment vertical="top" wrapText="1"/>
    </xf>
    <xf numFmtId="3" fontId="4" fillId="4" borderId="20" xfId="0" applyNumberFormat="1" applyFont="1" applyFill="1" applyBorder="1" applyAlignment="1">
      <alignment horizontal="center" vertical="top" wrapText="1"/>
    </xf>
    <xf numFmtId="4" fontId="4" fillId="4" borderId="47" xfId="0" applyNumberFormat="1" applyFont="1" applyFill="1" applyBorder="1" applyAlignment="1">
      <alignment horizontal="center" vertical="top" wrapText="1"/>
    </xf>
    <xf numFmtId="4" fontId="4" fillId="4" borderId="46" xfId="0" applyNumberFormat="1" applyFont="1" applyFill="1" applyBorder="1" applyAlignment="1">
      <alignment horizontal="center" vertical="top" wrapText="1"/>
    </xf>
    <xf numFmtId="3" fontId="4" fillId="4" borderId="50" xfId="0" applyNumberFormat="1" applyFont="1" applyFill="1" applyBorder="1" applyAlignment="1">
      <alignment horizontal="center" vertical="top" wrapText="1"/>
    </xf>
    <xf numFmtId="165" fontId="4" fillId="0" borderId="12" xfId="0" applyNumberFormat="1" applyFont="1" applyBorder="1" applyAlignment="1">
      <alignment horizontal="center" vertical="center" wrapText="1"/>
    </xf>
    <xf numFmtId="165" fontId="4" fillId="0" borderId="16" xfId="0" applyNumberFormat="1" applyFont="1" applyBorder="1" applyAlignment="1">
      <alignment horizontal="center" vertical="center" wrapText="1"/>
    </xf>
    <xf numFmtId="165" fontId="2" fillId="7" borderId="35" xfId="0" applyNumberFormat="1" applyFont="1" applyFill="1" applyBorder="1" applyAlignment="1">
      <alignment horizontal="center" vertical="top" wrapText="1"/>
    </xf>
    <xf numFmtId="3" fontId="4" fillId="4" borderId="36" xfId="0" applyNumberFormat="1" applyFont="1" applyFill="1" applyBorder="1" applyAlignment="1">
      <alignment horizontal="left" vertical="top" wrapText="1"/>
    </xf>
    <xf numFmtId="3" fontId="1" fillId="4" borderId="19" xfId="0" applyNumberFormat="1" applyFont="1" applyFill="1" applyBorder="1" applyAlignment="1">
      <alignment horizontal="center" vertical="top" wrapText="1"/>
    </xf>
    <xf numFmtId="3" fontId="1" fillId="4" borderId="14" xfId="0" applyNumberFormat="1" applyFont="1" applyFill="1" applyBorder="1" applyAlignment="1">
      <alignment horizontal="center" vertical="top" wrapText="1"/>
    </xf>
    <xf numFmtId="3" fontId="1" fillId="4" borderId="12" xfId="0" applyNumberFormat="1" applyFont="1" applyFill="1" applyBorder="1" applyAlignment="1">
      <alignment horizontal="center" vertical="top" wrapText="1"/>
    </xf>
    <xf numFmtId="3" fontId="1" fillId="4" borderId="76"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xf>
    <xf numFmtId="3" fontId="2" fillId="4" borderId="13" xfId="0" applyNumberFormat="1" applyFont="1" applyFill="1" applyBorder="1" applyAlignment="1">
      <alignment horizontal="center" vertical="top" textRotation="90" wrapText="1"/>
    </xf>
    <xf numFmtId="3" fontId="2" fillId="4" borderId="19" xfId="0" applyNumberFormat="1" applyFont="1" applyFill="1" applyBorder="1" applyAlignment="1">
      <alignment horizontal="center" vertical="top" textRotation="90" wrapText="1"/>
    </xf>
    <xf numFmtId="3" fontId="1" fillId="0" borderId="74" xfId="0" applyNumberFormat="1" applyFont="1" applyFill="1" applyBorder="1" applyAlignment="1">
      <alignment horizontal="center" vertical="top" wrapText="1"/>
    </xf>
    <xf numFmtId="3" fontId="2" fillId="8" borderId="54" xfId="0" applyNumberFormat="1" applyFont="1" applyFill="1" applyBorder="1" applyAlignment="1">
      <alignment horizontal="center" vertical="top" wrapText="1"/>
    </xf>
    <xf numFmtId="3" fontId="2" fillId="8" borderId="72" xfId="0" applyNumberFormat="1" applyFont="1" applyFill="1" applyBorder="1" applyAlignment="1">
      <alignment horizontal="center" vertical="top" wrapText="1"/>
    </xf>
    <xf numFmtId="3" fontId="1" fillId="0" borderId="0" xfId="0" applyNumberFormat="1" applyFont="1" applyAlignment="1">
      <alignment horizontal="center" vertical="top" wrapText="1"/>
    </xf>
    <xf numFmtId="49" fontId="1" fillId="0" borderId="0" xfId="0" applyNumberFormat="1" applyFont="1" applyAlignment="1">
      <alignment vertical="top" wrapText="1"/>
    </xf>
    <xf numFmtId="3" fontId="1" fillId="0" borderId="0" xfId="0" applyNumberFormat="1" applyFont="1" applyAlignment="1">
      <alignment vertical="top" wrapText="1"/>
    </xf>
    <xf numFmtId="3" fontId="4" fillId="0" borderId="0" xfId="0" applyNumberFormat="1" applyFont="1" applyAlignment="1">
      <alignment horizontal="center" vertical="top" wrapText="1"/>
    </xf>
    <xf numFmtId="165" fontId="1" fillId="0" borderId="0" xfId="0" applyNumberFormat="1" applyFont="1" applyAlignment="1">
      <alignment horizontal="center" vertical="top" wrapText="1"/>
    </xf>
    <xf numFmtId="3" fontId="1" fillId="0" borderId="0" xfId="0" applyNumberFormat="1" applyFont="1" applyBorder="1" applyAlignment="1">
      <alignment vertical="top" wrapText="1"/>
    </xf>
    <xf numFmtId="3" fontId="8" fillId="0" borderId="0" xfId="0" applyNumberFormat="1" applyFont="1" applyBorder="1" applyAlignment="1">
      <alignment vertical="top" wrapText="1"/>
    </xf>
    <xf numFmtId="164" fontId="4" fillId="0" borderId="0" xfId="0" applyNumberFormat="1" applyFont="1" applyBorder="1" applyAlignment="1">
      <alignment vertical="top" wrapText="1"/>
    </xf>
    <xf numFmtId="3" fontId="4" fillId="0" borderId="0" xfId="0" applyNumberFormat="1" applyFont="1" applyBorder="1" applyAlignment="1">
      <alignment vertical="top" wrapText="1"/>
    </xf>
    <xf numFmtId="49" fontId="5" fillId="8" borderId="12" xfId="0" applyNumberFormat="1" applyFont="1" applyFill="1" applyBorder="1" applyAlignment="1">
      <alignment vertical="top" wrapText="1"/>
    </xf>
    <xf numFmtId="49" fontId="5" fillId="8" borderId="16" xfId="0" applyNumberFormat="1" applyFont="1" applyFill="1" applyBorder="1" applyAlignment="1">
      <alignment horizontal="center" vertical="top" wrapText="1"/>
    </xf>
    <xf numFmtId="49" fontId="5" fillId="2" borderId="32" xfId="0" applyNumberFormat="1" applyFont="1" applyFill="1" applyBorder="1" applyAlignment="1">
      <alignment horizontal="center" vertical="top" wrapText="1"/>
    </xf>
    <xf numFmtId="49" fontId="5" fillId="8" borderId="16" xfId="0" applyNumberFormat="1" applyFont="1" applyFill="1" applyBorder="1" applyAlignment="1">
      <alignment vertical="top" wrapText="1"/>
    </xf>
    <xf numFmtId="49" fontId="5" fillId="2" borderId="13" xfId="0" applyNumberFormat="1" applyFont="1" applyFill="1" applyBorder="1" applyAlignment="1">
      <alignment vertical="top" wrapText="1"/>
    </xf>
    <xf numFmtId="49" fontId="5" fillId="3" borderId="64" xfId="0" applyNumberFormat="1" applyFont="1" applyFill="1" applyBorder="1" applyAlignment="1">
      <alignment horizontal="center" vertical="top" wrapText="1"/>
    </xf>
    <xf numFmtId="3" fontId="5" fillId="0" borderId="71" xfId="0" applyNumberFormat="1" applyFont="1" applyBorder="1" applyAlignment="1">
      <alignment horizontal="center" vertical="top" wrapText="1"/>
    </xf>
    <xf numFmtId="49" fontId="5" fillId="8" borderId="17" xfId="0" applyNumberFormat="1" applyFont="1" applyFill="1" applyBorder="1" applyAlignment="1">
      <alignment vertical="top" wrapText="1"/>
    </xf>
    <xf numFmtId="49" fontId="5" fillId="2" borderId="18" xfId="0" applyNumberFormat="1" applyFont="1" applyFill="1" applyBorder="1" applyAlignment="1">
      <alignment horizontal="center" vertical="top" wrapText="1"/>
    </xf>
    <xf numFmtId="49" fontId="5" fillId="3" borderId="32" xfId="0" applyNumberFormat="1" applyFont="1" applyFill="1" applyBorder="1" applyAlignment="1">
      <alignment vertical="top" wrapText="1"/>
    </xf>
    <xf numFmtId="3" fontId="5" fillId="0" borderId="32" xfId="0" applyNumberFormat="1" applyFont="1" applyBorder="1" applyAlignment="1">
      <alignment horizontal="center" vertical="top" wrapText="1"/>
    </xf>
    <xf numFmtId="49" fontId="5" fillId="2" borderId="18" xfId="0" applyNumberFormat="1" applyFont="1" applyFill="1" applyBorder="1" applyAlignment="1">
      <alignment vertical="top" wrapText="1"/>
    </xf>
    <xf numFmtId="49" fontId="5" fillId="8" borderId="40" xfId="0" applyNumberFormat="1" applyFont="1" applyFill="1" applyBorder="1" applyAlignment="1">
      <alignment horizontal="center" vertical="top" wrapText="1"/>
    </xf>
    <xf numFmtId="49" fontId="5" fillId="3" borderId="0" xfId="0" applyNumberFormat="1" applyFont="1" applyFill="1" applyBorder="1" applyAlignment="1">
      <alignment horizontal="center" vertical="top" wrapText="1"/>
    </xf>
    <xf numFmtId="49" fontId="5" fillId="3" borderId="32" xfId="0" applyNumberFormat="1" applyFont="1" applyFill="1" applyBorder="1" applyAlignment="1">
      <alignment horizontal="center" vertical="top" wrapText="1"/>
    </xf>
    <xf numFmtId="49" fontId="5" fillId="8" borderId="17" xfId="0" applyNumberFormat="1" applyFont="1" applyFill="1" applyBorder="1" applyAlignment="1">
      <alignment horizontal="center" vertical="top" wrapText="1"/>
    </xf>
    <xf numFmtId="3" fontId="5" fillId="0" borderId="32" xfId="0" applyNumberFormat="1" applyFont="1" applyFill="1" applyBorder="1" applyAlignment="1">
      <alignment horizontal="center" vertical="top" wrapText="1"/>
    </xf>
    <xf numFmtId="3" fontId="5" fillId="4" borderId="32" xfId="0" applyNumberFormat="1" applyFont="1" applyFill="1" applyBorder="1" applyAlignment="1">
      <alignment horizontal="center" vertical="top" wrapText="1"/>
    </xf>
    <xf numFmtId="3" fontId="2" fillId="0" borderId="0" xfId="0" applyNumberFormat="1" applyFont="1" applyFill="1" applyBorder="1" applyAlignment="1">
      <alignment horizontal="center" vertical="center" wrapText="1"/>
    </xf>
    <xf numFmtId="3" fontId="2" fillId="0" borderId="32" xfId="0" applyNumberFormat="1" applyFont="1" applyBorder="1" applyAlignment="1">
      <alignment horizontal="center" vertical="top" wrapText="1"/>
    </xf>
    <xf numFmtId="3" fontId="3" fillId="0" borderId="0" xfId="0" applyNumberFormat="1" applyFont="1" applyAlignment="1">
      <alignment wrapText="1"/>
    </xf>
    <xf numFmtId="3" fontId="4" fillId="4" borderId="45" xfId="0" applyNumberFormat="1" applyFont="1" applyFill="1" applyBorder="1" applyAlignment="1">
      <alignment horizontal="center" vertical="top" wrapText="1"/>
    </xf>
    <xf numFmtId="49" fontId="5" fillId="8" borderId="40" xfId="0" applyNumberFormat="1" applyFont="1" applyFill="1" applyBorder="1" applyAlignment="1">
      <alignment vertical="top" wrapText="1"/>
    </xf>
    <xf numFmtId="3" fontId="5" fillId="0" borderId="32" xfId="0" applyNumberFormat="1" applyFont="1" applyBorder="1" applyAlignment="1">
      <alignment vertical="top" wrapText="1"/>
    </xf>
    <xf numFmtId="3" fontId="1" fillId="4" borderId="30" xfId="0" applyNumberFormat="1" applyFont="1" applyFill="1" applyBorder="1" applyAlignment="1">
      <alignment horizontal="center" vertical="top" wrapText="1"/>
    </xf>
    <xf numFmtId="49" fontId="2" fillId="8" borderId="17" xfId="0" applyNumberFormat="1" applyFont="1" applyFill="1" applyBorder="1" applyAlignment="1">
      <alignment vertical="top" wrapText="1"/>
    </xf>
    <xf numFmtId="49" fontId="2" fillId="2" borderId="18" xfId="0" applyNumberFormat="1" applyFont="1" applyFill="1" applyBorder="1" applyAlignment="1">
      <alignment vertical="top" wrapText="1"/>
    </xf>
    <xf numFmtId="49" fontId="2" fillId="3" borderId="32" xfId="0" applyNumberFormat="1" applyFont="1" applyFill="1" applyBorder="1" applyAlignment="1">
      <alignment vertical="top" wrapText="1"/>
    </xf>
    <xf numFmtId="4" fontId="4" fillId="4" borderId="44" xfId="0" applyNumberFormat="1" applyFont="1" applyFill="1" applyBorder="1" applyAlignment="1">
      <alignment horizontal="center" vertical="top" wrapText="1"/>
    </xf>
    <xf numFmtId="49" fontId="2" fillId="8" borderId="17" xfId="0" applyNumberFormat="1" applyFont="1" applyFill="1" applyBorder="1" applyAlignment="1">
      <alignment horizontal="center" vertical="top" wrapText="1"/>
    </xf>
    <xf numFmtId="49" fontId="2" fillId="2" borderId="18" xfId="0" applyNumberFormat="1" applyFont="1" applyFill="1" applyBorder="1" applyAlignment="1">
      <alignment horizontal="center" vertical="top" wrapText="1"/>
    </xf>
    <xf numFmtId="49" fontId="2" fillId="3" borderId="32" xfId="0" applyNumberFormat="1" applyFont="1" applyFill="1" applyBorder="1" applyAlignment="1">
      <alignment horizontal="center" vertical="top" wrapText="1"/>
    </xf>
    <xf numFmtId="3" fontId="2" fillId="4" borderId="32" xfId="0" applyNumberFormat="1" applyFont="1" applyFill="1" applyBorder="1" applyAlignment="1">
      <alignment horizontal="center" vertical="top" wrapText="1"/>
    </xf>
    <xf numFmtId="3" fontId="1" fillId="0" borderId="12" xfId="0" applyNumberFormat="1" applyFont="1" applyBorder="1" applyAlignment="1">
      <alignment horizontal="center" vertical="top" wrapText="1"/>
    </xf>
    <xf numFmtId="3" fontId="1" fillId="0" borderId="76" xfId="0" applyNumberFormat="1" applyFont="1" applyBorder="1" applyAlignment="1">
      <alignment horizontal="center" vertical="top" wrapText="1"/>
    </xf>
    <xf numFmtId="3" fontId="2" fillId="0" borderId="32" xfId="0" applyNumberFormat="1" applyFont="1" applyFill="1" applyBorder="1" applyAlignment="1">
      <alignment horizontal="center" vertical="top" wrapText="1"/>
    </xf>
    <xf numFmtId="3" fontId="1" fillId="0" borderId="38" xfId="0" applyNumberFormat="1" applyFont="1" applyBorder="1" applyAlignment="1">
      <alignment horizontal="center" vertical="top" wrapText="1"/>
    </xf>
    <xf numFmtId="3" fontId="1" fillId="0" borderId="17" xfId="0" applyNumberFormat="1" applyFont="1" applyBorder="1" applyAlignment="1">
      <alignment horizontal="center" vertical="top" wrapText="1"/>
    </xf>
    <xf numFmtId="0" fontId="4" fillId="4" borderId="30" xfId="0" applyFont="1" applyFill="1" applyBorder="1" applyAlignment="1">
      <alignment horizontal="center" vertical="top" wrapText="1"/>
    </xf>
    <xf numFmtId="0" fontId="4" fillId="4" borderId="35" xfId="0" applyFont="1" applyFill="1" applyBorder="1" applyAlignment="1">
      <alignment horizontal="center" vertical="top" wrapText="1"/>
    </xf>
    <xf numFmtId="0" fontId="1" fillId="4" borderId="29" xfId="0" applyFont="1" applyFill="1" applyBorder="1" applyAlignment="1">
      <alignment horizontal="center" vertical="top" wrapText="1"/>
    </xf>
    <xf numFmtId="3" fontId="1" fillId="0" borderId="30" xfId="0" applyNumberFormat="1" applyFont="1" applyBorder="1" applyAlignment="1">
      <alignment horizontal="center" vertical="top" wrapText="1"/>
    </xf>
    <xf numFmtId="3" fontId="1" fillId="0" borderId="56" xfId="0" applyNumberFormat="1" applyFont="1" applyBorder="1" applyAlignment="1">
      <alignment horizontal="center" vertical="top" wrapText="1"/>
    </xf>
    <xf numFmtId="0" fontId="17" fillId="4" borderId="44" xfId="0" applyFont="1" applyFill="1" applyBorder="1" applyAlignment="1">
      <alignment horizontal="center" vertical="top" wrapText="1"/>
    </xf>
    <xf numFmtId="0" fontId="17" fillId="4" borderId="48" xfId="0" applyFont="1" applyFill="1" applyBorder="1" applyAlignment="1">
      <alignment horizontal="center" vertical="top" wrapText="1"/>
    </xf>
    <xf numFmtId="0" fontId="12" fillId="4" borderId="4" xfId="0" applyFont="1" applyFill="1" applyBorder="1" applyAlignment="1">
      <alignment horizontal="center" vertical="top" wrapText="1"/>
    </xf>
    <xf numFmtId="3" fontId="4" fillId="0" borderId="44" xfId="0" applyNumberFormat="1" applyFont="1" applyBorder="1" applyAlignment="1">
      <alignment horizontal="center" vertical="top" wrapText="1"/>
    </xf>
    <xf numFmtId="49" fontId="2" fillId="8" borderId="40" xfId="0" applyNumberFormat="1" applyFont="1" applyFill="1" applyBorder="1" applyAlignment="1">
      <alignment horizontal="center" vertical="top" wrapText="1"/>
    </xf>
    <xf numFmtId="49" fontId="5" fillId="3" borderId="0" xfId="0" applyNumberFormat="1" applyFont="1" applyFill="1" applyBorder="1" applyAlignment="1">
      <alignment vertical="top" wrapText="1"/>
    </xf>
    <xf numFmtId="49" fontId="5" fillId="8" borderId="20" xfId="0" applyNumberFormat="1" applyFont="1" applyFill="1" applyBorder="1" applyAlignment="1">
      <alignment vertical="top" wrapText="1"/>
    </xf>
    <xf numFmtId="49" fontId="2" fillId="2" borderId="19" xfId="0" applyNumberFormat="1" applyFont="1" applyFill="1" applyBorder="1" applyAlignment="1">
      <alignment vertical="top" wrapText="1"/>
    </xf>
    <xf numFmtId="49" fontId="2" fillId="3" borderId="68" xfId="0" applyNumberFormat="1" applyFont="1" applyFill="1" applyBorder="1" applyAlignment="1">
      <alignment vertical="top" wrapText="1"/>
    </xf>
    <xf numFmtId="0" fontId="17" fillId="4" borderId="21" xfId="0" applyFont="1" applyFill="1" applyBorder="1" applyAlignment="1">
      <alignment horizontal="center" vertical="top" wrapText="1"/>
    </xf>
    <xf numFmtId="0" fontId="12" fillId="4" borderId="56" xfId="0" applyFont="1" applyFill="1" applyBorder="1" applyAlignment="1">
      <alignment horizontal="center" vertical="top" wrapText="1"/>
    </xf>
    <xf numFmtId="0" fontId="12" fillId="4" borderId="68" xfId="0" applyFont="1" applyFill="1" applyBorder="1" applyAlignment="1">
      <alignment horizontal="center" vertical="top" wrapText="1"/>
    </xf>
    <xf numFmtId="0" fontId="12" fillId="4" borderId="21" xfId="0" applyFont="1" applyFill="1" applyBorder="1" applyAlignment="1">
      <alignment horizontal="center" vertical="top" wrapText="1"/>
    </xf>
    <xf numFmtId="49" fontId="2" fillId="8" borderId="22" xfId="0" applyNumberFormat="1" applyFont="1" applyFill="1" applyBorder="1" applyAlignment="1">
      <alignment horizontal="center" vertical="top" wrapText="1"/>
    </xf>
    <xf numFmtId="49" fontId="2" fillId="2" borderId="13" xfId="0" applyNumberFormat="1" applyFont="1" applyFill="1" applyBorder="1" applyAlignment="1">
      <alignment horizontal="center" vertical="top" wrapText="1"/>
    </xf>
    <xf numFmtId="49" fontId="2" fillId="3" borderId="64" xfId="0" applyNumberFormat="1" applyFont="1" applyFill="1" applyBorder="1" applyAlignment="1">
      <alignment horizontal="center" vertical="top" wrapText="1"/>
    </xf>
    <xf numFmtId="3" fontId="2" fillId="0" borderId="64" xfId="0" applyNumberFormat="1" applyFont="1" applyBorder="1" applyAlignment="1">
      <alignment horizontal="center" vertical="top" wrapText="1"/>
    </xf>
    <xf numFmtId="3" fontId="1" fillId="0" borderId="16" xfId="0" applyNumberFormat="1" applyFont="1" applyBorder="1" applyAlignment="1">
      <alignment horizontal="center" vertical="top" wrapText="1"/>
    </xf>
    <xf numFmtId="3" fontId="2" fillId="0" borderId="31" xfId="0" applyNumberFormat="1" applyFont="1" applyBorder="1" applyAlignment="1">
      <alignment horizontal="center" vertical="top" wrapText="1"/>
    </xf>
    <xf numFmtId="3" fontId="4" fillId="4" borderId="21" xfId="0" applyNumberFormat="1" applyFont="1" applyFill="1" applyBorder="1" applyAlignment="1">
      <alignment horizontal="center" vertical="top" wrapText="1"/>
    </xf>
    <xf numFmtId="49" fontId="5" fillId="8" borderId="56" xfId="0" applyNumberFormat="1" applyFont="1" applyFill="1" applyBorder="1" applyAlignment="1">
      <alignment horizontal="center" vertical="top" wrapText="1"/>
    </xf>
    <xf numFmtId="49" fontId="2" fillId="2" borderId="19" xfId="0" applyNumberFormat="1" applyFont="1" applyFill="1" applyBorder="1" applyAlignment="1">
      <alignment horizontal="center" vertical="top" wrapText="1"/>
    </xf>
    <xf numFmtId="49" fontId="2" fillId="3" borderId="68" xfId="0" applyNumberFormat="1" applyFont="1" applyFill="1" applyBorder="1" applyAlignment="1">
      <alignment horizontal="center" vertical="top" wrapText="1"/>
    </xf>
    <xf numFmtId="3" fontId="2" fillId="0" borderId="68" xfId="0" applyNumberFormat="1" applyFont="1" applyFill="1" applyBorder="1" applyAlignment="1">
      <alignment horizontal="center" vertical="top" wrapText="1"/>
    </xf>
    <xf numFmtId="49" fontId="2" fillId="8" borderId="56" xfId="0" applyNumberFormat="1" applyFont="1" applyFill="1" applyBorder="1" applyAlignment="1">
      <alignment horizontal="center" vertical="top" wrapText="1"/>
    </xf>
    <xf numFmtId="3" fontId="2" fillId="4" borderId="68" xfId="0" applyNumberFormat="1" applyFont="1" applyFill="1" applyBorder="1" applyAlignment="1">
      <alignment horizontal="center" vertical="top" wrapText="1"/>
    </xf>
    <xf numFmtId="3" fontId="2" fillId="0" borderId="64" xfId="0" applyNumberFormat="1" applyFont="1" applyFill="1" applyBorder="1" applyAlignment="1">
      <alignment horizontal="center" vertical="top" wrapText="1"/>
    </xf>
    <xf numFmtId="49" fontId="5" fillId="8" borderId="22" xfId="0" applyNumberFormat="1" applyFont="1" applyFill="1" applyBorder="1" applyAlignment="1">
      <alignment horizontal="center" vertical="top" wrapText="1"/>
    </xf>
    <xf numFmtId="164" fontId="1" fillId="0" borderId="35" xfId="0" applyNumberFormat="1" applyFont="1" applyFill="1" applyBorder="1" applyAlignment="1">
      <alignment horizontal="center" vertical="top" wrapText="1"/>
    </xf>
    <xf numFmtId="164" fontId="1" fillId="0" borderId="29" xfId="0" applyNumberFormat="1" applyFont="1" applyFill="1" applyBorder="1" applyAlignment="1">
      <alignment horizontal="center" vertical="top" wrapText="1"/>
    </xf>
    <xf numFmtId="164" fontId="1" fillId="0" borderId="30" xfId="0" applyNumberFormat="1" applyFont="1" applyFill="1" applyBorder="1" applyAlignment="1">
      <alignment horizontal="center" vertical="top" wrapText="1"/>
    </xf>
    <xf numFmtId="3" fontId="1" fillId="4" borderId="71" xfId="0" applyNumberFormat="1" applyFont="1" applyFill="1" applyBorder="1" applyAlignment="1">
      <alignment horizontal="center" vertical="top" wrapText="1"/>
    </xf>
    <xf numFmtId="3" fontId="1" fillId="4" borderId="74" xfId="0" applyNumberFormat="1" applyFont="1" applyFill="1" applyBorder="1" applyAlignment="1">
      <alignment horizontal="center" vertical="top" wrapText="1"/>
    </xf>
    <xf numFmtId="164" fontId="1" fillId="4" borderId="53" xfId="0" applyNumberFormat="1" applyFont="1" applyFill="1" applyBorder="1" applyAlignment="1">
      <alignment horizontal="center" vertical="top" wrapText="1"/>
    </xf>
    <xf numFmtId="164" fontId="1" fillId="0" borderId="62" xfId="0" applyNumberFormat="1" applyFont="1" applyFill="1" applyBorder="1" applyAlignment="1">
      <alignment horizontal="center" vertical="top" wrapText="1"/>
    </xf>
    <xf numFmtId="164" fontId="1" fillId="0" borderId="42" xfId="0" applyNumberFormat="1" applyFont="1" applyFill="1" applyBorder="1" applyAlignment="1">
      <alignment horizontal="center" vertical="top" wrapText="1"/>
    </xf>
    <xf numFmtId="164" fontId="1" fillId="0" borderId="15" xfId="0" applyNumberFormat="1" applyFont="1" applyFill="1" applyBorder="1" applyAlignment="1">
      <alignment horizontal="center" vertical="top" wrapText="1"/>
    </xf>
    <xf numFmtId="3" fontId="1" fillId="0" borderId="39" xfId="0" applyNumberFormat="1" applyFont="1" applyBorder="1" applyAlignment="1">
      <alignment horizontal="center" vertical="top" wrapText="1"/>
    </xf>
    <xf numFmtId="164" fontId="1" fillId="4" borderId="33" xfId="0" applyNumberFormat="1" applyFont="1" applyFill="1" applyBorder="1" applyAlignment="1">
      <alignment horizontal="center" vertical="top" wrapText="1"/>
    </xf>
    <xf numFmtId="164" fontId="1" fillId="0" borderId="61" xfId="0" applyNumberFormat="1" applyFont="1" applyFill="1" applyBorder="1" applyAlignment="1">
      <alignment horizontal="center" vertical="top" wrapText="1"/>
    </xf>
    <xf numFmtId="164" fontId="1" fillId="0" borderId="59" xfId="0" applyNumberFormat="1" applyFont="1" applyFill="1" applyBorder="1" applyAlignment="1">
      <alignment horizontal="center" vertical="top" wrapText="1"/>
    </xf>
    <xf numFmtId="164" fontId="1" fillId="0" borderId="28" xfId="0" applyNumberFormat="1" applyFont="1" applyFill="1" applyBorder="1" applyAlignment="1">
      <alignment horizontal="center" vertical="top" wrapText="1"/>
    </xf>
    <xf numFmtId="49" fontId="5" fillId="8" borderId="20" xfId="0" applyNumberFormat="1" applyFont="1" applyFill="1" applyBorder="1" applyAlignment="1">
      <alignment horizontal="center" vertical="top" wrapText="1"/>
    </xf>
    <xf numFmtId="164" fontId="2" fillId="5" borderId="50" xfId="0" applyNumberFormat="1" applyFont="1" applyFill="1" applyBorder="1" applyAlignment="1">
      <alignment horizontal="center" vertical="top" wrapText="1"/>
    </xf>
    <xf numFmtId="3" fontId="2" fillId="4" borderId="64" xfId="0" applyNumberFormat="1" applyFont="1" applyFill="1" applyBorder="1" applyAlignment="1">
      <alignment horizontal="center" vertical="top" wrapText="1"/>
    </xf>
    <xf numFmtId="3" fontId="1" fillId="4" borderId="35" xfId="0" applyNumberFormat="1" applyFont="1" applyFill="1" applyBorder="1" applyAlignment="1">
      <alignment horizontal="center" vertical="top" wrapText="1"/>
    </xf>
    <xf numFmtId="3" fontId="1" fillId="4" borderId="29" xfId="0" applyNumberFormat="1" applyFont="1" applyFill="1" applyBorder="1" applyAlignment="1">
      <alignment horizontal="center" vertical="top" wrapText="1"/>
    </xf>
    <xf numFmtId="49" fontId="2" fillId="8" borderId="12" xfId="0" applyNumberFormat="1" applyFont="1" applyFill="1" applyBorder="1" applyAlignment="1">
      <alignment horizontal="center" vertical="top" wrapText="1"/>
    </xf>
    <xf numFmtId="49" fontId="2" fillId="2" borderId="11" xfId="0" applyNumberFormat="1" applyFont="1" applyFill="1" applyBorder="1" applyAlignment="1">
      <alignment horizontal="center" vertical="top" wrapText="1"/>
    </xf>
    <xf numFmtId="3" fontId="2" fillId="2" borderId="12" xfId="0" applyNumberFormat="1" applyFont="1" applyFill="1" applyBorder="1" applyAlignment="1">
      <alignment horizontal="center" vertical="top" wrapText="1"/>
    </xf>
    <xf numFmtId="3" fontId="2" fillId="2" borderId="54" xfId="0" applyNumberFormat="1" applyFont="1" applyFill="1" applyBorder="1" applyAlignment="1">
      <alignment horizontal="center" vertical="top" wrapText="1"/>
    </xf>
    <xf numFmtId="3" fontId="2" fillId="2" borderId="72" xfId="0" applyNumberFormat="1" applyFont="1" applyFill="1" applyBorder="1" applyAlignment="1">
      <alignment horizontal="center" vertical="top" wrapText="1"/>
    </xf>
    <xf numFmtId="3" fontId="2" fillId="8" borderId="12" xfId="0" applyNumberFormat="1" applyFont="1" applyFill="1" applyBorder="1" applyAlignment="1">
      <alignment horizontal="center" vertical="top" wrapText="1"/>
    </xf>
    <xf numFmtId="49" fontId="2" fillId="8" borderId="16" xfId="0" applyNumberFormat="1" applyFont="1" applyFill="1" applyBorder="1" applyAlignment="1">
      <alignment horizontal="center" vertical="top" wrapText="1"/>
    </xf>
    <xf numFmtId="49" fontId="5" fillId="8" borderId="12" xfId="0" applyNumberFormat="1" applyFont="1" applyFill="1" applyBorder="1" applyAlignment="1">
      <alignment horizontal="center" vertical="top" wrapText="1"/>
    </xf>
    <xf numFmtId="49" fontId="2" fillId="2" borderId="14" xfId="0" applyNumberFormat="1" applyFont="1" applyFill="1" applyBorder="1" applyAlignment="1">
      <alignment horizontal="center" vertical="top" wrapText="1"/>
    </xf>
    <xf numFmtId="49" fontId="2" fillId="3" borderId="13" xfId="0" applyNumberFormat="1" applyFont="1" applyFill="1" applyBorder="1" applyAlignment="1">
      <alignment horizontal="center" vertical="top" wrapText="1"/>
    </xf>
    <xf numFmtId="3" fontId="2" fillId="0" borderId="0" xfId="0" applyNumberFormat="1" applyFont="1" applyBorder="1" applyAlignment="1">
      <alignment horizontal="center" vertical="top" wrapText="1"/>
    </xf>
    <xf numFmtId="3" fontId="1" fillId="0" borderId="38" xfId="0" applyNumberFormat="1" applyFont="1" applyFill="1" applyBorder="1" applyAlignment="1">
      <alignment horizontal="center" vertical="top" wrapText="1"/>
    </xf>
    <xf numFmtId="3" fontId="1" fillId="0" borderId="13" xfId="0" applyNumberFormat="1" applyFont="1" applyBorder="1" applyAlignment="1">
      <alignment horizontal="center" vertical="top" wrapText="1"/>
    </xf>
    <xf numFmtId="3" fontId="1" fillId="0" borderId="24" xfId="0" applyNumberFormat="1" applyFont="1" applyBorder="1" applyAlignment="1">
      <alignment horizontal="center" vertical="top" wrapText="1"/>
    </xf>
    <xf numFmtId="164" fontId="1" fillId="0" borderId="0" xfId="0" applyNumberFormat="1" applyFont="1" applyBorder="1" applyAlignment="1">
      <alignment vertical="top" wrapText="1"/>
    </xf>
    <xf numFmtId="49" fontId="2" fillId="3" borderId="18" xfId="0" applyNumberFormat="1" applyFont="1" applyFill="1" applyBorder="1" applyAlignment="1">
      <alignment horizontal="center" vertical="top" wrapText="1"/>
    </xf>
    <xf numFmtId="3" fontId="4" fillId="0" borderId="0" xfId="0" applyNumberFormat="1" applyFont="1" applyBorder="1" applyAlignment="1">
      <alignment horizontal="center" vertical="top" wrapText="1"/>
    </xf>
    <xf numFmtId="3" fontId="1" fillId="0" borderId="31" xfId="0" applyNumberFormat="1" applyFont="1" applyFill="1" applyBorder="1" applyAlignment="1">
      <alignment horizontal="center" vertical="top" wrapText="1"/>
    </xf>
    <xf numFmtId="3" fontId="1" fillId="0" borderId="18" xfId="0" applyNumberFormat="1" applyFont="1" applyBorder="1" applyAlignment="1">
      <alignment horizontal="center" vertical="top" wrapText="1"/>
    </xf>
    <xf numFmtId="3" fontId="1" fillId="0" borderId="7" xfId="0" applyNumberFormat="1" applyFont="1" applyBorder="1" applyAlignment="1">
      <alignment horizontal="center" vertical="top" wrapText="1"/>
    </xf>
    <xf numFmtId="3" fontId="1" fillId="3" borderId="17" xfId="0" applyNumberFormat="1" applyFont="1" applyFill="1" applyBorder="1" applyAlignment="1">
      <alignment horizontal="center" vertical="top" wrapText="1"/>
    </xf>
    <xf numFmtId="3" fontId="2" fillId="0" borderId="18" xfId="0" applyNumberFormat="1" applyFont="1" applyBorder="1" applyAlignment="1">
      <alignment horizontal="center" vertical="top" wrapText="1"/>
    </xf>
    <xf numFmtId="3" fontId="2" fillId="4" borderId="18" xfId="0" applyNumberFormat="1" applyFont="1" applyFill="1" applyBorder="1" applyAlignment="1">
      <alignment horizontal="center" vertical="top" wrapText="1"/>
    </xf>
    <xf numFmtId="3" fontId="1" fillId="4" borderId="26" xfId="0" applyNumberFormat="1" applyFont="1" applyFill="1" applyBorder="1" applyAlignment="1">
      <alignment horizontal="center" vertical="top" wrapText="1"/>
    </xf>
    <xf numFmtId="3" fontId="1" fillId="0" borderId="65" xfId="0" applyNumberFormat="1" applyFont="1" applyBorder="1" applyAlignment="1">
      <alignment horizontal="center" vertical="top" wrapText="1"/>
    </xf>
    <xf numFmtId="49" fontId="2" fillId="3" borderId="0" xfId="0" applyNumberFormat="1" applyFont="1" applyFill="1" applyBorder="1" applyAlignment="1">
      <alignment vertical="top" wrapText="1"/>
    </xf>
    <xf numFmtId="49" fontId="2" fillId="3" borderId="18" xfId="0" applyNumberFormat="1" applyFont="1" applyFill="1" applyBorder="1" applyAlignment="1">
      <alignment vertical="top" wrapText="1"/>
    </xf>
    <xf numFmtId="49" fontId="1" fillId="0" borderId="0" xfId="0" applyNumberFormat="1" applyFont="1" applyBorder="1" applyAlignment="1">
      <alignment vertical="top" wrapText="1"/>
    </xf>
    <xf numFmtId="3" fontId="1" fillId="0" borderId="17" xfId="0" applyNumberFormat="1" applyFont="1" applyBorder="1" applyAlignment="1">
      <alignment vertical="top" wrapText="1"/>
    </xf>
    <xf numFmtId="49" fontId="2" fillId="8" borderId="20" xfId="0" applyNumberFormat="1" applyFont="1" applyFill="1" applyBorder="1" applyAlignment="1">
      <alignment horizontal="center" vertical="top" wrapText="1"/>
    </xf>
    <xf numFmtId="49" fontId="5" fillId="3" borderId="68" xfId="0" applyNumberFormat="1" applyFont="1" applyFill="1" applyBorder="1" applyAlignment="1">
      <alignment horizontal="center" vertical="top" wrapText="1"/>
    </xf>
    <xf numFmtId="3" fontId="4" fillId="3" borderId="56" xfId="0" applyNumberFormat="1" applyFont="1" applyFill="1" applyBorder="1" applyAlignment="1">
      <alignment horizontal="center" vertical="top" wrapText="1"/>
    </xf>
    <xf numFmtId="3" fontId="4" fillId="3" borderId="19" xfId="0" applyNumberFormat="1" applyFont="1" applyFill="1" applyBorder="1" applyAlignment="1">
      <alignment horizontal="center" vertical="top" wrapText="1"/>
    </xf>
    <xf numFmtId="3" fontId="4" fillId="3" borderId="69" xfId="0" applyNumberFormat="1" applyFont="1" applyFill="1" applyBorder="1" applyAlignment="1">
      <alignment horizontal="center" vertical="top" wrapText="1"/>
    </xf>
    <xf numFmtId="3" fontId="5" fillId="0" borderId="3" xfId="0" applyNumberFormat="1" applyFont="1" applyBorder="1" applyAlignment="1">
      <alignment horizontal="center" vertical="top" wrapText="1"/>
    </xf>
    <xf numFmtId="3" fontId="5" fillId="0" borderId="0" xfId="0" applyNumberFormat="1" applyFont="1" applyBorder="1" applyAlignment="1">
      <alignment horizontal="center" vertical="top" wrapText="1"/>
    </xf>
    <xf numFmtId="3" fontId="4" fillId="4" borderId="15" xfId="0" applyNumberFormat="1" applyFont="1" applyFill="1" applyBorder="1" applyAlignment="1">
      <alignment horizontal="center" vertical="top" wrapText="1"/>
    </xf>
    <xf numFmtId="164" fontId="1" fillId="0" borderId="0" xfId="0" applyNumberFormat="1" applyFont="1" applyBorder="1" applyAlignment="1">
      <alignment horizontal="left" vertical="top" wrapText="1"/>
    </xf>
    <xf numFmtId="49" fontId="2" fillId="3" borderId="0" xfId="0" applyNumberFormat="1" applyFont="1" applyFill="1" applyBorder="1" applyAlignment="1">
      <alignment horizontal="center" vertical="top" wrapText="1"/>
    </xf>
    <xf numFmtId="3" fontId="2" fillId="0" borderId="18" xfId="0" applyNumberFormat="1" applyFont="1" applyBorder="1" applyAlignment="1">
      <alignment vertical="top" wrapText="1"/>
    </xf>
    <xf numFmtId="3" fontId="2" fillId="0" borderId="32" xfId="0" applyNumberFormat="1" applyFont="1" applyBorder="1" applyAlignment="1">
      <alignment vertical="top" wrapText="1"/>
    </xf>
    <xf numFmtId="3" fontId="1" fillId="4" borderId="50" xfId="0" applyNumberFormat="1" applyFont="1" applyFill="1" applyBorder="1" applyAlignment="1">
      <alignment horizontal="center" vertical="top" wrapText="1"/>
    </xf>
    <xf numFmtId="3" fontId="2" fillId="0" borderId="3" xfId="0" applyNumberFormat="1" applyFont="1" applyBorder="1" applyAlignment="1">
      <alignment horizontal="center" vertical="top" wrapText="1"/>
    </xf>
    <xf numFmtId="3" fontId="1" fillId="4" borderId="69" xfId="0" applyNumberFormat="1" applyFont="1" applyFill="1" applyBorder="1" applyAlignment="1">
      <alignment horizontal="center" vertical="top" wrapText="1"/>
    </xf>
    <xf numFmtId="49" fontId="2" fillId="4" borderId="32" xfId="0" applyNumberFormat="1" applyFont="1" applyFill="1" applyBorder="1" applyAlignment="1">
      <alignment horizontal="center" vertical="top" wrapText="1"/>
    </xf>
    <xf numFmtId="49" fontId="2" fillId="8" borderId="23" xfId="0" applyNumberFormat="1" applyFont="1" applyFill="1" applyBorder="1" applyAlignment="1">
      <alignment horizontal="center" vertical="top" wrapText="1"/>
    </xf>
    <xf numFmtId="49" fontId="2" fillId="2" borderId="25" xfId="0" applyNumberFormat="1" applyFont="1" applyFill="1" applyBorder="1" applyAlignment="1">
      <alignment horizontal="center" vertical="top" wrapText="1"/>
    </xf>
    <xf numFmtId="49" fontId="2" fillId="8" borderId="22" xfId="0" applyNumberFormat="1" applyFont="1" applyFill="1" applyBorder="1" applyAlignment="1">
      <alignment vertical="top" wrapText="1"/>
    </xf>
    <xf numFmtId="49" fontId="2" fillId="2" borderId="13" xfId="0" applyNumberFormat="1" applyFont="1" applyFill="1" applyBorder="1" applyAlignment="1">
      <alignment vertical="top" wrapText="1"/>
    </xf>
    <xf numFmtId="3" fontId="4" fillId="0" borderId="0" xfId="0" applyNumberFormat="1" applyFont="1" applyFill="1" applyBorder="1" applyAlignment="1">
      <alignment horizontal="center" vertical="top" wrapText="1"/>
    </xf>
    <xf numFmtId="3" fontId="1" fillId="0" borderId="61" xfId="0" applyNumberFormat="1" applyFont="1" applyBorder="1" applyAlignment="1">
      <alignment horizontal="center" vertical="top" wrapText="1"/>
    </xf>
    <xf numFmtId="3" fontId="1" fillId="4" borderId="24" xfId="0" applyNumberFormat="1" applyFont="1" applyFill="1" applyBorder="1" applyAlignment="1">
      <alignment horizontal="center" vertical="top" wrapText="1"/>
    </xf>
    <xf numFmtId="49" fontId="2" fillId="8" borderId="20" xfId="0" applyNumberFormat="1" applyFont="1" applyFill="1" applyBorder="1" applyAlignment="1">
      <alignment vertical="top" wrapText="1"/>
    </xf>
    <xf numFmtId="3" fontId="1" fillId="0" borderId="19" xfId="0" applyNumberFormat="1" applyFont="1" applyBorder="1" applyAlignment="1">
      <alignment horizontal="center" vertical="top" wrapText="1"/>
    </xf>
    <xf numFmtId="3" fontId="1" fillId="0" borderId="69" xfId="0" applyNumberFormat="1" applyFont="1" applyBorder="1" applyAlignment="1">
      <alignment horizontal="center" vertical="top" wrapText="1"/>
    </xf>
    <xf numFmtId="49" fontId="2" fillId="3" borderId="13" xfId="0" applyNumberFormat="1" applyFont="1" applyFill="1" applyBorder="1" applyAlignment="1">
      <alignment vertical="top" wrapText="1"/>
    </xf>
    <xf numFmtId="49" fontId="2" fillId="2" borderId="11" xfId="0" applyNumberFormat="1" applyFont="1" applyFill="1" applyBorder="1" applyAlignment="1">
      <alignment horizontal="left" vertical="top" wrapText="1"/>
    </xf>
    <xf numFmtId="3" fontId="1" fillId="3" borderId="16" xfId="0" applyNumberFormat="1" applyFont="1" applyFill="1" applyBorder="1" applyAlignment="1">
      <alignment horizontal="center" vertical="top" wrapText="1"/>
    </xf>
    <xf numFmtId="3" fontId="2" fillId="3" borderId="43" xfId="0" applyNumberFormat="1" applyFont="1" applyFill="1" applyBorder="1" applyAlignment="1">
      <alignment horizontal="center" vertical="top" wrapText="1"/>
    </xf>
    <xf numFmtId="49" fontId="2" fillId="3" borderId="19" xfId="0" applyNumberFormat="1" applyFont="1" applyFill="1" applyBorder="1" applyAlignment="1">
      <alignment vertical="top" wrapText="1"/>
    </xf>
    <xf numFmtId="3" fontId="10" fillId="4" borderId="17" xfId="0" applyNumberFormat="1" applyFont="1" applyFill="1" applyBorder="1" applyAlignment="1">
      <alignment horizontal="center" vertical="top" wrapText="1"/>
    </xf>
    <xf numFmtId="3" fontId="2" fillId="3" borderId="68" xfId="0" applyNumberFormat="1" applyFont="1" applyFill="1" applyBorder="1" applyAlignment="1">
      <alignment horizontal="center" vertical="top" wrapText="1"/>
    </xf>
    <xf numFmtId="0" fontId="1" fillId="0" borderId="0" xfId="0" applyFont="1" applyBorder="1" applyAlignment="1">
      <alignment vertical="top" wrapText="1"/>
    </xf>
    <xf numFmtId="0" fontId="4" fillId="0" borderId="0" xfId="0" applyFont="1" applyBorder="1" applyAlignment="1">
      <alignment vertical="top" wrapText="1"/>
    </xf>
    <xf numFmtId="165" fontId="1" fillId="0" borderId="0" xfId="0" applyNumberFormat="1" applyFont="1" applyBorder="1" applyAlignment="1">
      <alignment horizontal="center" vertical="top" wrapText="1"/>
    </xf>
    <xf numFmtId="3" fontId="1" fillId="0" borderId="26" xfId="0" applyNumberFormat="1" applyFont="1" applyFill="1" applyBorder="1" applyAlignment="1">
      <alignment horizontal="center" vertical="top" wrapText="1"/>
    </xf>
    <xf numFmtId="49" fontId="2" fillId="2" borderId="67" xfId="0" applyNumberFormat="1" applyFont="1" applyFill="1" applyBorder="1" applyAlignment="1">
      <alignment horizontal="center" vertical="top" wrapText="1"/>
    </xf>
    <xf numFmtId="49" fontId="2" fillId="8" borderId="1" xfId="0" applyNumberFormat="1" applyFont="1" applyFill="1" applyBorder="1" applyAlignment="1">
      <alignment horizontal="center" vertical="top" wrapText="1"/>
    </xf>
    <xf numFmtId="3" fontId="3" fillId="0" borderId="0" xfId="0" applyNumberFormat="1" applyFont="1" applyBorder="1" applyAlignment="1">
      <alignment vertical="top" wrapText="1"/>
    </xf>
    <xf numFmtId="49" fontId="2" fillId="7" borderId="1" xfId="0" applyNumberFormat="1" applyFont="1" applyFill="1" applyBorder="1" applyAlignment="1">
      <alignment horizontal="center" vertical="top" wrapText="1"/>
    </xf>
    <xf numFmtId="3" fontId="2" fillId="7" borderId="56" xfId="0" applyNumberFormat="1" applyFont="1" applyFill="1" applyBorder="1" applyAlignment="1">
      <alignment horizontal="center" vertical="top" wrapText="1"/>
    </xf>
    <xf numFmtId="3" fontId="2" fillId="7" borderId="43" xfId="0" applyNumberFormat="1" applyFont="1" applyFill="1" applyBorder="1" applyAlignment="1">
      <alignment horizontal="center" vertical="top" wrapText="1"/>
    </xf>
    <xf numFmtId="3" fontId="2" fillId="7" borderId="69" xfId="0" applyNumberFormat="1" applyFont="1" applyFill="1" applyBorder="1" applyAlignment="1">
      <alignment horizontal="center" vertical="top" wrapText="1"/>
    </xf>
    <xf numFmtId="3" fontId="1" fillId="0" borderId="64" xfId="0" applyNumberFormat="1" applyFont="1" applyBorder="1" applyAlignment="1">
      <alignment horizontal="center" vertical="top" wrapText="1"/>
    </xf>
    <xf numFmtId="0" fontId="1" fillId="4" borderId="33" xfId="0" applyFont="1" applyFill="1" applyBorder="1" applyAlignment="1">
      <alignment horizontal="center" vertical="top" wrapText="1"/>
    </xf>
    <xf numFmtId="3" fontId="1" fillId="3" borderId="10" xfId="0" applyNumberFormat="1" applyFont="1" applyFill="1" applyBorder="1" applyAlignment="1">
      <alignment horizontal="center" vertical="top" wrapText="1"/>
    </xf>
    <xf numFmtId="3" fontId="1" fillId="0" borderId="22" xfId="0" applyNumberFormat="1" applyFont="1" applyFill="1" applyBorder="1" applyAlignment="1">
      <alignment horizontal="center" vertical="top" wrapText="1"/>
    </xf>
    <xf numFmtId="3" fontId="1" fillId="4" borderId="36" xfId="0" applyNumberFormat="1" applyFont="1" applyFill="1" applyBorder="1" applyAlignment="1">
      <alignment vertical="top" wrapText="1"/>
    </xf>
    <xf numFmtId="3" fontId="1" fillId="0" borderId="68" xfId="0" applyNumberFormat="1" applyFont="1" applyBorder="1" applyAlignment="1">
      <alignment horizontal="center" vertical="top" wrapText="1"/>
    </xf>
    <xf numFmtId="164" fontId="1" fillId="4" borderId="41" xfId="0" applyNumberFormat="1" applyFont="1" applyFill="1" applyBorder="1" applyAlignment="1">
      <alignment horizontal="center" vertical="top" wrapText="1"/>
    </xf>
    <xf numFmtId="164" fontId="1" fillId="4" borderId="42" xfId="0" applyNumberFormat="1" applyFont="1" applyFill="1" applyBorder="1" applyAlignment="1">
      <alignment horizontal="center" vertical="top" wrapText="1"/>
    </xf>
    <xf numFmtId="164" fontId="1" fillId="4" borderId="15" xfId="0" applyNumberFormat="1" applyFont="1" applyFill="1" applyBorder="1" applyAlignment="1">
      <alignment horizontal="center" vertical="top" wrapText="1"/>
    </xf>
    <xf numFmtId="3" fontId="1" fillId="4" borderId="40" xfId="0" applyNumberFormat="1" applyFont="1" applyFill="1" applyBorder="1" applyAlignment="1">
      <alignment vertical="top" wrapText="1"/>
    </xf>
    <xf numFmtId="164" fontId="1" fillId="4" borderId="37" xfId="0" applyNumberFormat="1" applyFont="1" applyFill="1" applyBorder="1" applyAlignment="1">
      <alignment horizontal="center" vertical="top" wrapText="1"/>
    </xf>
    <xf numFmtId="164" fontId="1" fillId="4" borderId="59" xfId="0" applyNumberFormat="1" applyFont="1" applyFill="1" applyBorder="1" applyAlignment="1">
      <alignment horizontal="center" vertical="top" wrapText="1"/>
    </xf>
    <xf numFmtId="164" fontId="1" fillId="4" borderId="28" xfId="0" applyNumberFormat="1" applyFont="1" applyFill="1" applyBorder="1" applyAlignment="1">
      <alignment horizontal="center" vertical="top" wrapText="1"/>
    </xf>
    <xf numFmtId="3" fontId="1" fillId="4" borderId="37" xfId="0" applyNumberFormat="1" applyFont="1" applyFill="1" applyBorder="1" applyAlignment="1">
      <alignment vertical="top" wrapText="1"/>
    </xf>
    <xf numFmtId="3" fontId="1" fillId="4" borderId="41" xfId="0" applyNumberFormat="1" applyFont="1" applyFill="1" applyBorder="1" applyAlignment="1">
      <alignment vertical="top" wrapText="1"/>
    </xf>
    <xf numFmtId="3" fontId="1" fillId="0" borderId="8" xfId="0" applyNumberFormat="1" applyFont="1" applyFill="1" applyBorder="1" applyAlignment="1">
      <alignment vertical="top" wrapText="1"/>
    </xf>
    <xf numFmtId="3" fontId="1" fillId="0" borderId="17" xfId="0" applyNumberFormat="1" applyFont="1" applyBorder="1" applyAlignment="1">
      <alignment horizontal="center" vertical="top"/>
    </xf>
    <xf numFmtId="3" fontId="4" fillId="4" borderId="68" xfId="0" applyNumberFormat="1" applyFont="1" applyFill="1" applyBorder="1" applyAlignment="1">
      <alignment horizontal="center" vertical="top" wrapText="1"/>
    </xf>
    <xf numFmtId="3" fontId="1" fillId="3" borderId="57" xfId="0" applyNumberFormat="1" applyFont="1" applyFill="1" applyBorder="1" applyAlignment="1">
      <alignment horizontal="center" vertical="top" wrapText="1"/>
    </xf>
    <xf numFmtId="167" fontId="4" fillId="10" borderId="7" xfId="2" applyNumberFormat="1" applyFont="1" applyFill="1" applyBorder="1" applyAlignment="1">
      <alignment horizontal="center" vertical="top" wrapText="1"/>
    </xf>
    <xf numFmtId="3" fontId="4" fillId="0" borderId="43" xfId="0" applyNumberFormat="1" applyFont="1" applyBorder="1" applyAlignment="1">
      <alignment horizontal="right" vertical="top" wrapText="1"/>
    </xf>
    <xf numFmtId="49" fontId="4" fillId="4" borderId="86" xfId="2" applyNumberFormat="1" applyFont="1" applyFill="1" applyBorder="1" applyAlignment="1">
      <alignment horizontal="center" vertical="top"/>
    </xf>
    <xf numFmtId="164" fontId="4" fillId="4" borderId="0" xfId="2" applyNumberFormat="1" applyFont="1" applyFill="1" applyAlignment="1">
      <alignment horizontal="center" vertical="top"/>
    </xf>
    <xf numFmtId="164" fontId="4" fillId="13" borderId="87" xfId="2" applyNumberFormat="1" applyFont="1" applyFill="1" applyBorder="1" applyAlignment="1">
      <alignment horizontal="center" vertical="top"/>
    </xf>
    <xf numFmtId="49" fontId="4" fillId="4" borderId="98" xfId="2" applyNumberFormat="1" applyFont="1" applyFill="1" applyBorder="1" applyAlignment="1">
      <alignment horizontal="center" vertical="top"/>
    </xf>
    <xf numFmtId="164" fontId="4" fillId="4" borderId="34" xfId="2" applyNumberFormat="1" applyFont="1" applyFill="1" applyBorder="1" applyAlignment="1">
      <alignment horizontal="center" vertical="top"/>
    </xf>
    <xf numFmtId="164" fontId="4" fillId="13" borderId="99" xfId="2" applyNumberFormat="1" applyFont="1" applyFill="1" applyBorder="1" applyAlignment="1">
      <alignment horizontal="center" vertical="top"/>
    </xf>
    <xf numFmtId="164" fontId="4" fillId="13" borderId="100" xfId="2" applyNumberFormat="1" applyFont="1" applyFill="1" applyBorder="1" applyAlignment="1">
      <alignment horizontal="center" vertical="top"/>
    </xf>
    <xf numFmtId="49" fontId="4" fillId="4" borderId="89" xfId="2" applyNumberFormat="1" applyFont="1" applyFill="1" applyBorder="1" applyAlignment="1">
      <alignment horizontal="center" vertical="top"/>
    </xf>
    <xf numFmtId="164" fontId="4" fillId="13" borderId="90" xfId="2" applyNumberFormat="1" applyFont="1" applyFill="1" applyBorder="1" applyAlignment="1">
      <alignment horizontal="center" vertical="top"/>
    </xf>
    <xf numFmtId="164" fontId="4" fillId="12" borderId="97" xfId="2" applyNumberFormat="1" applyFont="1" applyFill="1" applyBorder="1" applyAlignment="1">
      <alignment horizontal="center" vertical="top"/>
    </xf>
    <xf numFmtId="164" fontId="4" fillId="12" borderId="36" xfId="2" applyNumberFormat="1" applyFont="1" applyFill="1" applyBorder="1" applyAlignment="1">
      <alignment horizontal="center" vertical="top"/>
    </xf>
    <xf numFmtId="49" fontId="4" fillId="4" borderId="101" xfId="2" applyNumberFormat="1" applyFont="1" applyFill="1" applyBorder="1" applyAlignment="1">
      <alignment horizontal="center" vertical="top"/>
    </xf>
    <xf numFmtId="164" fontId="4" fillId="4" borderId="27" xfId="2" applyNumberFormat="1" applyFont="1" applyFill="1" applyBorder="1" applyAlignment="1">
      <alignment horizontal="center" vertical="top"/>
    </xf>
    <xf numFmtId="164" fontId="4" fillId="13" borderId="102" xfId="2" applyNumberFormat="1" applyFont="1" applyFill="1" applyBorder="1" applyAlignment="1">
      <alignment horizontal="center" vertical="top"/>
    </xf>
    <xf numFmtId="164" fontId="4" fillId="12" borderId="40" xfId="2" applyNumberFormat="1" applyFont="1" applyFill="1" applyBorder="1" applyAlignment="1">
      <alignment horizontal="center" vertical="top"/>
    </xf>
    <xf numFmtId="167" fontId="4" fillId="10" borderId="15" xfId="2" applyNumberFormat="1" applyFont="1" applyFill="1" applyBorder="1" applyAlignment="1">
      <alignment horizontal="center" vertical="top" wrapText="1"/>
    </xf>
    <xf numFmtId="164" fontId="4" fillId="13" borderId="104" xfId="2" applyNumberFormat="1" applyFont="1" applyFill="1" applyBorder="1" applyAlignment="1">
      <alignment horizontal="center" vertical="top"/>
    </xf>
    <xf numFmtId="164" fontId="4" fillId="13" borderId="112" xfId="2" applyNumberFormat="1" applyFont="1" applyFill="1" applyBorder="1" applyAlignment="1">
      <alignment horizontal="center" vertical="top"/>
    </xf>
    <xf numFmtId="164" fontId="4" fillId="12" borderId="37" xfId="2" applyNumberFormat="1" applyFont="1" applyFill="1" applyBorder="1" applyAlignment="1">
      <alignment horizontal="center" vertical="top"/>
    </xf>
    <xf numFmtId="164" fontId="4" fillId="13" borderId="103" xfId="2" applyNumberFormat="1" applyFont="1" applyFill="1" applyBorder="1" applyAlignment="1">
      <alignment horizontal="center" vertical="top"/>
    </xf>
    <xf numFmtId="49" fontId="4" fillId="4" borderId="114" xfId="2" applyNumberFormat="1" applyFont="1" applyFill="1" applyBorder="1" applyAlignment="1">
      <alignment horizontal="center" vertical="top"/>
    </xf>
    <xf numFmtId="164" fontId="4" fillId="4" borderId="3" xfId="2" applyNumberFormat="1" applyFont="1" applyFill="1" applyBorder="1" applyAlignment="1">
      <alignment horizontal="center" vertical="top"/>
    </xf>
    <xf numFmtId="164" fontId="4" fillId="12" borderId="22" xfId="2" applyNumberFormat="1" applyFont="1" applyFill="1" applyBorder="1" applyAlignment="1">
      <alignment horizontal="center" vertical="top"/>
    </xf>
    <xf numFmtId="164" fontId="4" fillId="13" borderId="115" xfId="2" applyNumberFormat="1" applyFont="1" applyFill="1" applyBorder="1" applyAlignment="1">
      <alignment horizontal="center" vertical="top"/>
    </xf>
    <xf numFmtId="167" fontId="4" fillId="10" borderId="24" xfId="2" applyNumberFormat="1" applyFont="1" applyFill="1" applyBorder="1" applyAlignment="1">
      <alignment horizontal="center" vertical="top" wrapText="1"/>
    </xf>
    <xf numFmtId="49" fontId="4" fillId="4" borderId="113" xfId="2" applyNumberFormat="1" applyFont="1" applyFill="1" applyBorder="1" applyAlignment="1">
      <alignment horizontal="center" vertical="top"/>
    </xf>
    <xf numFmtId="164" fontId="4" fillId="4" borderId="0" xfId="2" applyNumberFormat="1" applyFont="1" applyFill="1" applyBorder="1" applyAlignment="1">
      <alignment horizontal="center" vertical="top"/>
    </xf>
    <xf numFmtId="49" fontId="4" fillId="4" borderId="118" xfId="2" applyNumberFormat="1" applyFont="1" applyFill="1" applyBorder="1" applyAlignment="1">
      <alignment horizontal="center" vertical="top"/>
    </xf>
    <xf numFmtId="164" fontId="4" fillId="4" borderId="45" xfId="2" applyNumberFormat="1" applyFont="1" applyFill="1" applyBorder="1" applyAlignment="1">
      <alignment horizontal="center" vertical="top"/>
    </xf>
    <xf numFmtId="164" fontId="4" fillId="12" borderId="48" xfId="2" applyNumberFormat="1" applyFont="1" applyFill="1" applyBorder="1" applyAlignment="1">
      <alignment horizontal="center" vertical="top"/>
    </xf>
    <xf numFmtId="164" fontId="4" fillId="13" borderId="119" xfId="2" applyNumberFormat="1" applyFont="1" applyFill="1" applyBorder="1" applyAlignment="1">
      <alignment horizontal="center" vertical="top"/>
    </xf>
    <xf numFmtId="164" fontId="4" fillId="4" borderId="91" xfId="2" applyNumberFormat="1" applyFont="1" applyFill="1" applyBorder="1" applyAlignment="1">
      <alignment horizontal="center" vertical="top"/>
    </xf>
    <xf numFmtId="164" fontId="4" fillId="4" borderId="104" xfId="2" applyNumberFormat="1" applyFont="1" applyFill="1" applyBorder="1" applyAlignment="1">
      <alignment horizontal="center" vertical="top"/>
    </xf>
    <xf numFmtId="164" fontId="5" fillId="12" borderId="40" xfId="2" applyNumberFormat="1" applyFont="1" applyFill="1" applyBorder="1" applyAlignment="1">
      <alignment horizontal="center" vertical="top"/>
    </xf>
    <xf numFmtId="3" fontId="1" fillId="0" borderId="8" xfId="0" applyNumberFormat="1" applyFont="1" applyBorder="1" applyAlignment="1">
      <alignment horizontal="center" vertical="top" wrapText="1"/>
    </xf>
    <xf numFmtId="164" fontId="4" fillId="4" borderId="0" xfId="2" applyNumberFormat="1" applyFont="1" applyFill="1" applyBorder="1" applyAlignment="1">
      <alignment horizontal="left" vertical="top"/>
    </xf>
    <xf numFmtId="3" fontId="5" fillId="0" borderId="31" xfId="0" applyNumberFormat="1" applyFont="1" applyFill="1" applyBorder="1" applyAlignment="1">
      <alignment horizontal="center" vertical="top" wrapText="1"/>
    </xf>
    <xf numFmtId="164" fontId="4" fillId="0" borderId="0" xfId="2" applyNumberFormat="1" applyFont="1" applyFill="1" applyAlignment="1">
      <alignment horizontal="center" vertical="top"/>
    </xf>
    <xf numFmtId="49" fontId="4" fillId="0" borderId="89" xfId="2" applyNumberFormat="1" applyFont="1" applyFill="1" applyBorder="1" applyAlignment="1">
      <alignment horizontal="center" vertical="top"/>
    </xf>
    <xf numFmtId="164" fontId="4" fillId="15" borderId="0" xfId="2" applyNumberFormat="1" applyFont="1" applyFill="1" applyAlignment="1">
      <alignment horizontal="center" vertical="top"/>
    </xf>
    <xf numFmtId="164" fontId="4" fillId="15" borderId="124" xfId="2" applyNumberFormat="1" applyFont="1" applyFill="1" applyBorder="1" applyAlignment="1">
      <alignment horizontal="center" vertical="top"/>
    </xf>
    <xf numFmtId="49" fontId="4" fillId="0" borderId="98" xfId="2" applyNumberFormat="1" applyFont="1" applyFill="1" applyBorder="1" applyAlignment="1">
      <alignment horizontal="center" vertical="top"/>
    </xf>
    <xf numFmtId="164" fontId="4" fillId="0" borderId="34" xfId="2" applyNumberFormat="1" applyFont="1" applyFill="1" applyBorder="1" applyAlignment="1">
      <alignment horizontal="center" vertical="top"/>
    </xf>
    <xf numFmtId="164" fontId="4" fillId="0" borderId="34" xfId="2" applyNumberFormat="1" applyFont="1" applyFill="1" applyBorder="1" applyAlignment="1">
      <alignment horizontal="center" vertical="top" wrapText="1"/>
    </xf>
    <xf numFmtId="3" fontId="1" fillId="0" borderId="32" xfId="0" applyNumberFormat="1" applyFont="1" applyBorder="1" applyAlignment="1">
      <alignment horizontal="center" vertical="top" wrapText="1"/>
    </xf>
    <xf numFmtId="164" fontId="4" fillId="0" borderId="0" xfId="2" applyNumberFormat="1" applyFont="1" applyFill="1" applyBorder="1" applyAlignment="1">
      <alignment horizontal="center" vertical="top"/>
    </xf>
    <xf numFmtId="3" fontId="1" fillId="4" borderId="3" xfId="0" applyNumberFormat="1" applyFont="1" applyFill="1" applyBorder="1" applyAlignment="1">
      <alignment horizontal="left" vertical="top" wrapText="1"/>
    </xf>
    <xf numFmtId="3" fontId="1" fillId="4" borderId="0" xfId="0" applyNumberFormat="1" applyFont="1" applyFill="1" applyBorder="1" applyAlignment="1">
      <alignment horizontal="left" vertical="top" wrapText="1"/>
    </xf>
    <xf numFmtId="3" fontId="1" fillId="0" borderId="37" xfId="0" applyNumberFormat="1" applyFont="1" applyFill="1" applyBorder="1" applyAlignment="1">
      <alignment horizontal="center" vertical="top" wrapText="1"/>
    </xf>
    <xf numFmtId="0" fontId="4" fillId="4" borderId="65" xfId="0" applyFont="1" applyFill="1" applyBorder="1" applyAlignment="1">
      <alignment vertical="top" wrapText="1"/>
    </xf>
    <xf numFmtId="0" fontId="4" fillId="4" borderId="36" xfId="0" applyFont="1" applyFill="1" applyBorder="1" applyAlignment="1">
      <alignment horizontal="center" vertical="top" wrapText="1"/>
    </xf>
    <xf numFmtId="0" fontId="4" fillId="4" borderId="66" xfId="0" applyFont="1" applyFill="1" applyBorder="1" applyAlignment="1">
      <alignment horizontal="center" vertical="top" wrapText="1"/>
    </xf>
    <xf numFmtId="0" fontId="4" fillId="4" borderId="26" xfId="0" applyFont="1" applyFill="1" applyBorder="1" applyAlignment="1">
      <alignment horizontal="center" vertical="top" wrapText="1"/>
    </xf>
    <xf numFmtId="0" fontId="4" fillId="4" borderId="51" xfId="0" applyFont="1" applyFill="1" applyBorder="1" applyAlignment="1">
      <alignment horizontal="center" vertical="top" wrapText="1"/>
    </xf>
    <xf numFmtId="164" fontId="4" fillId="4" borderId="39" xfId="0" applyNumberFormat="1" applyFont="1" applyFill="1" applyBorder="1" applyAlignment="1">
      <alignment horizontal="center" vertical="top" wrapText="1"/>
    </xf>
    <xf numFmtId="164" fontId="4" fillId="4" borderId="39" xfId="0" applyNumberFormat="1" applyFont="1" applyFill="1" applyBorder="1" applyAlignment="1">
      <alignment horizontal="center" vertical="top"/>
    </xf>
    <xf numFmtId="164" fontId="4" fillId="16" borderId="0" xfId="2" applyNumberFormat="1" applyFont="1" applyFill="1" applyBorder="1" applyAlignment="1">
      <alignment horizontal="center" vertical="top"/>
    </xf>
    <xf numFmtId="164" fontId="4" fillId="4" borderId="71" xfId="0" applyNumberFormat="1" applyFont="1" applyFill="1" applyBorder="1" applyAlignment="1">
      <alignment horizontal="center" vertical="top" wrapText="1"/>
    </xf>
    <xf numFmtId="164" fontId="4" fillId="4" borderId="35" xfId="0" applyNumberFormat="1" applyFont="1" applyFill="1" applyBorder="1" applyAlignment="1">
      <alignment horizontal="center" vertical="top" wrapText="1"/>
    </xf>
    <xf numFmtId="3" fontId="1" fillId="4" borderId="66" xfId="0" applyNumberFormat="1" applyFont="1" applyFill="1" applyBorder="1" applyAlignment="1">
      <alignment horizontal="center" vertical="top"/>
    </xf>
    <xf numFmtId="3" fontId="1" fillId="4" borderId="26" xfId="0" applyNumberFormat="1" applyFont="1" applyFill="1" applyBorder="1" applyAlignment="1">
      <alignment horizontal="center" vertical="top"/>
    </xf>
    <xf numFmtId="3" fontId="1" fillId="4" borderId="7" xfId="0" applyNumberFormat="1" applyFont="1" applyFill="1" applyBorder="1" applyAlignment="1">
      <alignment horizontal="center" vertical="top"/>
    </xf>
    <xf numFmtId="3" fontId="1" fillId="4" borderId="42" xfId="0" applyNumberFormat="1" applyFont="1" applyFill="1" applyBorder="1" applyAlignment="1">
      <alignment horizontal="center" vertical="top"/>
    </xf>
    <xf numFmtId="3" fontId="1" fillId="4" borderId="15" xfId="0" applyNumberFormat="1" applyFont="1" applyFill="1" applyBorder="1" applyAlignment="1">
      <alignment horizontal="center" vertical="top"/>
    </xf>
    <xf numFmtId="3" fontId="1" fillId="4" borderId="28" xfId="0" applyNumberFormat="1" applyFont="1" applyFill="1" applyBorder="1" applyAlignment="1">
      <alignment horizontal="center" vertical="top"/>
    </xf>
    <xf numFmtId="3" fontId="1" fillId="3" borderId="18" xfId="0" applyNumberFormat="1" applyFont="1" applyFill="1" applyBorder="1" applyAlignment="1">
      <alignment horizontal="left" vertical="top" wrapText="1"/>
    </xf>
    <xf numFmtId="164" fontId="1" fillId="4" borderId="52" xfId="0" applyNumberFormat="1" applyFont="1" applyFill="1" applyBorder="1" applyAlignment="1">
      <alignment horizontal="center" vertical="top"/>
    </xf>
    <xf numFmtId="164" fontId="1" fillId="0" borderId="31" xfId="0" applyNumberFormat="1" applyFont="1" applyFill="1" applyBorder="1" applyAlignment="1">
      <alignment horizontal="center" vertical="top"/>
    </xf>
    <xf numFmtId="3" fontId="1" fillId="3" borderId="64" xfId="0" applyNumberFormat="1" applyFont="1" applyFill="1" applyBorder="1" applyAlignment="1">
      <alignment horizontal="center" vertical="top" wrapText="1"/>
    </xf>
    <xf numFmtId="3" fontId="1" fillId="3" borderId="32" xfId="0" applyNumberFormat="1" applyFont="1" applyFill="1" applyBorder="1" applyAlignment="1">
      <alignment horizontal="center" vertical="top" wrapText="1"/>
    </xf>
    <xf numFmtId="3" fontId="4" fillId="4" borderId="7" xfId="0" applyNumberFormat="1" applyFont="1" applyFill="1" applyBorder="1" applyAlignment="1">
      <alignment horizontal="center" vertical="top"/>
    </xf>
    <xf numFmtId="0" fontId="1" fillId="0" borderId="62" xfId="0" applyFont="1" applyFill="1" applyBorder="1" applyAlignment="1">
      <alignment horizontal="center" vertical="top" wrapText="1"/>
    </xf>
    <xf numFmtId="3" fontId="2" fillId="2" borderId="43" xfId="0" applyNumberFormat="1" applyFont="1" applyFill="1" applyBorder="1" applyAlignment="1">
      <alignment horizontal="center" vertical="top" wrapText="1"/>
    </xf>
    <xf numFmtId="3" fontId="2" fillId="2" borderId="69" xfId="0" applyNumberFormat="1" applyFont="1" applyFill="1" applyBorder="1" applyAlignment="1">
      <alignment horizontal="center" vertical="top" wrapText="1"/>
    </xf>
    <xf numFmtId="0" fontId="1" fillId="0" borderId="139" xfId="0" applyFont="1" applyFill="1" applyBorder="1" applyAlignment="1">
      <alignment vertical="top" wrapText="1"/>
    </xf>
    <xf numFmtId="0" fontId="1" fillId="0" borderId="65" xfId="0" applyFont="1" applyFill="1" applyBorder="1" applyAlignment="1">
      <alignment horizontal="center" vertical="top" wrapText="1"/>
    </xf>
    <xf numFmtId="164" fontId="1" fillId="0" borderId="136" xfId="0" applyNumberFormat="1" applyFont="1" applyFill="1" applyBorder="1" applyAlignment="1">
      <alignment vertical="top"/>
    </xf>
    <xf numFmtId="164" fontId="1" fillId="0" borderId="31" xfId="0" applyNumberFormat="1" applyFont="1" applyFill="1" applyBorder="1" applyAlignment="1">
      <alignment vertical="top"/>
    </xf>
    <xf numFmtId="164" fontId="1" fillId="0" borderId="52" xfId="0" applyNumberFormat="1" applyFont="1" applyBorder="1" applyAlignment="1">
      <alignment horizontal="center" vertical="top"/>
    </xf>
    <xf numFmtId="164" fontId="1" fillId="0" borderId="31" xfId="0" applyNumberFormat="1" applyFont="1" applyBorder="1" applyAlignment="1">
      <alignment horizontal="center" vertical="top"/>
    </xf>
    <xf numFmtId="164" fontId="1" fillId="0" borderId="60" xfId="0" applyNumberFormat="1" applyFont="1" applyBorder="1" applyAlignment="1">
      <alignment horizontal="center" vertical="top"/>
    </xf>
    <xf numFmtId="164" fontId="1" fillId="3" borderId="39" xfId="0" applyNumberFormat="1" applyFont="1" applyFill="1" applyBorder="1" applyAlignment="1">
      <alignment horizontal="center" vertical="top"/>
    </xf>
    <xf numFmtId="3" fontId="1" fillId="4" borderId="29" xfId="0" applyNumberFormat="1" applyFont="1" applyFill="1" applyBorder="1" applyAlignment="1">
      <alignment horizontal="center" vertical="top"/>
    </xf>
    <xf numFmtId="3" fontId="1" fillId="4" borderId="4" xfId="0" applyNumberFormat="1" applyFont="1" applyFill="1" applyBorder="1" applyAlignment="1">
      <alignment horizontal="center" vertical="top"/>
    </xf>
    <xf numFmtId="164" fontId="1" fillId="4" borderId="32" xfId="0" applyNumberFormat="1" applyFont="1" applyFill="1" applyBorder="1" applyAlignment="1">
      <alignment horizontal="center" vertical="top" wrapText="1"/>
    </xf>
    <xf numFmtId="164" fontId="1" fillId="4" borderId="51" xfId="0" applyNumberFormat="1" applyFont="1" applyFill="1" applyBorder="1" applyAlignment="1">
      <alignment horizontal="center" vertical="top" wrapText="1"/>
    </xf>
    <xf numFmtId="164" fontId="1" fillId="4" borderId="65" xfId="0" applyNumberFormat="1" applyFont="1" applyFill="1" applyBorder="1" applyAlignment="1">
      <alignment horizontal="center" vertical="top" wrapText="1"/>
    </xf>
    <xf numFmtId="164" fontId="1" fillId="4" borderId="66" xfId="0" applyNumberFormat="1" applyFont="1" applyFill="1" applyBorder="1" applyAlignment="1">
      <alignment horizontal="center" vertical="top" wrapText="1"/>
    </xf>
    <xf numFmtId="164" fontId="1" fillId="4" borderId="52" xfId="0" applyNumberFormat="1" applyFont="1" applyFill="1" applyBorder="1" applyAlignment="1">
      <alignment horizontal="center" vertical="top" wrapText="1"/>
    </xf>
    <xf numFmtId="3" fontId="1" fillId="0" borderId="52" xfId="0" applyNumberFormat="1" applyFont="1" applyBorder="1" applyAlignment="1">
      <alignment horizontal="center" vertical="top" wrapText="1"/>
    </xf>
    <xf numFmtId="164" fontId="1" fillId="4" borderId="26" xfId="0" applyNumberFormat="1" applyFont="1" applyFill="1" applyBorder="1" applyAlignment="1">
      <alignment horizontal="center" vertical="top" wrapText="1"/>
    </xf>
    <xf numFmtId="3" fontId="5" fillId="5" borderId="79" xfId="0" applyNumberFormat="1" applyFont="1" applyFill="1" applyBorder="1" applyAlignment="1">
      <alignment horizontal="center" vertical="top" wrapText="1"/>
    </xf>
    <xf numFmtId="164" fontId="1" fillId="4" borderId="140" xfId="0" applyNumberFormat="1" applyFont="1" applyFill="1" applyBorder="1" applyAlignment="1">
      <alignment horizontal="center" vertical="top"/>
    </xf>
    <xf numFmtId="164" fontId="1" fillId="4" borderId="62" xfId="0" applyNumberFormat="1" applyFont="1" applyFill="1" applyBorder="1" applyAlignment="1">
      <alignment vertical="top"/>
    </xf>
    <xf numFmtId="164" fontId="1" fillId="4" borderId="135" xfId="0" applyNumberFormat="1" applyFont="1" applyFill="1" applyBorder="1" applyAlignment="1">
      <alignment horizontal="center" vertical="top"/>
    </xf>
    <xf numFmtId="164" fontId="1" fillId="4" borderId="42" xfId="0" applyNumberFormat="1" applyFont="1" applyFill="1" applyBorder="1" applyAlignment="1">
      <alignment vertical="top"/>
    </xf>
    <xf numFmtId="164" fontId="1" fillId="4" borderId="18" xfId="0" applyNumberFormat="1" applyFont="1" applyFill="1" applyBorder="1" applyAlignment="1">
      <alignment vertical="top"/>
    </xf>
    <xf numFmtId="49" fontId="4" fillId="16" borderId="99" xfId="2" applyNumberFormat="1" applyFont="1" applyFill="1" applyBorder="1" applyAlignment="1">
      <alignment horizontal="center" vertical="top"/>
    </xf>
    <xf numFmtId="164" fontId="1" fillId="4" borderId="0" xfId="0" applyNumberFormat="1" applyFont="1" applyFill="1" applyBorder="1" applyAlignment="1">
      <alignment vertical="top" wrapText="1"/>
    </xf>
    <xf numFmtId="164" fontId="4" fillId="16" borderId="34" xfId="2" applyNumberFormat="1" applyFont="1" applyFill="1" applyBorder="1" applyAlignment="1">
      <alignment horizontal="center" vertical="top"/>
    </xf>
    <xf numFmtId="164" fontId="4" fillId="4" borderId="51" xfId="0" applyNumberFormat="1" applyFont="1" applyFill="1" applyBorder="1" applyAlignment="1">
      <alignment horizontal="center" vertical="top"/>
    </xf>
    <xf numFmtId="16" fontId="1" fillId="4" borderId="0" xfId="0" applyNumberFormat="1" applyFont="1" applyFill="1" applyBorder="1" applyAlignment="1">
      <alignment horizontal="center" vertical="top" wrapText="1"/>
    </xf>
    <xf numFmtId="3" fontId="2" fillId="0" borderId="39" xfId="0" applyNumberFormat="1" applyFont="1" applyBorder="1" applyAlignment="1">
      <alignment horizontal="center" vertical="top" wrapText="1"/>
    </xf>
    <xf numFmtId="3" fontId="2" fillId="0" borderId="60" xfId="0" applyNumberFormat="1" applyFont="1" applyBorder="1" applyAlignment="1">
      <alignment horizontal="center" vertical="top" wrapText="1"/>
    </xf>
    <xf numFmtId="164" fontId="5" fillId="3" borderId="0" xfId="0" applyNumberFormat="1" applyFont="1" applyFill="1" applyBorder="1" applyAlignment="1">
      <alignment horizontal="center" vertical="top" wrapText="1"/>
    </xf>
    <xf numFmtId="3" fontId="5" fillId="0" borderId="31" xfId="0" applyNumberFormat="1" applyFont="1" applyBorder="1" applyAlignment="1">
      <alignment horizontal="center" vertical="top" wrapText="1"/>
    </xf>
    <xf numFmtId="165" fontId="2" fillId="7" borderId="74" xfId="0" applyNumberFormat="1" applyFont="1" applyFill="1" applyBorder="1" applyAlignment="1">
      <alignment horizontal="center" vertical="top" wrapText="1"/>
    </xf>
    <xf numFmtId="165" fontId="4" fillId="0" borderId="24" xfId="0" applyNumberFormat="1" applyFont="1" applyBorder="1" applyAlignment="1">
      <alignment horizontal="center" vertical="center" wrapText="1"/>
    </xf>
    <xf numFmtId="165" fontId="2" fillId="7" borderId="73" xfId="0" applyNumberFormat="1" applyFont="1" applyFill="1" applyBorder="1" applyAlignment="1">
      <alignment horizontal="center" vertical="top" wrapText="1"/>
    </xf>
    <xf numFmtId="165" fontId="4" fillId="0" borderId="13" xfId="0" applyNumberFormat="1" applyFont="1" applyBorder="1" applyAlignment="1">
      <alignment horizontal="center" vertical="center" wrapText="1"/>
    </xf>
    <xf numFmtId="165" fontId="2" fillId="7" borderId="29" xfId="0" applyNumberFormat="1" applyFont="1" applyFill="1" applyBorder="1" applyAlignment="1">
      <alignment horizontal="center" vertical="top" wrapText="1"/>
    </xf>
    <xf numFmtId="49" fontId="4" fillId="0" borderId="0" xfId="0" applyNumberFormat="1" applyFont="1" applyAlignment="1">
      <alignment vertical="top" wrapText="1"/>
    </xf>
    <xf numFmtId="49" fontId="4" fillId="3" borderId="64" xfId="0" applyNumberFormat="1" applyFont="1" applyFill="1" applyBorder="1" applyAlignment="1">
      <alignment horizontal="center" vertical="top" wrapText="1"/>
    </xf>
    <xf numFmtId="49" fontId="4" fillId="3" borderId="32" xfId="0" applyNumberFormat="1" applyFont="1" applyFill="1" applyBorder="1" applyAlignment="1">
      <alignment horizontal="center" vertical="top" wrapText="1"/>
    </xf>
    <xf numFmtId="49" fontId="4" fillId="3" borderId="18" xfId="0" applyNumberFormat="1" applyFont="1" applyFill="1" applyBorder="1" applyAlignment="1">
      <alignment vertical="top" wrapText="1"/>
    </xf>
    <xf numFmtId="49" fontId="4" fillId="3" borderId="68" xfId="0" applyNumberFormat="1" applyFont="1" applyFill="1" applyBorder="1" applyAlignment="1">
      <alignment vertical="top" wrapText="1"/>
    </xf>
    <xf numFmtId="49" fontId="4" fillId="3" borderId="68" xfId="0" applyNumberFormat="1" applyFont="1" applyFill="1" applyBorder="1" applyAlignment="1">
      <alignment horizontal="center" vertical="top" wrapText="1"/>
    </xf>
    <xf numFmtId="3" fontId="4" fillId="4" borderId="13" xfId="0" quotePrefix="1" applyNumberFormat="1" applyFont="1" applyFill="1" applyBorder="1" applyAlignment="1">
      <alignment horizontal="center" vertical="top" wrapText="1"/>
    </xf>
    <xf numFmtId="3" fontId="4" fillId="4" borderId="19" xfId="0" quotePrefix="1" applyNumberFormat="1" applyFont="1" applyFill="1" applyBorder="1" applyAlignment="1">
      <alignment horizontal="center" vertical="top" wrapText="1"/>
    </xf>
    <xf numFmtId="49" fontId="4" fillId="3" borderId="13" xfId="0" applyNumberFormat="1" applyFont="1" applyFill="1" applyBorder="1" applyAlignment="1">
      <alignment horizontal="center" vertical="top" wrapText="1"/>
    </xf>
    <xf numFmtId="49" fontId="4" fillId="3" borderId="18" xfId="0" applyNumberFormat="1" applyFont="1" applyFill="1" applyBorder="1" applyAlignment="1">
      <alignment horizontal="center" vertical="top" wrapText="1"/>
    </xf>
    <xf numFmtId="49" fontId="4" fillId="0" borderId="0" xfId="0" applyNumberFormat="1" applyFont="1" applyBorder="1" applyAlignment="1">
      <alignment vertical="top" wrapText="1"/>
    </xf>
    <xf numFmtId="49" fontId="4" fillId="3" borderId="32" xfId="0" applyNumberFormat="1" applyFont="1" applyFill="1" applyBorder="1" applyAlignment="1">
      <alignment horizontal="center" vertical="top"/>
    </xf>
    <xf numFmtId="49" fontId="4" fillId="3" borderId="13" xfId="0" applyNumberFormat="1" applyFont="1" applyFill="1" applyBorder="1" applyAlignment="1">
      <alignment vertical="top" wrapText="1"/>
    </xf>
    <xf numFmtId="49" fontId="4" fillId="3" borderId="32" xfId="0" applyNumberFormat="1" applyFont="1" applyFill="1" applyBorder="1" applyAlignment="1">
      <alignment vertical="top"/>
    </xf>
    <xf numFmtId="49" fontId="4" fillId="3" borderId="18" xfId="0" applyNumberFormat="1" applyFont="1" applyFill="1" applyBorder="1" applyAlignment="1">
      <alignment vertical="top"/>
    </xf>
    <xf numFmtId="49" fontId="4" fillId="3" borderId="19" xfId="0" applyNumberFormat="1" applyFont="1" applyFill="1" applyBorder="1" applyAlignment="1">
      <alignment vertical="top"/>
    </xf>
    <xf numFmtId="49" fontId="4" fillId="3" borderId="19" xfId="0" applyNumberFormat="1" applyFont="1" applyFill="1" applyBorder="1" applyAlignment="1">
      <alignment vertical="top" wrapText="1"/>
    </xf>
    <xf numFmtId="49" fontId="4" fillId="0" borderId="18" xfId="0" applyNumberFormat="1" applyFont="1" applyBorder="1" applyAlignment="1">
      <alignment horizontal="center" vertical="top" wrapText="1"/>
    </xf>
    <xf numFmtId="49" fontId="4" fillId="0" borderId="32" xfId="0" applyNumberFormat="1" applyFont="1" applyBorder="1" applyAlignment="1">
      <alignment horizontal="center" vertical="top" wrapText="1"/>
    </xf>
    <xf numFmtId="49" fontId="4" fillId="3" borderId="19" xfId="0" applyNumberFormat="1" applyFont="1" applyFill="1" applyBorder="1" applyAlignment="1">
      <alignment horizontal="center" vertical="top" wrapText="1"/>
    </xf>
    <xf numFmtId="49" fontId="4" fillId="0" borderId="18" xfId="0" applyNumberFormat="1" applyFont="1" applyBorder="1" applyAlignment="1">
      <alignment vertical="top" wrapText="1"/>
    </xf>
    <xf numFmtId="49" fontId="4" fillId="4" borderId="18" xfId="0" applyNumberFormat="1" applyFont="1" applyFill="1" applyBorder="1" applyAlignment="1">
      <alignment horizontal="center" vertical="top" wrapText="1"/>
    </xf>
    <xf numFmtId="49" fontId="4" fillId="4" borderId="18" xfId="0" applyNumberFormat="1" applyFont="1" applyFill="1" applyBorder="1" applyAlignment="1">
      <alignment horizontal="center" vertical="top"/>
    </xf>
    <xf numFmtId="49" fontId="4" fillId="3" borderId="18" xfId="0" applyNumberFormat="1" applyFont="1" applyFill="1" applyBorder="1" applyAlignment="1">
      <alignment horizontal="center" vertical="top"/>
    </xf>
    <xf numFmtId="49" fontId="4" fillId="3" borderId="42" xfId="0" applyNumberFormat="1" applyFont="1" applyFill="1" applyBorder="1" applyAlignment="1">
      <alignment vertical="top" wrapText="1"/>
    </xf>
    <xf numFmtId="49" fontId="4" fillId="3" borderId="59" xfId="0" applyNumberFormat="1" applyFont="1" applyFill="1" applyBorder="1" applyAlignment="1">
      <alignment vertical="top" wrapText="1"/>
    </xf>
    <xf numFmtId="49" fontId="4" fillId="3" borderId="59" xfId="0" applyNumberFormat="1" applyFont="1" applyFill="1" applyBorder="1" applyAlignment="1">
      <alignment horizontal="center" vertical="top" wrapText="1"/>
    </xf>
    <xf numFmtId="49" fontId="4" fillId="3" borderId="42" xfId="0" applyNumberFormat="1" applyFont="1" applyFill="1" applyBorder="1" applyAlignment="1">
      <alignment horizontal="center" vertical="top" wrapText="1"/>
    </xf>
    <xf numFmtId="49" fontId="4" fillId="3" borderId="66" xfId="0" applyNumberFormat="1" applyFont="1" applyFill="1" applyBorder="1" applyAlignment="1">
      <alignment horizontal="center" vertical="top" wrapText="1"/>
    </xf>
    <xf numFmtId="49" fontId="4" fillId="0" borderId="0" xfId="0" applyNumberFormat="1" applyFont="1" applyAlignment="1">
      <alignment horizontal="center" vertical="top" wrapText="1"/>
    </xf>
    <xf numFmtId="49" fontId="4" fillId="3" borderId="33" xfId="0" applyNumberFormat="1" applyFont="1" applyFill="1" applyBorder="1" applyAlignment="1">
      <alignment horizontal="center" vertical="top" wrapText="1"/>
    </xf>
    <xf numFmtId="49" fontId="4" fillId="3" borderId="53" xfId="0" applyNumberFormat="1" applyFont="1" applyFill="1" applyBorder="1" applyAlignment="1">
      <alignment horizontal="center" vertical="top" wrapText="1"/>
    </xf>
    <xf numFmtId="49" fontId="4" fillId="3" borderId="19" xfId="0" applyNumberFormat="1" applyFont="1" applyFill="1" applyBorder="1" applyAlignment="1">
      <alignment horizontal="center" vertical="top"/>
    </xf>
    <xf numFmtId="49" fontId="4" fillId="0" borderId="0" xfId="0" applyNumberFormat="1" applyFont="1" applyBorder="1" applyAlignment="1">
      <alignment horizontal="center" vertical="top" wrapText="1"/>
    </xf>
    <xf numFmtId="49" fontId="4" fillId="4" borderId="42" xfId="0" applyNumberFormat="1" applyFont="1" applyFill="1" applyBorder="1" applyAlignment="1">
      <alignment horizontal="center" vertical="top" wrapText="1"/>
    </xf>
    <xf numFmtId="49" fontId="4" fillId="3" borderId="66" xfId="0" applyNumberFormat="1" applyFont="1" applyFill="1" applyBorder="1" applyAlignment="1">
      <alignment horizontal="center" vertical="top"/>
    </xf>
    <xf numFmtId="49" fontId="4" fillId="3" borderId="59" xfId="0" applyNumberFormat="1" applyFont="1" applyFill="1" applyBorder="1" applyAlignment="1">
      <alignment horizontal="center" vertical="top"/>
    </xf>
    <xf numFmtId="49" fontId="2" fillId="3" borderId="64" xfId="0" applyNumberFormat="1" applyFont="1" applyFill="1" applyBorder="1" applyAlignment="1">
      <alignment vertical="top" wrapText="1"/>
    </xf>
    <xf numFmtId="49" fontId="4" fillId="3" borderId="51" xfId="0" applyNumberFormat="1" applyFont="1" applyFill="1" applyBorder="1" applyAlignment="1">
      <alignment horizontal="center" vertical="top" wrapText="1"/>
    </xf>
    <xf numFmtId="49" fontId="4" fillId="0" borderId="66" xfId="0" applyNumberFormat="1" applyFont="1" applyBorder="1" applyAlignment="1">
      <alignment horizontal="center" vertical="top" wrapText="1"/>
    </xf>
    <xf numFmtId="49" fontId="4" fillId="0" borderId="59" xfId="0" applyNumberFormat="1" applyFont="1" applyBorder="1" applyAlignment="1">
      <alignment horizontal="center" vertical="top" wrapText="1"/>
    </xf>
    <xf numFmtId="3" fontId="5" fillId="4" borderId="80" xfId="0" applyNumberFormat="1" applyFont="1" applyFill="1" applyBorder="1" applyAlignment="1">
      <alignment horizontal="center" vertical="top" wrapText="1"/>
    </xf>
    <xf numFmtId="3" fontId="5" fillId="4" borderId="71" xfId="0" applyNumberFormat="1" applyFont="1" applyFill="1" applyBorder="1" applyAlignment="1">
      <alignment horizontal="center" vertical="top" wrapText="1"/>
    </xf>
    <xf numFmtId="3" fontId="4" fillId="4" borderId="9" xfId="0" applyNumberFormat="1" applyFont="1" applyFill="1" applyBorder="1" applyAlignment="1">
      <alignment horizontal="center" vertical="top" wrapText="1"/>
    </xf>
    <xf numFmtId="49" fontId="1" fillId="4" borderId="33" xfId="0" applyNumberFormat="1" applyFont="1" applyFill="1" applyBorder="1" applyAlignment="1">
      <alignment horizontal="center" vertical="top"/>
    </xf>
    <xf numFmtId="49" fontId="1" fillId="4" borderId="61" xfId="0" applyNumberFormat="1" applyFont="1" applyFill="1" applyBorder="1" applyAlignment="1">
      <alignment horizontal="center" vertical="top"/>
    </xf>
    <xf numFmtId="3" fontId="2" fillId="3" borderId="0" xfId="0" applyNumberFormat="1" applyFont="1" applyFill="1" applyBorder="1" applyAlignment="1">
      <alignment horizontal="center" vertical="top" wrapText="1"/>
    </xf>
    <xf numFmtId="3" fontId="1" fillId="0" borderId="59" xfId="0" applyNumberFormat="1" applyFont="1" applyBorder="1" applyAlignment="1">
      <alignment horizontal="center" vertical="top" wrapText="1"/>
    </xf>
    <xf numFmtId="3" fontId="1" fillId="0" borderId="28" xfId="0" applyNumberFormat="1" applyFont="1" applyBorder="1" applyAlignment="1">
      <alignment horizontal="center" vertical="top" wrapText="1"/>
    </xf>
    <xf numFmtId="3" fontId="1" fillId="0" borderId="33" xfId="0" applyNumberFormat="1" applyFont="1" applyBorder="1" applyAlignment="1">
      <alignment horizontal="center" vertical="top" wrapText="1"/>
    </xf>
    <xf numFmtId="3" fontId="2" fillId="4" borderId="38" xfId="0" applyNumberFormat="1" applyFont="1" applyFill="1" applyBorder="1" applyAlignment="1">
      <alignment horizontal="center" vertical="top" wrapText="1"/>
    </xf>
    <xf numFmtId="3" fontId="1" fillId="4" borderId="10" xfId="0" applyNumberFormat="1" applyFont="1" applyFill="1" applyBorder="1" applyAlignment="1">
      <alignment vertical="top" wrapText="1"/>
    </xf>
    <xf numFmtId="0" fontId="1" fillId="4" borderId="64" xfId="0" applyFont="1" applyFill="1" applyBorder="1" applyAlignment="1">
      <alignment horizontal="center" vertical="top" wrapText="1"/>
    </xf>
    <xf numFmtId="3" fontId="2" fillId="3" borderId="52" xfId="0" applyNumberFormat="1" applyFont="1" applyFill="1" applyBorder="1" applyAlignment="1">
      <alignment horizontal="center" vertical="top" wrapText="1"/>
    </xf>
    <xf numFmtId="3" fontId="1" fillId="3" borderId="2" xfId="0" applyNumberFormat="1" applyFont="1" applyFill="1" applyBorder="1" applyAlignment="1">
      <alignment horizontal="center" vertical="top" wrapText="1"/>
    </xf>
    <xf numFmtId="3" fontId="4" fillId="0" borderId="33" xfId="0" applyNumberFormat="1" applyFont="1" applyFill="1" applyBorder="1" applyAlignment="1">
      <alignment horizontal="center" vertical="top" wrapText="1"/>
    </xf>
    <xf numFmtId="164" fontId="4" fillId="13" borderId="91" xfId="2" applyNumberFormat="1" applyFont="1" applyFill="1" applyBorder="1" applyAlignment="1">
      <alignment horizontal="center" vertical="top"/>
    </xf>
    <xf numFmtId="164" fontId="4" fillId="4" borderId="29" xfId="0" applyNumberFormat="1" applyFont="1" applyFill="1" applyBorder="1" applyAlignment="1">
      <alignment horizontal="center" vertical="top"/>
    </xf>
    <xf numFmtId="164" fontId="4" fillId="4" borderId="58" xfId="0" applyNumberFormat="1" applyFont="1" applyFill="1" applyBorder="1" applyAlignment="1">
      <alignment horizontal="center" vertical="top"/>
    </xf>
    <xf numFmtId="164" fontId="5" fillId="5" borderId="47" xfId="0" applyNumberFormat="1" applyFont="1" applyFill="1" applyBorder="1" applyAlignment="1">
      <alignment horizontal="center" vertical="top" wrapText="1"/>
    </xf>
    <xf numFmtId="3" fontId="4" fillId="4" borderId="64" xfId="0" applyNumberFormat="1" applyFont="1" applyFill="1" applyBorder="1" applyAlignment="1">
      <alignment vertical="top" wrapText="1"/>
    </xf>
    <xf numFmtId="164" fontId="4" fillId="12" borderId="141" xfId="2" applyNumberFormat="1" applyFont="1" applyFill="1" applyBorder="1" applyAlignment="1">
      <alignment horizontal="center" vertical="top"/>
    </xf>
    <xf numFmtId="164" fontId="4" fillId="13" borderId="143" xfId="2" applyNumberFormat="1" applyFont="1" applyFill="1" applyBorder="1" applyAlignment="1">
      <alignment horizontal="center" vertical="top"/>
    </xf>
    <xf numFmtId="164" fontId="4" fillId="12" borderId="128" xfId="2" applyNumberFormat="1" applyFont="1" applyFill="1" applyBorder="1" applyAlignment="1">
      <alignment horizontal="center" vertical="top"/>
    </xf>
    <xf numFmtId="164" fontId="4" fillId="15" borderId="34" xfId="2" applyNumberFormat="1" applyFont="1" applyFill="1" applyBorder="1" applyAlignment="1">
      <alignment horizontal="center" vertical="top"/>
    </xf>
    <xf numFmtId="164" fontId="4" fillId="13" borderId="84" xfId="2" applyNumberFormat="1" applyFont="1" applyFill="1" applyBorder="1" applyAlignment="1">
      <alignment horizontal="center" vertical="top"/>
    </xf>
    <xf numFmtId="164" fontId="4" fillId="13" borderId="125" xfId="2" applyNumberFormat="1" applyFont="1" applyFill="1" applyBorder="1" applyAlignment="1">
      <alignment horizontal="center" vertical="top"/>
    </xf>
    <xf numFmtId="164" fontId="4" fillId="13" borderId="94" xfId="2" applyNumberFormat="1" applyFont="1" applyFill="1" applyBorder="1" applyAlignment="1">
      <alignment horizontal="center" vertical="top"/>
    </xf>
    <xf numFmtId="164" fontId="4" fillId="0" borderId="57" xfId="2" applyNumberFormat="1" applyFont="1" applyFill="1" applyBorder="1" applyAlignment="1">
      <alignment horizontal="center" vertical="top"/>
    </xf>
    <xf numFmtId="3" fontId="1" fillId="0" borderId="3" xfId="0" applyNumberFormat="1" applyFont="1" applyFill="1" applyBorder="1" applyAlignment="1">
      <alignment horizontal="center" vertical="top" wrapText="1"/>
    </xf>
    <xf numFmtId="0" fontId="8" fillId="0" borderId="69" xfId="0" applyFont="1" applyBorder="1" applyAlignment="1">
      <alignment vertical="center" wrapText="1"/>
    </xf>
    <xf numFmtId="0" fontId="8" fillId="0" borderId="23" xfId="0" applyFont="1" applyBorder="1" applyAlignment="1">
      <alignment horizontal="center" vertical="center" wrapText="1"/>
    </xf>
    <xf numFmtId="0" fontId="8" fillId="0" borderId="72" xfId="0" applyFont="1" applyBorder="1" applyAlignment="1">
      <alignment horizontal="center" vertical="center" wrapText="1"/>
    </xf>
    <xf numFmtId="0" fontId="8" fillId="0" borderId="7" xfId="0" applyFont="1" applyBorder="1" applyAlignment="1">
      <alignment horizontal="center" vertical="center" wrapText="1"/>
    </xf>
    <xf numFmtId="0" fontId="8" fillId="0" borderId="0" xfId="0" applyFont="1"/>
    <xf numFmtId="0" fontId="8" fillId="0" borderId="69" xfId="0" applyFont="1" applyBorder="1" applyAlignment="1">
      <alignment horizontal="center" vertical="center" wrapText="1"/>
    </xf>
    <xf numFmtId="0" fontId="8" fillId="0" borderId="69" xfId="0" applyFont="1" applyBorder="1" applyAlignment="1">
      <alignment horizontal="justify" vertical="center" wrapText="1"/>
    </xf>
    <xf numFmtId="0" fontId="8" fillId="0" borderId="49" xfId="0" applyFont="1" applyBorder="1" applyAlignment="1">
      <alignment horizontal="center" vertical="center" wrapText="1"/>
    </xf>
    <xf numFmtId="0" fontId="8" fillId="0" borderId="69" xfId="0" applyFont="1" applyBorder="1" applyAlignment="1">
      <alignment horizontal="left" vertical="center" wrapText="1"/>
    </xf>
    <xf numFmtId="0" fontId="8" fillId="0" borderId="10" xfId="0" applyFont="1" applyBorder="1" applyAlignment="1">
      <alignment horizontal="center" vertical="center" wrapText="1"/>
    </xf>
    <xf numFmtId="0" fontId="8" fillId="0" borderId="10" xfId="0" applyFont="1" applyBorder="1" applyAlignment="1">
      <alignment horizontal="justify" vertical="center" wrapText="1"/>
    </xf>
    <xf numFmtId="0" fontId="8" fillId="0" borderId="10" xfId="0" applyFont="1" applyBorder="1" applyAlignment="1">
      <alignment horizontal="left" vertical="center" wrapText="1"/>
    </xf>
    <xf numFmtId="0" fontId="8" fillId="0" borderId="72" xfId="0" applyFont="1" applyBorder="1" applyAlignment="1">
      <alignment horizontal="justify" vertical="center" wrapText="1"/>
    </xf>
    <xf numFmtId="0" fontId="11" fillId="0" borderId="0" xfId="0" applyFont="1" applyAlignment="1">
      <alignment horizontal="center"/>
    </xf>
    <xf numFmtId="0" fontId="11" fillId="0" borderId="0" xfId="0" applyFont="1" applyAlignment="1"/>
    <xf numFmtId="0" fontId="8" fillId="0" borderId="0" xfId="0" applyFont="1" applyAlignment="1">
      <alignment horizontal="center"/>
    </xf>
    <xf numFmtId="0" fontId="8" fillId="0" borderId="23" xfId="0" applyFont="1" applyBorder="1" applyAlignment="1">
      <alignment horizontal="justify" vertical="center" wrapText="1"/>
    </xf>
    <xf numFmtId="0" fontId="11" fillId="0" borderId="12" xfId="0" applyFont="1" applyBorder="1" applyAlignment="1">
      <alignment horizontal="right"/>
    </xf>
    <xf numFmtId="165" fontId="8" fillId="0" borderId="10" xfId="0" applyNumberFormat="1" applyFont="1" applyBorder="1" applyAlignment="1">
      <alignment horizontal="center" vertical="center" wrapText="1"/>
    </xf>
    <xf numFmtId="165" fontId="8" fillId="0" borderId="72" xfId="0" applyNumberFormat="1" applyFont="1" applyBorder="1" applyAlignment="1">
      <alignment horizontal="center" vertical="center" wrapText="1"/>
    </xf>
    <xf numFmtId="165" fontId="8" fillId="0" borderId="23" xfId="0" applyNumberFormat="1" applyFont="1" applyBorder="1" applyAlignment="1">
      <alignment horizontal="center" vertical="center" wrapText="1"/>
    </xf>
    <xf numFmtId="165" fontId="11" fillId="0" borderId="23" xfId="0" applyNumberFormat="1" applyFont="1" applyBorder="1" applyAlignment="1">
      <alignment horizontal="center"/>
    </xf>
    <xf numFmtId="0" fontId="8" fillId="0" borderId="72" xfId="0" applyFont="1" applyBorder="1" applyAlignment="1">
      <alignment horizontal="left" vertical="center" wrapText="1"/>
    </xf>
    <xf numFmtId="165" fontId="8" fillId="0" borderId="69" xfId="0" applyNumberFormat="1" applyFont="1" applyBorder="1" applyAlignment="1">
      <alignment horizontal="center" vertical="center" wrapText="1"/>
    </xf>
    <xf numFmtId="165" fontId="8" fillId="0" borderId="0" xfId="0" applyNumberFormat="1" applyFont="1"/>
    <xf numFmtId="165" fontId="8" fillId="0" borderId="0" xfId="0" applyNumberFormat="1" applyFont="1" applyAlignment="1">
      <alignment horizontal="center"/>
    </xf>
    <xf numFmtId="165" fontId="11" fillId="0" borderId="0" xfId="0" applyNumberFormat="1" applyFont="1" applyAlignment="1">
      <alignment horizontal="center"/>
    </xf>
    <xf numFmtId="0" fontId="11" fillId="0" borderId="54" xfId="0" applyFont="1" applyBorder="1" applyAlignment="1"/>
    <xf numFmtId="0" fontId="11" fillId="0" borderId="43" xfId="0" applyFont="1" applyBorder="1" applyAlignment="1"/>
    <xf numFmtId="0" fontId="30" fillId="0" borderId="0" xfId="0" applyFont="1" applyAlignment="1"/>
    <xf numFmtId="165" fontId="8" fillId="0" borderId="72" xfId="0" applyNumberFormat="1" applyFont="1" applyBorder="1" applyAlignment="1">
      <alignment horizontal="justify" vertical="center" wrapText="1"/>
    </xf>
    <xf numFmtId="165" fontId="11" fillId="0" borderId="54" xfId="0" applyNumberFormat="1" applyFont="1" applyBorder="1" applyAlignment="1"/>
    <xf numFmtId="165" fontId="11" fillId="0" borderId="43" xfId="0" applyNumberFormat="1" applyFont="1" applyBorder="1" applyAlignment="1"/>
    <xf numFmtId="165" fontId="30" fillId="0" borderId="0" xfId="0" applyNumberFormat="1" applyFont="1" applyAlignment="1"/>
    <xf numFmtId="165" fontId="11" fillId="0" borderId="0" xfId="0" applyNumberFormat="1" applyFont="1" applyAlignment="1"/>
    <xf numFmtId="0" fontId="11" fillId="0" borderId="56" xfId="0" applyFont="1" applyBorder="1" applyAlignment="1">
      <alignment horizontal="right"/>
    </xf>
    <xf numFmtId="0" fontId="11" fillId="0" borderId="54" xfId="0" applyFont="1" applyBorder="1" applyAlignment="1">
      <alignment horizontal="center"/>
    </xf>
    <xf numFmtId="0" fontId="11" fillId="0" borderId="43" xfId="0" applyFont="1" applyBorder="1" applyAlignment="1">
      <alignment horizontal="center"/>
    </xf>
    <xf numFmtId="0" fontId="30" fillId="0" borderId="0" xfId="0" applyFont="1" applyAlignment="1">
      <alignment horizontal="center"/>
    </xf>
    <xf numFmtId="0" fontId="30" fillId="0" borderId="0" xfId="0" applyFont="1"/>
    <xf numFmtId="165" fontId="11" fillId="4" borderId="23" xfId="0" applyNumberFormat="1" applyFont="1" applyFill="1" applyBorder="1" applyAlignment="1">
      <alignment horizontal="center"/>
    </xf>
    <xf numFmtId="164" fontId="4" fillId="4" borderId="51" xfId="0" applyNumberFormat="1" applyFont="1" applyFill="1" applyBorder="1" applyAlignment="1">
      <alignment horizontal="center" vertical="top" wrapText="1"/>
    </xf>
    <xf numFmtId="164" fontId="4" fillId="4" borderId="16" xfId="0" applyNumberFormat="1" applyFont="1" applyFill="1" applyBorder="1" applyAlignment="1">
      <alignment horizontal="center" vertical="top" wrapText="1"/>
    </xf>
    <xf numFmtId="164" fontId="4" fillId="4" borderId="13" xfId="0" applyNumberFormat="1" applyFont="1" applyFill="1" applyBorder="1" applyAlignment="1">
      <alignment horizontal="center" vertical="top" wrapText="1"/>
    </xf>
    <xf numFmtId="164" fontId="4" fillId="4" borderId="24" xfId="0" applyNumberFormat="1" applyFont="1" applyFill="1" applyBorder="1" applyAlignment="1">
      <alignment horizontal="center" vertical="top" wrapText="1"/>
    </xf>
    <xf numFmtId="164" fontId="4" fillId="4" borderId="53" xfId="0" applyNumberFormat="1" applyFont="1" applyFill="1" applyBorder="1" applyAlignment="1">
      <alignment horizontal="center" vertical="top" wrapText="1"/>
    </xf>
    <xf numFmtId="164" fontId="4" fillId="4" borderId="26" xfId="0" applyNumberFormat="1" applyFont="1" applyFill="1" applyBorder="1" applyAlignment="1">
      <alignment horizontal="center" vertical="top" wrapText="1"/>
    </xf>
    <xf numFmtId="164" fontId="4" fillId="4" borderId="68" xfId="0" applyNumberFormat="1" applyFont="1" applyFill="1" applyBorder="1" applyAlignment="1">
      <alignment horizontal="center" vertical="top" wrapText="1"/>
    </xf>
    <xf numFmtId="164" fontId="4" fillId="4" borderId="56" xfId="0" applyNumberFormat="1" applyFont="1" applyFill="1" applyBorder="1" applyAlignment="1">
      <alignment horizontal="center" vertical="top" wrapText="1"/>
    </xf>
    <xf numFmtId="164" fontId="4" fillId="4" borderId="19" xfId="0" applyNumberFormat="1" applyFont="1" applyFill="1" applyBorder="1" applyAlignment="1">
      <alignment horizontal="center" vertical="top" wrapText="1"/>
    </xf>
    <xf numFmtId="164" fontId="4" fillId="4" borderId="69" xfId="0" applyNumberFormat="1" applyFont="1" applyFill="1" applyBorder="1" applyAlignment="1">
      <alignment horizontal="center" vertical="top" wrapText="1"/>
    </xf>
    <xf numFmtId="164" fontId="4" fillId="4" borderId="64" xfId="0" applyNumberFormat="1" applyFont="1" applyFill="1" applyBorder="1" applyAlignment="1">
      <alignment horizontal="center" vertical="top" wrapText="1"/>
    </xf>
    <xf numFmtId="164" fontId="4" fillId="4" borderId="32" xfId="0" applyNumberFormat="1" applyFont="1" applyFill="1" applyBorder="1" applyAlignment="1">
      <alignment horizontal="center" vertical="top" wrapText="1"/>
    </xf>
    <xf numFmtId="164" fontId="5" fillId="4" borderId="17" xfId="0" applyNumberFormat="1" applyFont="1" applyFill="1" applyBorder="1" applyAlignment="1">
      <alignment horizontal="center" vertical="top" wrapText="1"/>
    </xf>
    <xf numFmtId="164" fontId="5" fillId="4" borderId="18" xfId="0" applyNumberFormat="1" applyFont="1" applyFill="1" applyBorder="1" applyAlignment="1">
      <alignment horizontal="center" vertical="top" wrapText="1"/>
    </xf>
    <xf numFmtId="164" fontId="5" fillId="4" borderId="7" xfId="0" applyNumberFormat="1" applyFont="1" applyFill="1" applyBorder="1" applyAlignment="1">
      <alignment horizontal="center" vertical="top" wrapText="1"/>
    </xf>
    <xf numFmtId="164" fontId="4" fillId="4" borderId="62" xfId="0" applyNumberFormat="1" applyFont="1" applyFill="1" applyBorder="1" applyAlignment="1">
      <alignment horizontal="center" vertical="top" wrapText="1"/>
    </xf>
    <xf numFmtId="164" fontId="4" fillId="4" borderId="42" xfId="0" applyNumberFormat="1" applyFont="1" applyFill="1" applyBorder="1" applyAlignment="1">
      <alignment horizontal="center" vertical="top" wrapText="1"/>
    </xf>
    <xf numFmtId="164" fontId="4" fillId="4" borderId="15" xfId="0" applyNumberFormat="1" applyFont="1" applyFill="1" applyBorder="1" applyAlignment="1">
      <alignment horizontal="center" vertical="top" wrapText="1"/>
    </xf>
    <xf numFmtId="164" fontId="4" fillId="4" borderId="73" xfId="0" applyNumberFormat="1" applyFont="1" applyFill="1" applyBorder="1" applyAlignment="1">
      <alignment horizontal="center" vertical="top" wrapText="1"/>
    </xf>
    <xf numFmtId="164" fontId="4" fillId="4" borderId="33" xfId="0" applyNumberFormat="1" applyFont="1" applyFill="1" applyBorder="1" applyAlignment="1">
      <alignment horizontal="center" vertical="top" wrapText="1"/>
    </xf>
    <xf numFmtId="164" fontId="4" fillId="4" borderId="17" xfId="0" applyNumberFormat="1" applyFont="1" applyFill="1" applyBorder="1" applyAlignment="1">
      <alignment horizontal="center" vertical="top" wrapText="1"/>
    </xf>
    <xf numFmtId="164" fontId="4" fillId="4" borderId="62" xfId="0" applyNumberFormat="1" applyFont="1" applyFill="1" applyBorder="1" applyAlignment="1">
      <alignment horizontal="center" vertical="center" wrapText="1"/>
    </xf>
    <xf numFmtId="164" fontId="4" fillId="4" borderId="61" xfId="0" applyNumberFormat="1" applyFont="1" applyFill="1" applyBorder="1" applyAlignment="1">
      <alignment horizontal="center" vertical="top" wrapText="1"/>
    </xf>
    <xf numFmtId="164" fontId="4" fillId="4" borderId="59" xfId="0" applyNumberFormat="1" applyFont="1" applyFill="1" applyBorder="1" applyAlignment="1">
      <alignment horizontal="center" vertical="top" wrapText="1"/>
    </xf>
    <xf numFmtId="164" fontId="4" fillId="4" borderId="28" xfId="0" applyNumberFormat="1" applyFont="1" applyFill="1" applyBorder="1" applyAlignment="1">
      <alignment horizontal="center" vertical="top" wrapText="1"/>
    </xf>
    <xf numFmtId="164" fontId="1" fillId="4" borderId="68" xfId="0" applyNumberFormat="1" applyFont="1" applyFill="1" applyBorder="1" applyAlignment="1">
      <alignment horizontal="center" vertical="top" wrapText="1"/>
    </xf>
    <xf numFmtId="164" fontId="4" fillId="4" borderId="74" xfId="0" applyNumberFormat="1" applyFont="1" applyFill="1" applyBorder="1" applyAlignment="1">
      <alignment horizontal="center" vertical="top" wrapText="1"/>
    </xf>
    <xf numFmtId="164" fontId="4" fillId="4" borderId="46" xfId="0" applyNumberFormat="1" applyFont="1" applyFill="1" applyBorder="1" applyAlignment="1">
      <alignment horizontal="center" vertical="top" wrapText="1"/>
    </xf>
    <xf numFmtId="164" fontId="4" fillId="4" borderId="47" xfId="0" applyNumberFormat="1" applyFont="1" applyFill="1" applyBorder="1" applyAlignment="1">
      <alignment horizontal="center" vertical="top" wrapText="1"/>
    </xf>
    <xf numFmtId="164" fontId="4" fillId="4" borderId="4" xfId="0" applyNumberFormat="1" applyFont="1" applyFill="1" applyBorder="1" applyAlignment="1">
      <alignment horizontal="center" vertical="top" wrapText="1"/>
    </xf>
    <xf numFmtId="164" fontId="4" fillId="4" borderId="50" xfId="0" applyNumberFormat="1" applyFont="1" applyFill="1" applyBorder="1" applyAlignment="1">
      <alignment horizontal="center" vertical="top" wrapText="1"/>
    </xf>
    <xf numFmtId="164" fontId="1" fillId="4" borderId="64" xfId="0" applyNumberFormat="1" applyFont="1" applyFill="1" applyBorder="1" applyAlignment="1">
      <alignment horizontal="center" vertical="top" wrapText="1"/>
    </xf>
    <xf numFmtId="164" fontId="1" fillId="4" borderId="13" xfId="0" applyNumberFormat="1" applyFont="1" applyFill="1" applyBorder="1" applyAlignment="1">
      <alignment horizontal="center" vertical="top" wrapText="1"/>
    </xf>
    <xf numFmtId="164" fontId="1" fillId="4" borderId="24" xfId="0" applyNumberFormat="1" applyFont="1" applyFill="1" applyBorder="1" applyAlignment="1">
      <alignment horizontal="center" vertical="top" wrapText="1"/>
    </xf>
    <xf numFmtId="164" fontId="1" fillId="4" borderId="20" xfId="0" applyNumberFormat="1" applyFont="1" applyFill="1" applyBorder="1" applyAlignment="1">
      <alignment horizontal="center" vertical="top" wrapText="1"/>
    </xf>
    <xf numFmtId="164" fontId="1" fillId="4" borderId="16" xfId="0" applyNumberFormat="1" applyFont="1" applyFill="1" applyBorder="1" applyAlignment="1">
      <alignment horizontal="center" vertical="top" wrapText="1"/>
    </xf>
    <xf numFmtId="164" fontId="1" fillId="4" borderId="56" xfId="0" applyNumberFormat="1" applyFont="1" applyFill="1" applyBorder="1" applyAlignment="1">
      <alignment horizontal="center" vertical="top" wrapText="1"/>
    </xf>
    <xf numFmtId="164" fontId="5" fillId="4" borderId="33" xfId="0" applyNumberFormat="1" applyFont="1" applyFill="1" applyBorder="1" applyAlignment="1">
      <alignment horizontal="center" vertical="top" wrapText="1"/>
    </xf>
    <xf numFmtId="164" fontId="5" fillId="4" borderId="61" xfId="0" applyNumberFormat="1" applyFont="1" applyFill="1" applyBorder="1" applyAlignment="1">
      <alignment horizontal="center" vertical="top" wrapText="1"/>
    </xf>
    <xf numFmtId="164" fontId="5" fillId="4" borderId="59" xfId="0" applyNumberFormat="1" applyFont="1" applyFill="1" applyBorder="1" applyAlignment="1">
      <alignment horizontal="center" vertical="top" wrapText="1"/>
    </xf>
    <xf numFmtId="164" fontId="5" fillId="4" borderId="28" xfId="0" applyNumberFormat="1" applyFont="1" applyFill="1" applyBorder="1" applyAlignment="1">
      <alignment horizontal="center" vertical="top" wrapText="1"/>
    </xf>
    <xf numFmtId="164" fontId="1" fillId="4" borderId="46" xfId="0" applyNumberFormat="1" applyFont="1" applyFill="1" applyBorder="1" applyAlignment="1">
      <alignment horizontal="center" vertical="top" wrapText="1"/>
    </xf>
    <xf numFmtId="164" fontId="1" fillId="4" borderId="14" xfId="0" applyNumberFormat="1" applyFont="1" applyFill="1" applyBorder="1" applyAlignment="1">
      <alignment horizontal="center" vertical="top" wrapText="1"/>
    </xf>
    <xf numFmtId="164" fontId="1" fillId="4" borderId="12" xfId="0" applyNumberFormat="1" applyFont="1" applyFill="1" applyBorder="1" applyAlignment="1">
      <alignment horizontal="center" vertical="top" wrapText="1"/>
    </xf>
    <xf numFmtId="164" fontId="1" fillId="4" borderId="11" xfId="0" applyNumberFormat="1" applyFont="1" applyFill="1" applyBorder="1" applyAlignment="1">
      <alignment horizontal="center" vertical="top" wrapText="1"/>
    </xf>
    <xf numFmtId="164" fontId="1" fillId="4" borderId="72" xfId="0" applyNumberFormat="1" applyFont="1" applyFill="1" applyBorder="1" applyAlignment="1">
      <alignment horizontal="center" vertical="top" wrapText="1"/>
    </xf>
    <xf numFmtId="164" fontId="1" fillId="4" borderId="19" xfId="0" applyNumberFormat="1" applyFont="1" applyFill="1" applyBorder="1" applyAlignment="1">
      <alignment horizontal="center" vertical="top" wrapText="1"/>
    </xf>
    <xf numFmtId="164" fontId="1" fillId="4" borderId="69" xfId="0" applyNumberFormat="1" applyFont="1" applyFill="1" applyBorder="1" applyAlignment="1">
      <alignment horizontal="center" vertical="top" wrapText="1"/>
    </xf>
    <xf numFmtId="164" fontId="1" fillId="0" borderId="61" xfId="0" applyNumberFormat="1" applyFont="1" applyBorder="1" applyAlignment="1">
      <alignment horizontal="center" vertical="top" wrapText="1"/>
    </xf>
    <xf numFmtId="164" fontId="1" fillId="4" borderId="62" xfId="0" applyNumberFormat="1" applyFont="1" applyFill="1" applyBorder="1" applyAlignment="1">
      <alignment horizontal="center" vertical="top" wrapText="1"/>
    </xf>
    <xf numFmtId="164" fontId="2" fillId="2" borderId="14" xfId="0" applyNumberFormat="1" applyFont="1" applyFill="1" applyBorder="1" applyAlignment="1">
      <alignment horizontal="center" vertical="top" wrapText="1"/>
    </xf>
    <xf numFmtId="164" fontId="2" fillId="2" borderId="12" xfId="0" applyNumberFormat="1" applyFont="1" applyFill="1" applyBorder="1" applyAlignment="1">
      <alignment horizontal="center" vertical="top" wrapText="1"/>
    </xf>
    <xf numFmtId="164" fontId="2" fillId="2" borderId="11" xfId="0" applyNumberFormat="1" applyFont="1" applyFill="1" applyBorder="1" applyAlignment="1">
      <alignment horizontal="center" vertical="top" wrapText="1"/>
    </xf>
    <xf numFmtId="164" fontId="2" fillId="2" borderId="54" xfId="0" applyNumberFormat="1" applyFont="1" applyFill="1" applyBorder="1" applyAlignment="1">
      <alignment horizontal="center" vertical="top" wrapText="1"/>
    </xf>
    <xf numFmtId="164" fontId="2" fillId="8" borderId="14" xfId="0" applyNumberFormat="1" applyFont="1" applyFill="1" applyBorder="1" applyAlignment="1">
      <alignment horizontal="center" vertical="top" wrapText="1"/>
    </xf>
    <xf numFmtId="164" fontId="2" fillId="8" borderId="12" xfId="0" applyNumberFormat="1" applyFont="1" applyFill="1" applyBorder="1" applyAlignment="1">
      <alignment horizontal="center" vertical="top" wrapText="1"/>
    </xf>
    <xf numFmtId="164" fontId="2" fillId="8" borderId="11" xfId="0" applyNumberFormat="1" applyFont="1" applyFill="1" applyBorder="1" applyAlignment="1">
      <alignment horizontal="center" vertical="top" wrapText="1"/>
    </xf>
    <xf numFmtId="164" fontId="1" fillId="4" borderId="22" xfId="0" applyNumberFormat="1" applyFont="1" applyFill="1" applyBorder="1" applyAlignment="1">
      <alignment horizontal="center" vertical="top" wrapText="1"/>
    </xf>
    <xf numFmtId="164" fontId="1" fillId="4" borderId="3" xfId="0" applyNumberFormat="1" applyFont="1" applyFill="1" applyBorder="1" applyAlignment="1">
      <alignment horizontal="center" vertical="top" wrapText="1"/>
    </xf>
    <xf numFmtId="164" fontId="1" fillId="4" borderId="31" xfId="0" applyNumberFormat="1" applyFont="1" applyFill="1" applyBorder="1" applyAlignment="1">
      <alignment horizontal="center" vertical="top" wrapText="1"/>
    </xf>
    <xf numFmtId="164" fontId="1" fillId="0" borderId="53" xfId="0" applyNumberFormat="1" applyFont="1" applyFill="1" applyBorder="1" applyAlignment="1">
      <alignment horizontal="center" vertical="top" wrapText="1"/>
    </xf>
    <xf numFmtId="164" fontId="1" fillId="0" borderId="41" xfId="0" applyNumberFormat="1" applyFont="1" applyFill="1" applyBorder="1" applyAlignment="1">
      <alignment horizontal="center" vertical="top" wrapText="1"/>
    </xf>
    <xf numFmtId="164" fontId="1" fillId="0" borderId="57" xfId="0" applyNumberFormat="1" applyFont="1" applyFill="1" applyBorder="1" applyAlignment="1">
      <alignment horizontal="center" vertical="top" wrapText="1"/>
    </xf>
    <xf numFmtId="164" fontId="1" fillId="4" borderId="27" xfId="0" applyNumberFormat="1" applyFont="1" applyFill="1" applyBorder="1" applyAlignment="1">
      <alignment horizontal="center" vertical="top" wrapText="1"/>
    </xf>
    <xf numFmtId="164" fontId="1" fillId="4" borderId="39" xfId="0" applyNumberFormat="1" applyFont="1" applyFill="1" applyBorder="1" applyAlignment="1">
      <alignment horizontal="center" vertical="top" wrapText="1"/>
    </xf>
    <xf numFmtId="164" fontId="4" fillId="4" borderId="31" xfId="0" applyNumberFormat="1" applyFont="1" applyFill="1" applyBorder="1" applyAlignment="1">
      <alignment horizontal="center" vertical="top" wrapText="1"/>
    </xf>
    <xf numFmtId="164" fontId="1" fillId="4" borderId="36" xfId="0" applyNumberFormat="1" applyFont="1" applyFill="1" applyBorder="1" applyAlignment="1">
      <alignment horizontal="center" vertical="top" wrapText="1"/>
    </xf>
    <xf numFmtId="164" fontId="1" fillId="4" borderId="34" xfId="0" applyNumberFormat="1" applyFont="1" applyFill="1" applyBorder="1" applyAlignment="1">
      <alignment horizontal="center" vertical="top" wrapText="1"/>
    </xf>
    <xf numFmtId="164" fontId="5" fillId="4" borderId="57" xfId="0" applyNumberFormat="1" applyFont="1" applyFill="1" applyBorder="1" applyAlignment="1">
      <alignment horizontal="center" vertical="top" wrapText="1"/>
    </xf>
    <xf numFmtId="164" fontId="4" fillId="4" borderId="60" xfId="0" applyNumberFormat="1" applyFont="1" applyFill="1" applyBorder="1" applyAlignment="1">
      <alignment horizontal="center" vertical="top" wrapText="1"/>
    </xf>
    <xf numFmtId="164" fontId="4" fillId="0" borderId="64" xfId="0" applyNumberFormat="1" applyFont="1" applyFill="1" applyBorder="1" applyAlignment="1">
      <alignment horizontal="center" vertical="top" wrapText="1"/>
    </xf>
    <xf numFmtId="164" fontId="4" fillId="0" borderId="22" xfId="0" applyNumberFormat="1" applyFont="1" applyFill="1" applyBorder="1" applyAlignment="1">
      <alignment horizontal="center" vertical="top" wrapText="1"/>
    </xf>
    <xf numFmtId="164" fontId="4" fillId="0" borderId="3" xfId="0" applyNumberFormat="1" applyFont="1" applyFill="1" applyBorder="1" applyAlignment="1">
      <alignment horizontal="center" vertical="top" wrapText="1"/>
    </xf>
    <xf numFmtId="164" fontId="4" fillId="0" borderId="38" xfId="0" applyNumberFormat="1" applyFont="1" applyFill="1" applyBorder="1" applyAlignment="1">
      <alignment horizontal="center" vertical="top" wrapText="1"/>
    </xf>
    <xf numFmtId="164" fontId="4" fillId="0" borderId="32" xfId="0" applyNumberFormat="1" applyFont="1" applyFill="1" applyBorder="1" applyAlignment="1">
      <alignment horizontal="center" vertical="top" wrapText="1"/>
    </xf>
    <xf numFmtId="164" fontId="4" fillId="0" borderId="40" xfId="0" applyNumberFormat="1" applyFont="1" applyFill="1" applyBorder="1" applyAlignment="1">
      <alignment horizontal="center" vertical="top" wrapText="1"/>
    </xf>
    <xf numFmtId="164" fontId="4" fillId="0" borderId="31" xfId="0" applyNumberFormat="1" applyFont="1" applyFill="1" applyBorder="1" applyAlignment="1">
      <alignment horizontal="center" vertical="top" wrapText="1"/>
    </xf>
    <xf numFmtId="164" fontId="1" fillId="0" borderId="64" xfId="0" applyNumberFormat="1" applyFont="1" applyFill="1" applyBorder="1" applyAlignment="1">
      <alignment horizontal="center" vertical="top" wrapText="1"/>
    </xf>
    <xf numFmtId="164" fontId="1" fillId="0" borderId="22" xfId="0" applyNumberFormat="1" applyFont="1" applyFill="1" applyBorder="1" applyAlignment="1">
      <alignment horizontal="center" vertical="top" wrapText="1"/>
    </xf>
    <xf numFmtId="164" fontId="1" fillId="0" borderId="3" xfId="0" applyNumberFormat="1" applyFont="1" applyFill="1" applyBorder="1" applyAlignment="1">
      <alignment horizontal="center" vertical="top" wrapText="1"/>
    </xf>
    <xf numFmtId="164" fontId="1" fillId="0" borderId="38" xfId="0" applyNumberFormat="1" applyFont="1" applyFill="1" applyBorder="1" applyAlignment="1">
      <alignment horizontal="center" vertical="top" wrapText="1"/>
    </xf>
    <xf numFmtId="164" fontId="1" fillId="0" borderId="32" xfId="0" applyNumberFormat="1" applyFont="1" applyFill="1" applyBorder="1" applyAlignment="1">
      <alignment horizontal="center" vertical="top" wrapText="1"/>
    </xf>
    <xf numFmtId="164" fontId="1" fillId="0" borderId="40" xfId="0" applyNumberFormat="1" applyFont="1" applyFill="1" applyBorder="1" applyAlignment="1">
      <alignment horizontal="center" vertical="top" wrapText="1"/>
    </xf>
    <xf numFmtId="164" fontId="1" fillId="0" borderId="0" xfId="0" applyNumberFormat="1" applyFont="1" applyFill="1" applyBorder="1" applyAlignment="1">
      <alignment horizontal="center" vertical="top" wrapText="1"/>
    </xf>
    <xf numFmtId="164" fontId="1" fillId="0" borderId="31" xfId="0" applyNumberFormat="1" applyFont="1" applyFill="1" applyBorder="1" applyAlignment="1">
      <alignment horizontal="center" vertical="top" wrapText="1"/>
    </xf>
    <xf numFmtId="164" fontId="1" fillId="4" borderId="57" xfId="0" applyNumberFormat="1" applyFont="1" applyFill="1" applyBorder="1" applyAlignment="1">
      <alignment horizontal="center" vertical="top" wrapText="1"/>
    </xf>
    <xf numFmtId="164" fontId="1" fillId="4" borderId="60" xfId="0" applyNumberFormat="1" applyFont="1" applyFill="1" applyBorder="1" applyAlignment="1">
      <alignment horizontal="center" vertical="top" wrapText="1"/>
    </xf>
    <xf numFmtId="164" fontId="1" fillId="4" borderId="38" xfId="0" applyNumberFormat="1" applyFont="1" applyFill="1" applyBorder="1" applyAlignment="1">
      <alignment horizontal="center" vertical="top" wrapText="1"/>
    </xf>
    <xf numFmtId="164" fontId="2" fillId="2" borderId="72" xfId="0" applyNumberFormat="1" applyFont="1" applyFill="1" applyBorder="1" applyAlignment="1">
      <alignment horizontal="center" vertical="top" wrapText="1"/>
    </xf>
    <xf numFmtId="164" fontId="1" fillId="0" borderId="64" xfId="0" applyNumberFormat="1" applyFont="1" applyBorder="1" applyAlignment="1">
      <alignment horizontal="center" vertical="top" wrapText="1"/>
    </xf>
    <xf numFmtId="164" fontId="1" fillId="0" borderId="22" xfId="0" applyNumberFormat="1" applyFont="1" applyBorder="1" applyAlignment="1">
      <alignment horizontal="center" vertical="top" wrapText="1"/>
    </xf>
    <xf numFmtId="164" fontId="1" fillId="0" borderId="38" xfId="0" applyNumberFormat="1" applyFont="1" applyBorder="1" applyAlignment="1">
      <alignment horizontal="center" vertical="top" wrapText="1"/>
    </xf>
    <xf numFmtId="164" fontId="2" fillId="2" borderId="68" xfId="0" applyNumberFormat="1" applyFont="1" applyFill="1" applyBorder="1" applyAlignment="1">
      <alignment horizontal="center" vertical="top" wrapText="1"/>
    </xf>
    <xf numFmtId="164" fontId="1" fillId="3" borderId="38" xfId="0" applyNumberFormat="1" applyFont="1" applyFill="1" applyBorder="1" applyAlignment="1">
      <alignment horizontal="center" vertical="top" wrapText="1"/>
    </xf>
    <xf numFmtId="164" fontId="1" fillId="3" borderId="16" xfId="0" applyNumberFormat="1" applyFont="1" applyFill="1" applyBorder="1" applyAlignment="1">
      <alignment horizontal="center" vertical="top" wrapText="1"/>
    </xf>
    <xf numFmtId="164" fontId="1" fillId="3" borderId="13" xfId="0" applyNumberFormat="1" applyFont="1" applyFill="1" applyBorder="1" applyAlignment="1">
      <alignment horizontal="center" vertical="top" wrapText="1"/>
    </xf>
    <xf numFmtId="164" fontId="1" fillId="3" borderId="24" xfId="0" applyNumberFormat="1" applyFont="1" applyFill="1" applyBorder="1" applyAlignment="1">
      <alignment horizontal="center" vertical="top" wrapText="1"/>
    </xf>
    <xf numFmtId="164" fontId="1" fillId="3" borderId="60" xfId="0" applyNumberFormat="1" applyFont="1" applyFill="1" applyBorder="1" applyAlignment="1">
      <alignment horizontal="center" vertical="top" wrapText="1"/>
    </xf>
    <xf numFmtId="164" fontId="1" fillId="3" borderId="57" xfId="0" applyNumberFormat="1" applyFont="1" applyFill="1" applyBorder="1" applyAlignment="1">
      <alignment horizontal="center" vertical="top" wrapText="1"/>
    </xf>
    <xf numFmtId="164" fontId="1" fillId="3" borderId="42" xfId="0" applyNumberFormat="1" applyFont="1" applyFill="1" applyBorder="1" applyAlignment="1">
      <alignment horizontal="center" vertical="top" wrapText="1"/>
    </xf>
    <xf numFmtId="164" fontId="1" fillId="0" borderId="78" xfId="0" applyNumberFormat="1" applyFont="1" applyFill="1" applyBorder="1" applyAlignment="1">
      <alignment horizontal="center" vertical="top" wrapText="1"/>
    </xf>
    <xf numFmtId="164" fontId="5" fillId="5" borderId="45" xfId="0" applyNumberFormat="1" applyFont="1" applyFill="1" applyBorder="1" applyAlignment="1">
      <alignment horizontal="center" vertical="top" wrapText="1"/>
    </xf>
    <xf numFmtId="164" fontId="4" fillId="4" borderId="38" xfId="0" applyNumberFormat="1" applyFont="1" applyFill="1" applyBorder="1" applyAlignment="1">
      <alignment horizontal="center" vertical="top" wrapText="1"/>
    </xf>
    <xf numFmtId="164" fontId="4" fillId="4" borderId="22" xfId="0" applyNumberFormat="1" applyFont="1" applyFill="1" applyBorder="1" applyAlignment="1">
      <alignment horizontal="center" vertical="top" wrapText="1"/>
    </xf>
    <xf numFmtId="164" fontId="4" fillId="4" borderId="3" xfId="0" applyNumberFormat="1" applyFont="1" applyFill="1" applyBorder="1" applyAlignment="1">
      <alignment horizontal="center" vertical="top" wrapText="1"/>
    </xf>
    <xf numFmtId="164" fontId="4" fillId="4" borderId="41" xfId="0" applyNumberFormat="1" applyFont="1" applyFill="1" applyBorder="1" applyAlignment="1">
      <alignment horizontal="center" vertical="top" wrapText="1"/>
    </xf>
    <xf numFmtId="164" fontId="4" fillId="4" borderId="57" xfId="0" applyNumberFormat="1" applyFont="1" applyFill="1" applyBorder="1" applyAlignment="1">
      <alignment horizontal="center" vertical="top" wrapText="1"/>
    </xf>
    <xf numFmtId="164" fontId="2" fillId="2" borderId="76" xfId="0" applyNumberFormat="1" applyFont="1" applyFill="1" applyBorder="1" applyAlignment="1">
      <alignment horizontal="center" vertical="top" wrapText="1"/>
    </xf>
    <xf numFmtId="164" fontId="2" fillId="8" borderId="21" xfId="0" applyNumberFormat="1" applyFont="1" applyFill="1" applyBorder="1" applyAlignment="1">
      <alignment horizontal="center" vertical="top" wrapText="1"/>
    </xf>
    <xf numFmtId="164" fontId="2" fillId="8" borderId="43" xfId="0" applyNumberFormat="1" applyFont="1" applyFill="1" applyBorder="1" applyAlignment="1">
      <alignment horizontal="center" vertical="top" wrapText="1"/>
    </xf>
    <xf numFmtId="164" fontId="2" fillId="8" borderId="19" xfId="0" applyNumberFormat="1" applyFont="1" applyFill="1" applyBorder="1" applyAlignment="1">
      <alignment horizontal="center" vertical="top" wrapText="1"/>
    </xf>
    <xf numFmtId="164" fontId="2" fillId="8" borderId="69" xfId="0" applyNumberFormat="1" applyFont="1" applyFill="1" applyBorder="1" applyAlignment="1">
      <alignment horizontal="center" vertical="top" wrapText="1"/>
    </xf>
    <xf numFmtId="164" fontId="2" fillId="7" borderId="21" xfId="0" applyNumberFormat="1" applyFont="1" applyFill="1" applyBorder="1" applyAlignment="1">
      <alignment horizontal="center" vertical="top" wrapText="1"/>
    </xf>
    <xf numFmtId="164" fontId="2" fillId="7" borderId="43" xfId="0" applyNumberFormat="1" applyFont="1" applyFill="1" applyBorder="1" applyAlignment="1">
      <alignment horizontal="center" vertical="top" wrapText="1"/>
    </xf>
    <xf numFmtId="164" fontId="2" fillId="7" borderId="19" xfId="0" applyNumberFormat="1" applyFont="1" applyFill="1" applyBorder="1" applyAlignment="1">
      <alignment horizontal="center" vertical="top" wrapText="1"/>
    </xf>
    <xf numFmtId="164" fontId="2" fillId="7" borderId="69" xfId="0" applyNumberFormat="1" applyFont="1" applyFill="1" applyBorder="1" applyAlignment="1">
      <alignment horizontal="center" vertical="top" wrapText="1"/>
    </xf>
    <xf numFmtId="164" fontId="4" fillId="0" borderId="36" xfId="0" applyNumberFormat="1" applyFont="1" applyFill="1" applyBorder="1" applyAlignment="1">
      <alignment horizontal="center" vertical="top" wrapText="1"/>
    </xf>
    <xf numFmtId="164" fontId="4" fillId="0" borderId="41" xfId="0" applyNumberFormat="1" applyFont="1" applyFill="1" applyBorder="1" applyAlignment="1">
      <alignment horizontal="center" vertical="top" wrapText="1"/>
    </xf>
    <xf numFmtId="164" fontId="4" fillId="0" borderId="7" xfId="0" applyNumberFormat="1" applyFont="1" applyFill="1" applyBorder="1" applyAlignment="1">
      <alignment horizontal="center" vertical="top" wrapText="1"/>
    </xf>
    <xf numFmtId="164" fontId="4" fillId="0" borderId="55" xfId="0" applyNumberFormat="1" applyFont="1" applyFill="1" applyBorder="1" applyAlignment="1">
      <alignment horizontal="center" vertical="top" wrapText="1"/>
    </xf>
    <xf numFmtId="164" fontId="5" fillId="7" borderId="1" xfId="0" applyNumberFormat="1" applyFont="1" applyFill="1" applyBorder="1" applyAlignment="1">
      <alignment horizontal="center" vertical="top" wrapText="1"/>
    </xf>
    <xf numFmtId="164" fontId="5" fillId="7" borderId="72" xfId="0" applyNumberFormat="1" applyFont="1" applyFill="1" applyBorder="1" applyAlignment="1">
      <alignment horizontal="center" vertical="top" wrapText="1"/>
    </xf>
    <xf numFmtId="164" fontId="5" fillId="5" borderId="1" xfId="0" applyNumberFormat="1" applyFont="1" applyFill="1" applyBorder="1" applyAlignment="1">
      <alignment horizontal="center" vertical="top" wrapText="1"/>
    </xf>
    <xf numFmtId="49" fontId="4" fillId="4" borderId="113" xfId="2" applyNumberFormat="1" applyFont="1" applyFill="1" applyBorder="1" applyAlignment="1">
      <alignment horizontal="center" vertical="top" wrapText="1"/>
    </xf>
    <xf numFmtId="164" fontId="4" fillId="13" borderId="0" xfId="2" applyNumberFormat="1" applyFont="1" applyFill="1" applyBorder="1" applyAlignment="1">
      <alignment horizontal="center" vertical="top"/>
    </xf>
    <xf numFmtId="3" fontId="2" fillId="4" borderId="31" xfId="0" applyNumberFormat="1" applyFont="1" applyFill="1" applyBorder="1" applyAlignment="1">
      <alignment horizontal="center" vertical="top" wrapText="1"/>
    </xf>
    <xf numFmtId="3" fontId="2" fillId="4" borderId="33" xfId="0" applyNumberFormat="1" applyFont="1" applyFill="1" applyBorder="1" applyAlignment="1">
      <alignment horizontal="center" vertical="top" wrapText="1"/>
    </xf>
    <xf numFmtId="164" fontId="4" fillId="4" borderId="19" xfId="0" applyNumberFormat="1" applyFont="1" applyFill="1" applyBorder="1" applyAlignment="1">
      <alignment horizontal="center" vertical="top"/>
    </xf>
    <xf numFmtId="164" fontId="4" fillId="4" borderId="56" xfId="0" applyNumberFormat="1" applyFont="1" applyFill="1" applyBorder="1" applyAlignment="1">
      <alignment horizontal="center" vertical="top"/>
    </xf>
    <xf numFmtId="164" fontId="4" fillId="4" borderId="69" xfId="0" applyNumberFormat="1" applyFont="1" applyFill="1" applyBorder="1" applyAlignment="1">
      <alignment horizontal="center" vertical="top"/>
    </xf>
    <xf numFmtId="3" fontId="4" fillId="4" borderId="47" xfId="0" applyNumberFormat="1" applyFont="1" applyFill="1" applyBorder="1" applyAlignment="1">
      <alignment horizontal="left" vertical="top" wrapText="1"/>
    </xf>
    <xf numFmtId="164" fontId="4" fillId="4" borderId="52" xfId="0" applyNumberFormat="1" applyFont="1" applyFill="1" applyBorder="1" applyAlignment="1">
      <alignment horizontal="center" vertical="top" wrapText="1"/>
    </xf>
    <xf numFmtId="3" fontId="1" fillId="4" borderId="35" xfId="0" applyNumberFormat="1" applyFont="1" applyFill="1" applyBorder="1" applyAlignment="1">
      <alignment horizontal="center" vertical="top"/>
    </xf>
    <xf numFmtId="3" fontId="1" fillId="4" borderId="48" xfId="0" applyNumberFormat="1" applyFont="1" applyFill="1" applyBorder="1" applyAlignment="1">
      <alignment horizontal="center" vertical="top"/>
    </xf>
    <xf numFmtId="3" fontId="5" fillId="4" borderId="59" xfId="0" applyNumberFormat="1" applyFont="1" applyFill="1" applyBorder="1" applyAlignment="1">
      <alignment vertical="top" wrapText="1"/>
    </xf>
    <xf numFmtId="164" fontId="4" fillId="4" borderId="73" xfId="0" applyNumberFormat="1" applyFont="1" applyFill="1" applyBorder="1" applyAlignment="1">
      <alignment horizontal="center" vertical="top"/>
    </xf>
    <xf numFmtId="3" fontId="2" fillId="0" borderId="64" xfId="0" applyNumberFormat="1" applyFont="1" applyFill="1" applyBorder="1" applyAlignment="1">
      <alignment horizontal="center" vertical="top" textRotation="90" wrapText="1"/>
    </xf>
    <xf numFmtId="3" fontId="2" fillId="4" borderId="32" xfId="0" applyNumberFormat="1" applyFont="1" applyFill="1" applyBorder="1" applyAlignment="1">
      <alignment horizontal="center" vertical="top" textRotation="90" wrapText="1"/>
    </xf>
    <xf numFmtId="164" fontId="4" fillId="13" borderId="146" xfId="2" applyNumberFormat="1" applyFont="1" applyFill="1" applyBorder="1" applyAlignment="1">
      <alignment horizontal="center" vertical="top"/>
    </xf>
    <xf numFmtId="49" fontId="4" fillId="3" borderId="33" xfId="0" applyNumberFormat="1" applyFont="1" applyFill="1" applyBorder="1" applyAlignment="1">
      <alignment horizontal="center" vertical="top"/>
    </xf>
    <xf numFmtId="164" fontId="4" fillId="4" borderId="33" xfId="0" applyNumberFormat="1" applyFont="1" applyFill="1" applyBorder="1" applyAlignment="1">
      <alignment horizontal="center" vertical="top"/>
    </xf>
    <xf numFmtId="164" fontId="2" fillId="4" borderId="37" xfId="0" applyNumberFormat="1" applyFont="1" applyFill="1" applyBorder="1" applyAlignment="1">
      <alignment horizontal="center" vertical="top"/>
    </xf>
    <xf numFmtId="164" fontId="2" fillId="4" borderId="53" xfId="0" applyNumberFormat="1" applyFont="1" applyFill="1" applyBorder="1" applyAlignment="1">
      <alignment vertical="top"/>
    </xf>
    <xf numFmtId="3" fontId="1" fillId="0" borderId="16" xfId="0" applyNumberFormat="1" applyFont="1" applyBorder="1" applyAlignment="1">
      <alignment horizontal="center" vertical="top"/>
    </xf>
    <xf numFmtId="164" fontId="1" fillId="4" borderId="30" xfId="0" applyNumberFormat="1" applyFont="1" applyFill="1" applyBorder="1" applyAlignment="1">
      <alignment horizontal="center" vertical="top"/>
    </xf>
    <xf numFmtId="3" fontId="1" fillId="4" borderId="29" xfId="0" applyNumberFormat="1" applyFont="1" applyFill="1" applyBorder="1" applyAlignment="1">
      <alignment horizontal="left" vertical="top" wrapText="1"/>
    </xf>
    <xf numFmtId="3" fontId="2" fillId="0" borderId="31" xfId="0" applyNumberFormat="1" applyFont="1" applyFill="1" applyBorder="1" applyAlignment="1">
      <alignment horizontal="center" vertical="top" wrapText="1"/>
    </xf>
    <xf numFmtId="3" fontId="2" fillId="4" borderId="39" xfId="0" applyNumberFormat="1" applyFont="1" applyFill="1" applyBorder="1" applyAlignment="1">
      <alignment horizontal="center" vertical="top" wrapText="1"/>
    </xf>
    <xf numFmtId="165" fontId="4" fillId="4" borderId="0" xfId="0" applyNumberFormat="1" applyFont="1" applyFill="1" applyBorder="1" applyAlignment="1">
      <alignment horizontal="center" vertical="top" wrapText="1"/>
    </xf>
    <xf numFmtId="3" fontId="2" fillId="4" borderId="0" xfId="0" applyNumberFormat="1" applyFont="1" applyFill="1" applyBorder="1" applyAlignment="1">
      <alignment horizontal="center" vertical="top" wrapText="1"/>
    </xf>
    <xf numFmtId="3" fontId="1" fillId="4" borderId="13" xfId="0" applyNumberFormat="1" applyFont="1" applyFill="1" applyBorder="1" applyAlignment="1">
      <alignment horizontal="center" vertical="top" wrapText="1"/>
    </xf>
    <xf numFmtId="3" fontId="5" fillId="4" borderId="31" xfId="0" applyNumberFormat="1" applyFont="1" applyFill="1" applyBorder="1" applyAlignment="1">
      <alignment horizontal="center" vertical="top" wrapText="1"/>
    </xf>
    <xf numFmtId="164" fontId="4" fillId="13" borderId="83" xfId="2" applyNumberFormat="1" applyFont="1" applyFill="1" applyBorder="1" applyAlignment="1">
      <alignment horizontal="center" vertical="top"/>
    </xf>
    <xf numFmtId="164" fontId="4" fillId="13" borderId="78" xfId="2" applyNumberFormat="1" applyFont="1" applyFill="1" applyBorder="1" applyAlignment="1">
      <alignment horizontal="center" vertical="top"/>
    </xf>
    <xf numFmtId="164" fontId="4" fillId="13" borderId="3" xfId="2" applyNumberFormat="1" applyFont="1" applyFill="1" applyBorder="1" applyAlignment="1">
      <alignment horizontal="center" vertical="top"/>
    </xf>
    <xf numFmtId="164" fontId="4" fillId="13" borderId="79" xfId="2" applyNumberFormat="1" applyFont="1" applyFill="1" applyBorder="1" applyAlignment="1">
      <alignment horizontal="center" vertical="top"/>
    </xf>
    <xf numFmtId="164" fontId="4" fillId="13" borderId="50" xfId="2" applyNumberFormat="1" applyFont="1" applyFill="1" applyBorder="1" applyAlignment="1">
      <alignment horizontal="center" vertical="top"/>
    </xf>
    <xf numFmtId="3" fontId="5" fillId="0" borderId="67" xfId="0" applyNumberFormat="1" applyFont="1" applyBorder="1" applyAlignment="1">
      <alignment horizontal="center" vertical="top" wrapText="1"/>
    </xf>
    <xf numFmtId="49" fontId="4" fillId="4" borderId="64" xfId="0" applyNumberFormat="1" applyFont="1" applyFill="1" applyBorder="1" applyAlignment="1">
      <alignment horizontal="center" vertical="top" wrapText="1"/>
    </xf>
    <xf numFmtId="3" fontId="2" fillId="4" borderId="3" xfId="0" applyNumberFormat="1" applyFont="1" applyFill="1" applyBorder="1" applyAlignment="1">
      <alignment horizontal="center" vertical="top" wrapText="1"/>
    </xf>
    <xf numFmtId="3" fontId="1" fillId="4" borderId="35" xfId="0" applyNumberFormat="1" applyFont="1" applyFill="1" applyBorder="1" applyAlignment="1">
      <alignment horizontal="left" vertical="top" wrapText="1"/>
    </xf>
    <xf numFmtId="49" fontId="4" fillId="16" borderId="101" xfId="2" applyNumberFormat="1" applyFont="1" applyFill="1" applyBorder="1" applyAlignment="1">
      <alignment horizontal="center" vertical="top"/>
    </xf>
    <xf numFmtId="164" fontId="4" fillId="16" borderId="27" xfId="2" applyNumberFormat="1" applyFont="1" applyFill="1" applyBorder="1" applyAlignment="1">
      <alignment horizontal="center" vertical="top" wrapText="1"/>
    </xf>
    <xf numFmtId="49" fontId="4" fillId="4" borderId="13" xfId="0" applyNumberFormat="1" applyFont="1" applyFill="1" applyBorder="1" applyAlignment="1">
      <alignment horizontal="center" vertical="top" wrapText="1"/>
    </xf>
    <xf numFmtId="3" fontId="1" fillId="4" borderId="137" xfId="0" applyNumberFormat="1" applyFont="1" applyFill="1" applyBorder="1" applyAlignment="1">
      <alignment horizontal="center" vertical="top"/>
    </xf>
    <xf numFmtId="3" fontId="1" fillId="4" borderId="138" xfId="0" applyNumberFormat="1" applyFont="1" applyFill="1" applyBorder="1" applyAlignment="1">
      <alignment horizontal="center" vertical="top"/>
    </xf>
    <xf numFmtId="3" fontId="4" fillId="4" borderId="33" xfId="0" applyNumberFormat="1" applyFont="1" applyFill="1" applyBorder="1" applyAlignment="1">
      <alignment horizontal="center" vertical="top" wrapText="1"/>
    </xf>
    <xf numFmtId="3" fontId="4" fillId="4" borderId="70" xfId="0" applyNumberFormat="1" applyFont="1" applyFill="1" applyBorder="1" applyAlignment="1">
      <alignment horizontal="center" vertical="top" wrapText="1"/>
    </xf>
    <xf numFmtId="164" fontId="1" fillId="4" borderId="142" xfId="0" applyNumberFormat="1" applyFont="1" applyFill="1" applyBorder="1" applyAlignment="1">
      <alignment vertical="top"/>
    </xf>
    <xf numFmtId="164" fontId="1" fillId="4" borderId="0" xfId="0" applyNumberFormat="1" applyFont="1" applyFill="1" applyBorder="1" applyAlignment="1">
      <alignment vertical="top"/>
    </xf>
    <xf numFmtId="3" fontId="1" fillId="4" borderId="147" xfId="0" applyNumberFormat="1" applyFont="1" applyFill="1" applyBorder="1" applyAlignment="1">
      <alignment horizontal="center" vertical="top"/>
    </xf>
    <xf numFmtId="3" fontId="1" fillId="0" borderId="21" xfId="0" applyNumberFormat="1" applyFont="1" applyFill="1" applyBorder="1" applyAlignment="1">
      <alignment horizontal="center" vertical="top" wrapText="1"/>
    </xf>
    <xf numFmtId="165" fontId="4" fillId="4" borderId="61" xfId="0" applyNumberFormat="1" applyFont="1" applyFill="1" applyBorder="1" applyAlignment="1">
      <alignment horizontal="center" vertical="top" wrapText="1"/>
    </xf>
    <xf numFmtId="165" fontId="4" fillId="4" borderId="17" xfId="0" applyNumberFormat="1" applyFont="1" applyFill="1" applyBorder="1" applyAlignment="1">
      <alignment horizontal="center" vertical="top" wrapText="1"/>
    </xf>
    <xf numFmtId="49" fontId="4" fillId="14" borderId="149" xfId="2" applyNumberFormat="1" applyFont="1" applyFill="1" applyBorder="1" applyAlignment="1">
      <alignment horizontal="center" vertical="top" wrapText="1"/>
    </xf>
    <xf numFmtId="164" fontId="4" fillId="4" borderId="150" xfId="2" applyNumberFormat="1" applyFont="1" applyFill="1" applyBorder="1" applyAlignment="1">
      <alignment horizontal="center" vertical="top"/>
    </xf>
    <xf numFmtId="164" fontId="4" fillId="14" borderId="20" xfId="2" applyNumberFormat="1" applyFont="1" applyFill="1" applyBorder="1" applyAlignment="1">
      <alignment horizontal="center" vertical="top"/>
    </xf>
    <xf numFmtId="164" fontId="4" fillId="14" borderId="75" xfId="2" applyNumberFormat="1" applyFont="1" applyFill="1" applyBorder="1" applyAlignment="1">
      <alignment horizontal="center" vertical="top"/>
    </xf>
    <xf numFmtId="164" fontId="4" fillId="14" borderId="43" xfId="2" applyNumberFormat="1" applyFont="1" applyFill="1" applyBorder="1" applyAlignment="1">
      <alignment horizontal="center" vertical="top"/>
    </xf>
    <xf numFmtId="3" fontId="4" fillId="4" borderId="26" xfId="0" applyNumberFormat="1" applyFont="1" applyFill="1" applyBorder="1" applyAlignment="1">
      <alignment horizontal="center" vertical="top" wrapText="1"/>
    </xf>
    <xf numFmtId="49" fontId="1" fillId="4" borderId="59" xfId="0" applyNumberFormat="1" applyFont="1" applyFill="1" applyBorder="1" applyAlignment="1">
      <alignment horizontal="center" vertical="top" wrapText="1"/>
    </xf>
    <xf numFmtId="49" fontId="1" fillId="4" borderId="28" xfId="0" applyNumberFormat="1" applyFont="1" applyFill="1" applyBorder="1" applyAlignment="1">
      <alignment horizontal="center" vertical="top" wrapText="1"/>
    </xf>
    <xf numFmtId="164" fontId="1" fillId="4" borderId="66" xfId="0" applyNumberFormat="1" applyFont="1" applyFill="1" applyBorder="1" applyAlignment="1">
      <alignment horizontal="center" vertical="top"/>
    </xf>
    <xf numFmtId="164" fontId="1" fillId="4" borderId="33" xfId="0" applyNumberFormat="1" applyFont="1" applyFill="1" applyBorder="1" applyAlignment="1">
      <alignment horizontal="center" vertical="top"/>
    </xf>
    <xf numFmtId="0" fontId="1" fillId="0" borderId="61" xfId="0" applyFont="1" applyFill="1" applyBorder="1" applyAlignment="1">
      <alignment horizontal="center" vertical="top" wrapText="1"/>
    </xf>
    <xf numFmtId="164" fontId="1" fillId="4" borderId="61" xfId="0" applyNumberFormat="1" applyFont="1" applyFill="1" applyBorder="1" applyAlignment="1">
      <alignment horizontal="center" vertical="top"/>
    </xf>
    <xf numFmtId="164" fontId="1" fillId="3" borderId="52" xfId="0" applyNumberFormat="1" applyFont="1" applyFill="1" applyBorder="1" applyAlignment="1">
      <alignment horizontal="center" vertical="top"/>
    </xf>
    <xf numFmtId="3" fontId="1" fillId="4" borderId="40" xfId="0" applyNumberFormat="1" applyFont="1" applyFill="1" applyBorder="1" applyAlignment="1">
      <alignment horizontal="center" vertical="top" wrapText="1"/>
    </xf>
    <xf numFmtId="164" fontId="4" fillId="13" borderId="77" xfId="2" applyNumberFormat="1" applyFont="1" applyFill="1" applyBorder="1" applyAlignment="1">
      <alignment horizontal="center" vertical="top"/>
    </xf>
    <xf numFmtId="164" fontId="4" fillId="13" borderId="26" xfId="2" applyNumberFormat="1" applyFont="1" applyFill="1" applyBorder="1" applyAlignment="1">
      <alignment horizontal="center" vertical="top"/>
    </xf>
    <xf numFmtId="164" fontId="2" fillId="4" borderId="51" xfId="0" applyNumberFormat="1" applyFont="1" applyFill="1" applyBorder="1" applyAlignment="1">
      <alignment vertical="top"/>
    </xf>
    <xf numFmtId="49" fontId="4" fillId="17" borderId="90" xfId="2" applyNumberFormat="1" applyFont="1" applyFill="1" applyBorder="1" applyAlignment="1">
      <alignment horizontal="center" vertical="top"/>
    </xf>
    <xf numFmtId="49" fontId="4" fillId="16" borderId="90" xfId="2" applyNumberFormat="1" applyFont="1" applyFill="1" applyBorder="1" applyAlignment="1">
      <alignment horizontal="center" vertical="top"/>
    </xf>
    <xf numFmtId="49" fontId="4" fillId="0" borderId="99" xfId="2" applyNumberFormat="1" applyFont="1" applyFill="1" applyBorder="1" applyAlignment="1">
      <alignment horizontal="center" vertical="top"/>
    </xf>
    <xf numFmtId="49" fontId="4" fillId="0" borderId="90" xfId="2" applyNumberFormat="1" applyFont="1" applyFill="1" applyBorder="1" applyAlignment="1">
      <alignment horizontal="center" vertical="top"/>
    </xf>
    <xf numFmtId="3" fontId="4" fillId="4" borderId="31" xfId="0" applyNumberFormat="1" applyFont="1" applyFill="1" applyBorder="1" applyAlignment="1">
      <alignment horizontal="center" vertical="top" wrapText="1"/>
    </xf>
    <xf numFmtId="3" fontId="4" fillId="4" borderId="18" xfId="0" quotePrefix="1" applyNumberFormat="1" applyFont="1" applyFill="1" applyBorder="1" applyAlignment="1">
      <alignment horizontal="center" vertical="top" wrapText="1"/>
    </xf>
    <xf numFmtId="3" fontId="4" fillId="4" borderId="32" xfId="0" applyNumberFormat="1" applyFont="1" applyFill="1" applyBorder="1" applyAlignment="1">
      <alignment vertical="top" wrapText="1"/>
    </xf>
    <xf numFmtId="3" fontId="5" fillId="4" borderId="68" xfId="0" applyNumberFormat="1" applyFont="1" applyFill="1" applyBorder="1" applyAlignment="1">
      <alignment vertical="top" wrapText="1"/>
    </xf>
    <xf numFmtId="3" fontId="5" fillId="4" borderId="33" xfId="0" applyNumberFormat="1" applyFont="1" applyFill="1" applyBorder="1" applyAlignment="1">
      <alignment horizontal="center" vertical="top" wrapText="1"/>
    </xf>
    <xf numFmtId="3" fontId="4" fillId="4" borderId="6" xfId="0" applyNumberFormat="1" applyFont="1" applyFill="1" applyBorder="1" applyAlignment="1">
      <alignment vertical="top" wrapText="1"/>
    </xf>
    <xf numFmtId="164" fontId="4" fillId="4" borderId="36" xfId="0" applyNumberFormat="1" applyFont="1" applyFill="1" applyBorder="1" applyAlignment="1">
      <alignment horizontal="center" vertical="top" wrapText="1"/>
    </xf>
    <xf numFmtId="3" fontId="4" fillId="0" borderId="26" xfId="0" applyNumberFormat="1" applyFont="1" applyFill="1" applyBorder="1" applyAlignment="1">
      <alignment horizontal="center" vertical="top"/>
    </xf>
    <xf numFmtId="3" fontId="1" fillId="4" borderId="37" xfId="0" applyNumberFormat="1" applyFont="1" applyFill="1" applyBorder="1" applyAlignment="1">
      <alignment horizontal="left" vertical="top" wrapText="1"/>
    </xf>
    <xf numFmtId="167" fontId="4" fillId="10" borderId="116" xfId="2" applyNumberFormat="1" applyFont="1" applyFill="1" applyBorder="1" applyAlignment="1">
      <alignment horizontal="center" vertical="top" wrapText="1"/>
    </xf>
    <xf numFmtId="167" fontId="4" fillId="10" borderId="16" xfId="2" applyNumberFormat="1" applyFont="1" applyFill="1" applyBorder="1" applyAlignment="1">
      <alignment horizontal="center" vertical="top" wrapText="1"/>
    </xf>
    <xf numFmtId="167" fontId="4" fillId="10" borderId="117" xfId="2" applyNumberFormat="1" applyFont="1" applyFill="1" applyBorder="1" applyAlignment="1">
      <alignment horizontal="center" vertical="top" wrapText="1"/>
    </xf>
    <xf numFmtId="167" fontId="4" fillId="10" borderId="96" xfId="2" applyNumberFormat="1" applyFont="1" applyFill="1" applyBorder="1" applyAlignment="1">
      <alignment horizontal="center" vertical="top" wrapText="1"/>
    </xf>
    <xf numFmtId="167" fontId="4" fillId="10" borderId="62" xfId="2" applyNumberFormat="1" applyFont="1" applyFill="1" applyBorder="1" applyAlignment="1">
      <alignment horizontal="center" vertical="top" wrapText="1"/>
    </xf>
    <xf numFmtId="167" fontId="4" fillId="10" borderId="108" xfId="2" applyNumberFormat="1" applyFont="1" applyFill="1" applyBorder="1" applyAlignment="1">
      <alignment horizontal="center" vertical="top" wrapText="1"/>
    </xf>
    <xf numFmtId="167" fontId="4" fillId="10" borderId="91" xfId="2" applyNumberFormat="1" applyFont="1" applyFill="1" applyBorder="1" applyAlignment="1">
      <alignment horizontal="center" vertical="top" wrapText="1"/>
    </xf>
    <xf numFmtId="167" fontId="4" fillId="10" borderId="17" xfId="2" applyNumberFormat="1" applyFont="1" applyFill="1" applyBorder="1" applyAlignment="1">
      <alignment horizontal="center" vertical="top" wrapText="1"/>
    </xf>
    <xf numFmtId="167" fontId="4" fillId="10" borderId="89" xfId="2" applyNumberFormat="1" applyFont="1" applyFill="1" applyBorder="1" applyAlignment="1">
      <alignment horizontal="center" vertical="top" wrapText="1"/>
    </xf>
    <xf numFmtId="167" fontId="4" fillId="10" borderId="91" xfId="2" applyNumberFormat="1" applyFont="1" applyFill="1" applyBorder="1" applyAlignment="1">
      <alignment horizontal="center" vertical="top"/>
    </xf>
    <xf numFmtId="167" fontId="4" fillId="10" borderId="113" xfId="2" applyNumberFormat="1" applyFont="1" applyFill="1" applyBorder="1" applyAlignment="1">
      <alignment horizontal="center" vertical="top"/>
    </xf>
    <xf numFmtId="167" fontId="4" fillId="10" borderId="89" xfId="2" applyNumberFormat="1" applyFont="1" applyFill="1" applyBorder="1" applyAlignment="1">
      <alignment horizontal="center" vertical="top"/>
    </xf>
    <xf numFmtId="164" fontId="4" fillId="4" borderId="7" xfId="2" applyNumberFormat="1" applyFont="1" applyFill="1" applyBorder="1" applyAlignment="1">
      <alignment horizontal="center"/>
    </xf>
    <xf numFmtId="167" fontId="4" fillId="10" borderId="94" xfId="2" applyNumberFormat="1" applyFont="1" applyFill="1" applyBorder="1" applyAlignment="1">
      <alignment horizontal="center" vertical="top"/>
    </xf>
    <xf numFmtId="167" fontId="4" fillId="10" borderId="105" xfId="2" applyNumberFormat="1" applyFont="1" applyFill="1" applyBorder="1" applyAlignment="1">
      <alignment horizontal="center" vertical="top"/>
    </xf>
    <xf numFmtId="167" fontId="4" fillId="10" borderId="92" xfId="2" applyNumberFormat="1" applyFont="1" applyFill="1" applyBorder="1" applyAlignment="1">
      <alignment horizontal="center" vertical="top"/>
    </xf>
    <xf numFmtId="164" fontId="4" fillId="4" borderId="93" xfId="2" applyNumberFormat="1" applyFont="1" applyFill="1" applyBorder="1" applyAlignment="1">
      <alignment horizontal="center"/>
    </xf>
    <xf numFmtId="166" fontId="4" fillId="10" borderId="120" xfId="2" applyFont="1" applyFill="1" applyBorder="1" applyAlignment="1">
      <alignment vertical="center" wrapText="1"/>
    </xf>
    <xf numFmtId="167" fontId="4" fillId="10" borderId="145" xfId="2" applyNumberFormat="1" applyFont="1" applyFill="1" applyBorder="1" applyAlignment="1">
      <alignment horizontal="center" vertical="top" wrapText="1"/>
    </xf>
    <xf numFmtId="167" fontId="4" fillId="10" borderId="16" xfId="2" applyNumberFormat="1" applyFont="1" applyFill="1" applyBorder="1" applyAlignment="1">
      <alignment horizontal="center" vertical="top"/>
    </xf>
    <xf numFmtId="167" fontId="4" fillId="10" borderId="117" xfId="2" applyNumberFormat="1" applyFont="1" applyFill="1" applyBorder="1" applyAlignment="1">
      <alignment horizontal="center" vertical="top"/>
    </xf>
    <xf numFmtId="164" fontId="4" fillId="4" borderId="121" xfId="2" applyNumberFormat="1" applyFont="1" applyFill="1" applyBorder="1" applyAlignment="1">
      <alignment horizontal="center"/>
    </xf>
    <xf numFmtId="168" fontId="4" fillId="10" borderId="126" xfId="2" applyNumberFormat="1" applyFont="1" applyFill="1" applyBorder="1" applyAlignment="1">
      <alignment vertical="top" wrapText="1"/>
    </xf>
    <xf numFmtId="166" fontId="16" fillId="10" borderId="84" xfId="2" applyFont="1" applyFill="1" applyBorder="1" applyAlignment="1">
      <alignment horizontal="center" vertical="top"/>
    </xf>
    <xf numFmtId="167" fontId="4" fillId="10" borderId="126" xfId="2" applyNumberFormat="1" applyFont="1" applyFill="1" applyBorder="1" applyAlignment="1">
      <alignment horizontal="center" vertical="top"/>
    </xf>
    <xf numFmtId="167" fontId="4" fillId="10" borderId="86" xfId="2" applyNumberFormat="1" applyFont="1" applyFill="1" applyBorder="1" applyAlignment="1">
      <alignment horizontal="center" vertical="top"/>
    </xf>
    <xf numFmtId="3" fontId="4" fillId="4" borderId="127" xfId="2" applyNumberFormat="1" applyFont="1" applyFill="1" applyBorder="1" applyAlignment="1">
      <alignment horizontal="center" vertical="top"/>
    </xf>
    <xf numFmtId="164" fontId="4" fillId="4" borderId="149" xfId="2" applyNumberFormat="1" applyFont="1" applyFill="1" applyBorder="1" applyAlignment="1"/>
    <xf numFmtId="164" fontId="4" fillId="4" borderId="151" xfId="2" applyNumberFormat="1" applyFont="1" applyFill="1" applyBorder="1" applyAlignment="1"/>
    <xf numFmtId="164" fontId="4" fillId="4" borderId="149" xfId="2" applyNumberFormat="1" applyFont="1" applyFill="1" applyBorder="1" applyAlignment="1">
      <alignment horizontal="center"/>
    </xf>
    <xf numFmtId="164" fontId="4" fillId="4" borderId="152" xfId="2" applyNumberFormat="1" applyFont="1" applyFill="1" applyBorder="1" applyAlignment="1">
      <alignment horizontal="center"/>
    </xf>
    <xf numFmtId="164" fontId="4" fillId="4" borderId="151" xfId="2" applyNumberFormat="1" applyFont="1" applyFill="1" applyBorder="1" applyAlignment="1">
      <alignment horizontal="center"/>
    </xf>
    <xf numFmtId="168" fontId="4" fillId="10" borderId="109" xfId="2" applyNumberFormat="1" applyFont="1" applyFill="1" applyBorder="1" applyAlignment="1">
      <alignment vertical="top" wrapText="1"/>
    </xf>
    <xf numFmtId="166" fontId="4" fillId="10" borderId="94" xfId="2" applyFont="1" applyFill="1" applyBorder="1" applyAlignment="1">
      <alignment horizontal="center" vertical="top"/>
    </xf>
    <xf numFmtId="167" fontId="4" fillId="10" borderId="109" xfId="2" applyNumberFormat="1" applyFont="1" applyFill="1" applyBorder="1" applyAlignment="1">
      <alignment horizontal="center" vertical="top"/>
    </xf>
    <xf numFmtId="167" fontId="4" fillId="10" borderId="81" xfId="2" applyNumberFormat="1" applyFont="1" applyFill="1" applyBorder="1" applyAlignment="1">
      <alignment vertical="top" wrapText="1"/>
    </xf>
    <xf numFmtId="167" fontId="4" fillId="10" borderId="82" xfId="2" applyNumberFormat="1" applyFont="1" applyFill="1" applyBorder="1" applyAlignment="1">
      <alignment horizontal="center" vertical="top" wrapText="1"/>
    </xf>
    <xf numFmtId="167" fontId="4" fillId="10" borderId="81" xfId="2" applyNumberFormat="1" applyFont="1" applyFill="1" applyBorder="1" applyAlignment="1">
      <alignment horizontal="center" vertical="top" wrapText="1"/>
    </xf>
    <xf numFmtId="167" fontId="4" fillId="10" borderId="88" xfId="2" applyNumberFormat="1" applyFont="1" applyFill="1" applyBorder="1" applyAlignment="1">
      <alignment horizontal="center" vertical="top" wrapText="1"/>
    </xf>
    <xf numFmtId="164" fontId="4" fillId="4" borderId="85" xfId="2" applyNumberFormat="1" applyFont="1" applyFill="1" applyBorder="1" applyAlignment="1">
      <alignment horizontal="center"/>
    </xf>
    <xf numFmtId="167" fontId="4" fillId="10" borderId="110" xfId="2" applyNumberFormat="1" applyFont="1" applyFill="1" applyBorder="1" applyAlignment="1">
      <alignment vertical="top" wrapText="1"/>
    </xf>
    <xf numFmtId="167" fontId="4" fillId="10" borderId="84" xfId="2" applyNumberFormat="1" applyFont="1" applyFill="1" applyBorder="1" applyAlignment="1">
      <alignment horizontal="center" vertical="top" wrapText="1"/>
    </xf>
    <xf numFmtId="167" fontId="4" fillId="10" borderId="126" xfId="2" applyNumberFormat="1" applyFont="1" applyFill="1" applyBorder="1" applyAlignment="1">
      <alignment horizontal="center" vertical="top" wrapText="1"/>
    </xf>
    <xf numFmtId="167" fontId="4" fillId="10" borderId="86" xfId="2" applyNumberFormat="1" applyFont="1" applyFill="1" applyBorder="1" applyAlignment="1">
      <alignment horizontal="center" vertical="top" wrapText="1"/>
    </xf>
    <xf numFmtId="164" fontId="4" fillId="10" borderId="116" xfId="2" applyNumberFormat="1" applyFont="1" applyFill="1" applyBorder="1" applyAlignment="1"/>
    <xf numFmtId="167" fontId="4" fillId="10" borderId="114" xfId="2" applyNumberFormat="1" applyFont="1" applyFill="1" applyBorder="1" applyAlignment="1">
      <alignment horizontal="center" vertical="top" wrapText="1"/>
    </xf>
    <xf numFmtId="164" fontId="4" fillId="10" borderId="91" xfId="2" applyNumberFormat="1" applyFont="1" applyFill="1" applyBorder="1" applyAlignment="1"/>
    <xf numFmtId="167" fontId="4" fillId="10" borderId="113" xfId="2" applyNumberFormat="1" applyFont="1" applyFill="1" applyBorder="1" applyAlignment="1">
      <alignment horizontal="center" vertical="top" wrapText="1"/>
    </xf>
    <xf numFmtId="164" fontId="4" fillId="10" borderId="111" xfId="2" applyNumberFormat="1" applyFont="1" applyFill="1" applyBorder="1" applyAlignment="1">
      <alignment wrapText="1"/>
    </xf>
    <xf numFmtId="164" fontId="4" fillId="10" borderId="107" xfId="2" applyNumberFormat="1" applyFont="1" applyFill="1" applyBorder="1" applyAlignment="1"/>
    <xf numFmtId="167" fontId="4" fillId="10" borderId="111" xfId="2" applyNumberFormat="1" applyFont="1" applyFill="1" applyBorder="1" applyAlignment="1">
      <alignment horizontal="center" vertical="top" wrapText="1"/>
    </xf>
    <xf numFmtId="167" fontId="4" fillId="10" borderId="106" xfId="2" applyNumberFormat="1" applyFont="1" applyFill="1" applyBorder="1" applyAlignment="1">
      <alignment horizontal="center" vertical="top" wrapText="1"/>
    </xf>
    <xf numFmtId="167" fontId="4" fillId="10" borderId="107" xfId="2" applyNumberFormat="1" applyFont="1" applyFill="1" applyBorder="1" applyAlignment="1">
      <alignment horizontal="center" vertical="top" wrapText="1"/>
    </xf>
    <xf numFmtId="164" fontId="4" fillId="4" borderId="37" xfId="0" applyNumberFormat="1" applyFont="1" applyFill="1" applyBorder="1" applyAlignment="1">
      <alignment horizontal="center" vertical="top" wrapText="1"/>
    </xf>
    <xf numFmtId="164" fontId="4" fillId="4" borderId="27" xfId="0" applyNumberFormat="1" applyFont="1" applyFill="1" applyBorder="1" applyAlignment="1">
      <alignment horizontal="center" vertical="top" wrapText="1"/>
    </xf>
    <xf numFmtId="164" fontId="1" fillId="0" borderId="36" xfId="0" applyNumberFormat="1" applyFont="1" applyBorder="1" applyAlignment="1">
      <alignment vertical="top" wrapText="1"/>
    </xf>
    <xf numFmtId="49" fontId="1" fillId="4" borderId="17" xfId="0" applyNumberFormat="1" applyFont="1" applyFill="1" applyBorder="1" applyAlignment="1">
      <alignment horizontal="center" vertical="top" wrapText="1"/>
    </xf>
    <xf numFmtId="49" fontId="1" fillId="4" borderId="18" xfId="0" applyNumberFormat="1" applyFont="1" applyFill="1" applyBorder="1" applyAlignment="1">
      <alignment horizontal="center" vertical="top" wrapText="1"/>
    </xf>
    <xf numFmtId="49" fontId="1" fillId="4" borderId="7" xfId="0" applyNumberFormat="1" applyFont="1" applyFill="1" applyBorder="1" applyAlignment="1">
      <alignment horizontal="center" vertical="top" wrapText="1"/>
    </xf>
    <xf numFmtId="3" fontId="1" fillId="4" borderId="5" xfId="0" applyNumberFormat="1" applyFont="1" applyFill="1" applyBorder="1" applyAlignment="1">
      <alignment horizontal="center" vertical="top" wrapText="1"/>
    </xf>
    <xf numFmtId="167" fontId="4" fillId="12" borderId="62" xfId="2" applyNumberFormat="1" applyFont="1" applyFill="1" applyBorder="1" applyAlignment="1">
      <alignment horizontal="center" vertical="top"/>
    </xf>
    <xf numFmtId="167" fontId="4" fillId="12" borderId="108" xfId="2" applyNumberFormat="1" applyFont="1" applyFill="1" applyBorder="1" applyAlignment="1">
      <alignment horizontal="center" vertical="top"/>
    </xf>
    <xf numFmtId="167" fontId="4" fillId="12" borderId="0" xfId="2" applyNumberFormat="1" applyFont="1" applyFill="1" applyBorder="1" applyAlignment="1">
      <alignment horizontal="left" vertical="top" wrapText="1"/>
    </xf>
    <xf numFmtId="167" fontId="4" fillId="12" borderId="104" xfId="2" applyNumberFormat="1" applyFont="1" applyFill="1" applyBorder="1" applyAlignment="1">
      <alignment horizontal="center" vertical="top"/>
    </xf>
    <xf numFmtId="167" fontId="4" fillId="12" borderId="17" xfId="2" applyNumberFormat="1" applyFont="1" applyFill="1" applyBorder="1" applyAlignment="1">
      <alignment horizontal="center" vertical="top"/>
    </xf>
    <xf numFmtId="167" fontId="4" fillId="12" borderId="89" xfId="2" applyNumberFormat="1" applyFont="1" applyFill="1" applyBorder="1" applyAlignment="1">
      <alignment horizontal="center" vertical="top"/>
    </xf>
    <xf numFmtId="164" fontId="4" fillId="4" borderId="131" xfId="2" applyNumberFormat="1" applyFont="1" applyFill="1" applyBorder="1" applyAlignment="1"/>
    <xf numFmtId="164" fontId="4" fillId="4" borderId="132" xfId="2" applyNumberFormat="1" applyFont="1" applyFill="1" applyBorder="1" applyAlignment="1"/>
    <xf numFmtId="164" fontId="4" fillId="4" borderId="95" xfId="2" applyNumberFormat="1" applyFont="1" applyFill="1" applyBorder="1" applyAlignment="1"/>
    <xf numFmtId="164" fontId="4" fillId="4" borderId="108" xfId="2" applyNumberFormat="1" applyFont="1" applyFill="1" applyBorder="1" applyAlignment="1"/>
    <xf numFmtId="167" fontId="4" fillId="10" borderId="0" xfId="2" applyNumberFormat="1" applyFont="1" applyFill="1" applyBorder="1" applyAlignment="1">
      <alignment vertical="top" wrapText="1"/>
    </xf>
    <xf numFmtId="167" fontId="4" fillId="10" borderId="104" xfId="2" applyNumberFormat="1" applyFont="1" applyFill="1" applyBorder="1" applyAlignment="1">
      <alignment horizontal="center" vertical="top"/>
    </xf>
    <xf numFmtId="167" fontId="4" fillId="10" borderId="34" xfId="2" applyNumberFormat="1" applyFont="1" applyFill="1" applyBorder="1" applyAlignment="1">
      <alignment horizontal="left" vertical="top" wrapText="1"/>
    </xf>
    <xf numFmtId="167" fontId="4" fillId="10" borderId="129" xfId="2" applyNumberFormat="1" applyFont="1" applyFill="1" applyBorder="1" applyAlignment="1">
      <alignment horizontal="center" vertical="top"/>
    </xf>
    <xf numFmtId="167" fontId="4" fillId="10" borderId="65" xfId="2" applyNumberFormat="1" applyFont="1" applyFill="1" applyBorder="1" applyAlignment="1">
      <alignment horizontal="center" vertical="top"/>
    </xf>
    <xf numFmtId="167" fontId="4" fillId="10" borderId="130" xfId="2" applyNumberFormat="1" applyFont="1" applyFill="1" applyBorder="1" applyAlignment="1">
      <alignment horizontal="center" vertical="top"/>
    </xf>
    <xf numFmtId="164" fontId="4" fillId="4" borderId="26" xfId="2" applyNumberFormat="1" applyFont="1" applyFill="1" applyBorder="1" applyAlignment="1"/>
    <xf numFmtId="167" fontId="4" fillId="10" borderId="125" xfId="2" applyNumberFormat="1" applyFont="1" applyFill="1" applyBorder="1" applyAlignment="1">
      <alignment horizontal="left" vertical="top" wrapText="1"/>
    </xf>
    <xf numFmtId="167" fontId="4" fillId="10" borderId="124" xfId="2" applyNumberFormat="1" applyFont="1" applyFill="1" applyBorder="1" applyAlignment="1">
      <alignment horizontal="center" vertical="top"/>
    </xf>
    <xf numFmtId="3" fontId="4" fillId="12" borderId="93" xfId="2" applyNumberFormat="1" applyFont="1" applyFill="1" applyBorder="1" applyAlignment="1">
      <alignment horizontal="center" vertical="top"/>
    </xf>
    <xf numFmtId="167" fontId="4" fillId="10" borderId="83" xfId="2" applyNumberFormat="1" applyFont="1" applyFill="1" applyBorder="1" applyAlignment="1">
      <alignment horizontal="center" vertical="top"/>
    </xf>
    <xf numFmtId="167" fontId="4" fillId="10" borderId="110" xfId="2" applyNumberFormat="1" applyFont="1" applyFill="1" applyBorder="1" applyAlignment="1">
      <alignment horizontal="center" vertical="top"/>
    </xf>
    <xf numFmtId="164" fontId="4" fillId="4" borderId="127" xfId="2" applyNumberFormat="1" applyFont="1" applyFill="1" applyBorder="1" applyAlignment="1"/>
    <xf numFmtId="167" fontId="4" fillId="10" borderId="17" xfId="2" applyNumberFormat="1" applyFont="1" applyFill="1" applyBorder="1" applyAlignment="1">
      <alignment horizontal="center" vertical="top"/>
    </xf>
    <xf numFmtId="164" fontId="4" fillId="4" borderId="7" xfId="2" applyNumberFormat="1" applyFont="1" applyFill="1" applyBorder="1" applyAlignment="1"/>
    <xf numFmtId="49" fontId="4" fillId="0" borderId="99" xfId="2" applyNumberFormat="1" applyFont="1" applyFill="1" applyBorder="1" applyAlignment="1">
      <alignment horizontal="center" vertical="top" wrapText="1"/>
    </xf>
    <xf numFmtId="167" fontId="4" fillId="10" borderId="122" xfId="2" applyNumberFormat="1" applyFont="1" applyFill="1" applyBorder="1" applyAlignment="1">
      <alignment vertical="top" wrapText="1"/>
    </xf>
    <xf numFmtId="167" fontId="4" fillId="10" borderId="83" xfId="2" applyNumberFormat="1" applyFont="1" applyFill="1" applyBorder="1" applyAlignment="1">
      <alignment horizontal="center" vertical="top" wrapText="1"/>
    </xf>
    <xf numFmtId="49" fontId="4" fillId="0" borderId="90" xfId="2" applyNumberFormat="1" applyFont="1" applyFill="1" applyBorder="1" applyAlignment="1">
      <alignment horizontal="center" vertical="top" wrapText="1"/>
    </xf>
    <xf numFmtId="167" fontId="4" fillId="10" borderId="134" xfId="2" applyNumberFormat="1" applyFont="1" applyFill="1" applyBorder="1" applyAlignment="1">
      <alignment vertical="top" wrapText="1"/>
    </xf>
    <xf numFmtId="167" fontId="4" fillId="10" borderId="123" xfId="2" applyNumberFormat="1" applyFont="1" applyFill="1" applyBorder="1" applyAlignment="1">
      <alignment horizontal="center" vertical="top"/>
    </xf>
    <xf numFmtId="167" fontId="4" fillId="10" borderId="81" xfId="2" applyNumberFormat="1" applyFont="1" applyFill="1" applyBorder="1" applyAlignment="1">
      <alignment horizontal="center" vertical="top"/>
    </xf>
    <xf numFmtId="164" fontId="4" fillId="4" borderId="85" xfId="2" applyNumberFormat="1" applyFont="1" applyFill="1" applyBorder="1" applyAlignment="1"/>
    <xf numFmtId="3" fontId="4" fillId="12" borderId="127" xfId="2" applyNumberFormat="1" applyFont="1" applyFill="1" applyBorder="1" applyAlignment="1">
      <alignment horizontal="center" vertical="top"/>
    </xf>
    <xf numFmtId="167" fontId="4" fillId="10" borderId="31" xfId="2" applyNumberFormat="1" applyFont="1" applyFill="1" applyBorder="1" applyAlignment="1">
      <alignment horizontal="center" vertical="top"/>
    </xf>
    <xf numFmtId="167" fontId="4" fillId="10" borderId="18" xfId="2" applyNumberFormat="1" applyFont="1" applyFill="1" applyBorder="1" applyAlignment="1">
      <alignment horizontal="center" vertical="top" wrapText="1"/>
    </xf>
    <xf numFmtId="3" fontId="4" fillId="12" borderId="7" xfId="2" applyNumberFormat="1" applyFont="1" applyFill="1" applyBorder="1" applyAlignment="1">
      <alignment horizontal="center" vertical="top"/>
    </xf>
    <xf numFmtId="3" fontId="1" fillId="0" borderId="7" xfId="0" applyNumberFormat="1" applyFont="1" applyFill="1" applyBorder="1" applyAlignment="1">
      <alignment horizontal="center" vertical="top"/>
    </xf>
    <xf numFmtId="164" fontId="1" fillId="4" borderId="4" xfId="0" applyNumberFormat="1" applyFont="1" applyFill="1" applyBorder="1" applyAlignment="1">
      <alignment horizontal="center" vertical="top"/>
    </xf>
    <xf numFmtId="164" fontId="4" fillId="4" borderId="50" xfId="0" applyNumberFormat="1" applyFont="1" applyFill="1" applyBorder="1" applyAlignment="1">
      <alignment horizontal="center" vertical="top"/>
    </xf>
    <xf numFmtId="164" fontId="10" fillId="4" borderId="62" xfId="0" applyNumberFormat="1" applyFont="1" applyFill="1" applyBorder="1" applyAlignment="1">
      <alignment horizontal="center" vertical="top" wrapText="1"/>
    </xf>
    <xf numFmtId="3" fontId="1" fillId="0" borderId="36" xfId="0" applyNumberFormat="1" applyFont="1" applyFill="1" applyBorder="1" applyAlignment="1">
      <alignment horizontal="center" vertical="top" wrapText="1"/>
    </xf>
    <xf numFmtId="164" fontId="4" fillId="4" borderId="41" xfId="0" applyNumberFormat="1" applyFont="1" applyFill="1" applyBorder="1" applyAlignment="1">
      <alignment horizontal="center" vertical="top"/>
    </xf>
    <xf numFmtId="164" fontId="1" fillId="4" borderId="64" xfId="0" applyNumberFormat="1" applyFont="1" applyFill="1" applyBorder="1" applyAlignment="1">
      <alignment horizontal="center" vertical="top"/>
    </xf>
    <xf numFmtId="3" fontId="4" fillId="0" borderId="43" xfId="0" applyNumberFormat="1" applyFont="1" applyBorder="1" applyAlignment="1">
      <alignment horizontal="right" wrapText="1"/>
    </xf>
    <xf numFmtId="3" fontId="5" fillId="0" borderId="70" xfId="0" applyNumberFormat="1" applyFont="1" applyFill="1" applyBorder="1" applyAlignment="1">
      <alignment horizontal="center" vertical="top" wrapText="1"/>
    </xf>
    <xf numFmtId="3" fontId="4" fillId="4" borderId="62" xfId="0" applyNumberFormat="1" applyFont="1" applyFill="1" applyBorder="1" applyAlignment="1">
      <alignment horizontal="left" vertical="top" wrapText="1"/>
    </xf>
    <xf numFmtId="3" fontId="4" fillId="4" borderId="65" xfId="0" applyNumberFormat="1" applyFont="1" applyFill="1" applyBorder="1" applyAlignment="1">
      <alignment horizontal="left" vertical="top" wrapText="1"/>
    </xf>
    <xf numFmtId="3" fontId="4" fillId="4" borderId="74" xfId="0" applyNumberFormat="1" applyFont="1" applyFill="1" applyBorder="1" applyAlignment="1">
      <alignment horizontal="left" vertical="top" wrapText="1"/>
    </xf>
    <xf numFmtId="3" fontId="5" fillId="0" borderId="67" xfId="0" applyNumberFormat="1" applyFont="1" applyFill="1" applyBorder="1" applyAlignment="1">
      <alignment horizontal="center" vertical="top" textRotation="180" wrapText="1"/>
    </xf>
    <xf numFmtId="3" fontId="4" fillId="4" borderId="59" xfId="0" applyNumberFormat="1" applyFont="1" applyFill="1" applyBorder="1" applyAlignment="1">
      <alignment horizontal="left" vertical="top" wrapText="1"/>
    </xf>
    <xf numFmtId="3" fontId="4" fillId="4" borderId="42" xfId="0" applyNumberFormat="1" applyFont="1" applyFill="1" applyBorder="1" applyAlignment="1">
      <alignment horizontal="left" vertical="top" wrapText="1"/>
    </xf>
    <xf numFmtId="3" fontId="5" fillId="0" borderId="67" xfId="0" applyNumberFormat="1" applyFont="1" applyFill="1" applyBorder="1" applyAlignment="1">
      <alignment horizontal="center" vertical="top" textRotation="90" wrapText="1"/>
    </xf>
    <xf numFmtId="3" fontId="4" fillId="4" borderId="0" xfId="0" applyNumberFormat="1" applyFont="1" applyFill="1" applyBorder="1" applyAlignment="1">
      <alignment horizontal="center" vertical="top" wrapText="1"/>
    </xf>
    <xf numFmtId="3" fontId="4" fillId="4" borderId="61" xfId="0" applyNumberFormat="1" applyFont="1" applyFill="1" applyBorder="1" applyAlignment="1">
      <alignment horizontal="left" vertical="top" wrapText="1"/>
    </xf>
    <xf numFmtId="3" fontId="4" fillId="4" borderId="17" xfId="0" applyNumberFormat="1" applyFont="1" applyFill="1" applyBorder="1" applyAlignment="1">
      <alignment horizontal="left" vertical="top" wrapText="1"/>
    </xf>
    <xf numFmtId="3" fontId="5" fillId="4" borderId="18" xfId="0" applyNumberFormat="1" applyFont="1" applyFill="1" applyBorder="1" applyAlignment="1">
      <alignment horizontal="left" vertical="top" wrapText="1"/>
    </xf>
    <xf numFmtId="3" fontId="4" fillId="4" borderId="17" xfId="0" applyNumberFormat="1" applyFont="1" applyFill="1" applyBorder="1" applyAlignment="1">
      <alignment horizontal="center" vertical="top"/>
    </xf>
    <xf numFmtId="3" fontId="5" fillId="4" borderId="42" xfId="0" applyNumberFormat="1" applyFont="1" applyFill="1" applyBorder="1" applyAlignment="1">
      <alignment horizontal="left" vertical="top" wrapText="1"/>
    </xf>
    <xf numFmtId="3" fontId="4" fillId="0" borderId="18" xfId="0" applyNumberFormat="1" applyFont="1" applyFill="1" applyBorder="1" applyAlignment="1">
      <alignment horizontal="center" vertical="top" wrapText="1"/>
    </xf>
    <xf numFmtId="3" fontId="4" fillId="4" borderId="18" xfId="0" applyNumberFormat="1" applyFont="1" applyFill="1" applyBorder="1" applyAlignment="1">
      <alignment horizontal="left" vertical="top" wrapText="1"/>
    </xf>
    <xf numFmtId="3" fontId="1" fillId="4" borderId="59" xfId="0" applyNumberFormat="1" applyFont="1" applyFill="1" applyBorder="1" applyAlignment="1">
      <alignment horizontal="left" vertical="top" wrapText="1"/>
    </xf>
    <xf numFmtId="3" fontId="1" fillId="4" borderId="42" xfId="0" applyNumberFormat="1" applyFont="1" applyFill="1" applyBorder="1" applyAlignment="1">
      <alignment horizontal="left" vertical="top" wrapText="1"/>
    </xf>
    <xf numFmtId="3" fontId="2" fillId="0" borderId="67" xfId="0" applyNumberFormat="1" applyFont="1" applyFill="1" applyBorder="1" applyAlignment="1">
      <alignment horizontal="center" vertical="top" textRotation="90" wrapText="1"/>
    </xf>
    <xf numFmtId="164" fontId="1" fillId="4" borderId="18" xfId="0" applyNumberFormat="1" applyFont="1" applyFill="1" applyBorder="1" applyAlignment="1">
      <alignment horizontal="center" vertical="top"/>
    </xf>
    <xf numFmtId="49" fontId="2" fillId="3" borderId="32" xfId="0" applyNumberFormat="1" applyFont="1" applyFill="1" applyBorder="1" applyAlignment="1">
      <alignment horizontal="center" vertical="top"/>
    </xf>
    <xf numFmtId="3" fontId="1" fillId="4" borderId="13" xfId="0" applyNumberFormat="1" applyFont="1" applyFill="1" applyBorder="1" applyAlignment="1">
      <alignment horizontal="left" vertical="top" wrapText="1"/>
    </xf>
    <xf numFmtId="3" fontId="1" fillId="4" borderId="19" xfId="0" applyNumberFormat="1" applyFont="1" applyFill="1" applyBorder="1" applyAlignment="1">
      <alignment horizontal="left" vertical="top" wrapText="1"/>
    </xf>
    <xf numFmtId="3" fontId="2" fillId="0" borderId="78" xfId="0" applyNumberFormat="1" applyFont="1" applyFill="1" applyBorder="1" applyAlignment="1">
      <alignment horizontal="center" vertical="top" textRotation="90" wrapText="1"/>
    </xf>
    <xf numFmtId="3" fontId="2" fillId="0" borderId="75" xfId="0" applyNumberFormat="1" applyFont="1" applyFill="1" applyBorder="1" applyAlignment="1">
      <alignment horizontal="center" vertical="top" textRotation="90" wrapText="1"/>
    </xf>
    <xf numFmtId="3" fontId="1" fillId="4" borderId="61" xfId="0" applyNumberFormat="1" applyFont="1" applyFill="1" applyBorder="1" applyAlignment="1">
      <alignment horizontal="left" vertical="top" wrapText="1"/>
    </xf>
    <xf numFmtId="3" fontId="1" fillId="4" borderId="56" xfId="0" applyNumberFormat="1" applyFont="1" applyFill="1" applyBorder="1" applyAlignment="1">
      <alignment horizontal="left" vertical="top" wrapText="1"/>
    </xf>
    <xf numFmtId="3" fontId="1" fillId="4" borderId="16" xfId="0" applyNumberFormat="1" applyFont="1" applyFill="1" applyBorder="1" applyAlignment="1">
      <alignment horizontal="left" vertical="top" wrapText="1"/>
    </xf>
    <xf numFmtId="3" fontId="2" fillId="4" borderId="13" xfId="0" applyNumberFormat="1" applyFont="1" applyFill="1" applyBorder="1" applyAlignment="1">
      <alignment horizontal="left" vertical="top" wrapText="1"/>
    </xf>
    <xf numFmtId="3" fontId="1" fillId="0" borderId="0" xfId="0" applyNumberFormat="1" applyFont="1" applyFill="1" applyBorder="1" applyAlignment="1">
      <alignment horizontal="center" vertical="top" wrapText="1"/>
    </xf>
    <xf numFmtId="3" fontId="2" fillId="0" borderId="13" xfId="0" applyNumberFormat="1" applyFont="1" applyFill="1" applyBorder="1" applyAlignment="1">
      <alignment horizontal="center" vertical="top" textRotation="90" wrapText="1"/>
    </xf>
    <xf numFmtId="3" fontId="2" fillId="0" borderId="19" xfId="0" applyNumberFormat="1" applyFont="1" applyFill="1" applyBorder="1" applyAlignment="1">
      <alignment horizontal="center" vertical="top" textRotation="90" wrapText="1"/>
    </xf>
    <xf numFmtId="49" fontId="2" fillId="2" borderId="18" xfId="0" applyNumberFormat="1" applyFont="1" applyFill="1" applyBorder="1" applyAlignment="1">
      <alignment horizontal="center" vertical="top"/>
    </xf>
    <xf numFmtId="3" fontId="1" fillId="3" borderId="59" xfId="0" applyNumberFormat="1" applyFont="1" applyFill="1" applyBorder="1" applyAlignment="1">
      <alignment horizontal="left" vertical="top" wrapText="1"/>
    </xf>
    <xf numFmtId="0" fontId="1" fillId="4" borderId="18" xfId="0" applyFont="1" applyFill="1" applyBorder="1" applyAlignment="1">
      <alignment horizontal="left" vertical="top" wrapText="1"/>
    </xf>
    <xf numFmtId="3" fontId="4" fillId="0" borderId="10" xfId="0" applyNumberFormat="1" applyFont="1" applyFill="1" applyBorder="1" applyAlignment="1">
      <alignment horizontal="center" vertical="top" wrapText="1"/>
    </xf>
    <xf numFmtId="3" fontId="1" fillId="0" borderId="10" xfId="0" applyNumberFormat="1" applyFont="1" applyFill="1" applyBorder="1" applyAlignment="1">
      <alignment horizontal="center" vertical="top" wrapText="1"/>
    </xf>
    <xf numFmtId="3" fontId="1" fillId="4" borderId="17" xfId="0" applyNumberFormat="1" applyFont="1" applyFill="1" applyBorder="1" applyAlignment="1">
      <alignment horizontal="left" vertical="top" wrapText="1"/>
    </xf>
    <xf numFmtId="3" fontId="4" fillId="4" borderId="13" xfId="0" applyNumberFormat="1" applyFont="1" applyFill="1" applyBorder="1" applyAlignment="1">
      <alignment horizontal="center" vertical="top" wrapText="1"/>
    </xf>
    <xf numFmtId="3" fontId="4" fillId="4" borderId="18" xfId="0" applyNumberFormat="1" applyFont="1" applyFill="1" applyBorder="1" applyAlignment="1">
      <alignment horizontal="center" vertical="top" wrapText="1"/>
    </xf>
    <xf numFmtId="3" fontId="4" fillId="0" borderId="43" xfId="0" applyNumberFormat="1" applyFont="1" applyBorder="1" applyAlignment="1">
      <alignment horizontal="center" wrapText="1"/>
    </xf>
    <xf numFmtId="3" fontId="1" fillId="0" borderId="0" xfId="0" applyNumberFormat="1" applyFont="1" applyBorder="1" applyAlignment="1">
      <alignment horizontal="center" vertical="top" wrapText="1"/>
    </xf>
    <xf numFmtId="3" fontId="1" fillId="0" borderId="0" xfId="0" applyNumberFormat="1" applyFont="1" applyBorder="1" applyAlignment="1">
      <alignment horizontal="left" vertical="top" wrapText="1"/>
    </xf>
    <xf numFmtId="3" fontId="4" fillId="4" borderId="39" xfId="0" applyNumberFormat="1" applyFont="1" applyFill="1" applyBorder="1" applyAlignment="1">
      <alignment horizontal="center" vertical="top" wrapText="1"/>
    </xf>
    <xf numFmtId="3" fontId="4" fillId="4" borderId="60" xfId="0" applyNumberFormat="1" applyFont="1" applyFill="1" applyBorder="1" applyAlignment="1">
      <alignment horizontal="center" vertical="top" wrapText="1"/>
    </xf>
    <xf numFmtId="3" fontId="4" fillId="4" borderId="37" xfId="0" applyNumberFormat="1" applyFont="1" applyFill="1" applyBorder="1" applyAlignment="1">
      <alignment horizontal="center" vertical="top" wrapText="1"/>
    </xf>
    <xf numFmtId="3" fontId="4" fillId="4" borderId="41" xfId="0" applyNumberFormat="1" applyFont="1" applyFill="1" applyBorder="1" applyAlignment="1">
      <alignment horizontal="center" vertical="top" wrapText="1"/>
    </xf>
    <xf numFmtId="3" fontId="4" fillId="4" borderId="59" xfId="0" applyNumberFormat="1" applyFont="1" applyFill="1" applyBorder="1" applyAlignment="1">
      <alignment horizontal="center" vertical="top" wrapText="1"/>
    </xf>
    <xf numFmtId="3" fontId="1" fillId="0" borderId="21" xfId="0" applyNumberFormat="1" applyFont="1" applyBorder="1" applyAlignment="1">
      <alignment horizontal="center" vertical="top" wrapText="1"/>
    </xf>
    <xf numFmtId="3" fontId="2" fillId="4" borderId="33" xfId="0" applyNumberFormat="1" applyFont="1" applyFill="1" applyBorder="1" applyAlignment="1">
      <alignment horizontal="center" vertical="top"/>
    </xf>
    <xf numFmtId="3" fontId="2" fillId="4" borderId="32" xfId="0" applyNumberFormat="1" applyFont="1" applyFill="1" applyBorder="1" applyAlignment="1">
      <alignment horizontal="center" vertical="top"/>
    </xf>
    <xf numFmtId="49" fontId="2" fillId="8" borderId="17"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4" fillId="0" borderId="8" xfId="0" applyNumberFormat="1" applyFont="1" applyFill="1" applyBorder="1" applyAlignment="1">
      <alignment horizontal="center" vertical="top" wrapText="1"/>
    </xf>
    <xf numFmtId="49" fontId="2" fillId="8" borderId="40" xfId="0" applyNumberFormat="1" applyFont="1" applyFill="1" applyBorder="1" applyAlignment="1">
      <alignment horizontal="center" vertical="top"/>
    </xf>
    <xf numFmtId="164" fontId="4" fillId="4" borderId="74" xfId="0" applyNumberFormat="1" applyFont="1" applyFill="1" applyBorder="1" applyAlignment="1">
      <alignment horizontal="center" vertical="center"/>
    </xf>
    <xf numFmtId="164" fontId="4" fillId="4" borderId="74" xfId="0" applyNumberFormat="1" applyFont="1" applyFill="1" applyBorder="1" applyAlignment="1">
      <alignment horizontal="center" vertical="top"/>
    </xf>
    <xf numFmtId="3" fontId="4" fillId="4" borderId="10" xfId="0" applyNumberFormat="1" applyFont="1" applyFill="1" applyBorder="1" applyAlignment="1">
      <alignment horizontal="center" vertical="top" wrapText="1"/>
    </xf>
    <xf numFmtId="3" fontId="4" fillId="4" borderId="2" xfId="0" applyNumberFormat="1" applyFont="1" applyFill="1" applyBorder="1" applyAlignment="1">
      <alignment horizontal="center" vertical="top" wrapText="1"/>
    </xf>
    <xf numFmtId="3" fontId="5" fillId="5" borderId="55" xfId="0" applyNumberFormat="1" applyFont="1" applyFill="1" applyBorder="1" applyAlignment="1">
      <alignment horizontal="center" vertical="top" wrapText="1"/>
    </xf>
    <xf numFmtId="3" fontId="1" fillId="3" borderId="8" xfId="0" applyNumberFormat="1" applyFont="1" applyFill="1" applyBorder="1" applyAlignment="1">
      <alignment horizontal="center" vertical="top" wrapText="1"/>
    </xf>
    <xf numFmtId="3" fontId="1" fillId="3" borderId="5" xfId="0" applyNumberFormat="1" applyFont="1" applyFill="1" applyBorder="1" applyAlignment="1">
      <alignment horizontal="center" vertical="top" wrapText="1"/>
    </xf>
    <xf numFmtId="49" fontId="4" fillId="4" borderId="8" xfId="2" applyNumberFormat="1" applyFont="1" applyFill="1" applyBorder="1" applyAlignment="1">
      <alignment horizontal="center" vertical="top"/>
    </xf>
    <xf numFmtId="164" fontId="4" fillId="13" borderId="67" xfId="2" applyNumberFormat="1" applyFont="1" applyFill="1" applyBorder="1" applyAlignment="1">
      <alignment horizontal="center" vertical="top"/>
    </xf>
    <xf numFmtId="164" fontId="4" fillId="13" borderId="7" xfId="2" applyNumberFormat="1" applyFont="1" applyFill="1" applyBorder="1" applyAlignment="1">
      <alignment horizontal="center" vertical="top"/>
    </xf>
    <xf numFmtId="49" fontId="4" fillId="0" borderId="2" xfId="2" applyNumberFormat="1" applyFont="1" applyFill="1" applyBorder="1" applyAlignment="1">
      <alignment horizontal="center" vertical="top"/>
    </xf>
    <xf numFmtId="49" fontId="4" fillId="0" borderId="8" xfId="2" applyNumberFormat="1" applyFont="1" applyFill="1" applyBorder="1" applyAlignment="1">
      <alignment horizontal="center" vertical="top"/>
    </xf>
    <xf numFmtId="0" fontId="4" fillId="4" borderId="59" xfId="0" applyFont="1" applyFill="1" applyBorder="1" applyAlignment="1">
      <alignment horizontal="center" vertical="top" wrapText="1"/>
    </xf>
    <xf numFmtId="0" fontId="4" fillId="4" borderId="28" xfId="0" applyFont="1" applyFill="1" applyBorder="1" applyAlignment="1">
      <alignment horizontal="center" vertical="top" wrapText="1"/>
    </xf>
    <xf numFmtId="167" fontId="4" fillId="12" borderId="34" xfId="2" applyNumberFormat="1" applyFont="1" applyFill="1" applyBorder="1" applyAlignment="1">
      <alignment horizontal="left" vertical="top" wrapText="1"/>
    </xf>
    <xf numFmtId="167" fontId="4" fillId="12" borderId="65" xfId="2" applyNumberFormat="1" applyFont="1" applyFill="1" applyBorder="1" applyAlignment="1">
      <alignment horizontal="center" vertical="top"/>
    </xf>
    <xf numFmtId="167" fontId="4" fillId="12" borderId="130" xfId="2" applyNumberFormat="1" applyFont="1" applyFill="1" applyBorder="1" applyAlignment="1">
      <alignment horizontal="center" vertical="top"/>
    </xf>
    <xf numFmtId="49" fontId="4" fillId="0" borderId="2" xfId="2" applyNumberFormat="1" applyFont="1" applyFill="1" applyBorder="1" applyAlignment="1">
      <alignment horizontal="center" vertical="top" wrapText="1"/>
    </xf>
    <xf numFmtId="49" fontId="4" fillId="0" borderId="8" xfId="2" applyNumberFormat="1" applyFont="1" applyFill="1" applyBorder="1" applyAlignment="1">
      <alignment horizontal="center" vertical="top" wrapText="1"/>
    </xf>
    <xf numFmtId="164" fontId="4" fillId="13" borderId="154" xfId="2" applyNumberFormat="1" applyFont="1" applyFill="1" applyBorder="1" applyAlignment="1">
      <alignment horizontal="center" vertical="top"/>
    </xf>
    <xf numFmtId="164" fontId="2" fillId="2" borderId="56" xfId="0" applyNumberFormat="1" applyFont="1" applyFill="1" applyBorder="1" applyAlignment="1">
      <alignment horizontal="center" vertical="top" wrapText="1"/>
    </xf>
    <xf numFmtId="164" fontId="2" fillId="2" borderId="21" xfId="0" applyNumberFormat="1" applyFont="1" applyFill="1" applyBorder="1" applyAlignment="1">
      <alignment horizontal="center" vertical="top" wrapText="1"/>
    </xf>
    <xf numFmtId="3" fontId="2" fillId="5" borderId="61" xfId="0" applyNumberFormat="1" applyFont="1" applyFill="1" applyBorder="1" applyAlignment="1">
      <alignment horizontal="center" vertical="top" wrapText="1"/>
    </xf>
    <xf numFmtId="164" fontId="1" fillId="4" borderId="7" xfId="0" applyNumberFormat="1" applyFont="1" applyFill="1" applyBorder="1" applyAlignment="1">
      <alignment vertical="top"/>
    </xf>
    <xf numFmtId="164" fontId="2" fillId="8" borderId="56" xfId="0" applyNumberFormat="1" applyFont="1" applyFill="1" applyBorder="1" applyAlignment="1">
      <alignment horizontal="center" vertical="top" wrapText="1"/>
    </xf>
    <xf numFmtId="164" fontId="2" fillId="7" borderId="56" xfId="0" applyNumberFormat="1" applyFont="1" applyFill="1" applyBorder="1" applyAlignment="1">
      <alignment horizontal="center" vertical="top" wrapText="1"/>
    </xf>
    <xf numFmtId="49" fontId="4" fillId="3" borderId="66" xfId="0" applyNumberFormat="1" applyFont="1" applyFill="1" applyBorder="1" applyAlignment="1">
      <alignment vertical="top" wrapText="1"/>
    </xf>
    <xf numFmtId="0" fontId="4" fillId="4" borderId="18" xfId="0" applyFont="1" applyFill="1" applyBorder="1" applyAlignment="1">
      <alignment horizontal="center" vertical="top" wrapText="1"/>
    </xf>
    <xf numFmtId="0" fontId="4" fillId="4" borderId="7" xfId="0" applyFont="1" applyFill="1" applyBorder="1" applyAlignment="1">
      <alignment horizontal="center" vertical="top" wrapText="1"/>
    </xf>
    <xf numFmtId="167" fontId="4" fillId="10" borderId="61" xfId="2" applyNumberFormat="1" applyFont="1" applyFill="1" applyBorder="1" applyAlignment="1">
      <alignment horizontal="center" vertical="top"/>
    </xf>
    <xf numFmtId="167" fontId="4" fillId="10" borderId="133" xfId="2" applyNumberFormat="1" applyFont="1" applyFill="1" applyBorder="1" applyAlignment="1">
      <alignment horizontal="center" vertical="top"/>
    </xf>
    <xf numFmtId="3" fontId="4" fillId="12" borderId="28" xfId="2" applyNumberFormat="1" applyFont="1" applyFill="1" applyBorder="1" applyAlignment="1">
      <alignment horizontal="center" vertical="top"/>
    </xf>
    <xf numFmtId="3" fontId="1" fillId="4" borderId="59" xfId="0" applyNumberFormat="1" applyFont="1" applyFill="1" applyBorder="1" applyAlignment="1">
      <alignment horizontal="left" vertical="top" wrapText="1"/>
    </xf>
    <xf numFmtId="3" fontId="1" fillId="0" borderId="18" xfId="0" applyNumberFormat="1" applyFont="1" applyBorder="1" applyAlignment="1">
      <alignment vertical="top"/>
    </xf>
    <xf numFmtId="3" fontId="1" fillId="0" borderId="62" xfId="0" applyNumberFormat="1" applyFont="1" applyBorder="1" applyAlignment="1">
      <alignment horizontal="center" vertical="top"/>
    </xf>
    <xf numFmtId="49" fontId="4" fillId="3" borderId="64" xfId="0" applyNumberFormat="1" applyFont="1" applyFill="1" applyBorder="1" applyAlignment="1">
      <alignment vertical="top"/>
    </xf>
    <xf numFmtId="49" fontId="4" fillId="3" borderId="13" xfId="0" applyNumberFormat="1" applyFont="1" applyFill="1" applyBorder="1" applyAlignment="1">
      <alignment horizontal="center" vertical="top"/>
    </xf>
    <xf numFmtId="3" fontId="1" fillId="0" borderId="17" xfId="0" applyNumberFormat="1" applyFont="1" applyBorder="1" applyAlignment="1">
      <alignment horizontal="left" vertical="top" wrapText="1"/>
    </xf>
    <xf numFmtId="3" fontId="1" fillId="0" borderId="0" xfId="0" applyNumberFormat="1" applyFont="1" applyBorder="1" applyAlignment="1">
      <alignment horizontal="left" vertical="top" wrapText="1"/>
    </xf>
    <xf numFmtId="164" fontId="1" fillId="4" borderId="17" xfId="0" applyNumberFormat="1" applyFont="1" applyFill="1" applyBorder="1" applyAlignment="1">
      <alignment horizontal="left" vertical="top" wrapText="1"/>
    </xf>
    <xf numFmtId="3" fontId="4" fillId="4" borderId="59" xfId="0" applyNumberFormat="1" applyFont="1" applyFill="1" applyBorder="1" applyAlignment="1">
      <alignment horizontal="center" vertical="top" wrapText="1"/>
    </xf>
    <xf numFmtId="3" fontId="4" fillId="4" borderId="0" xfId="0" applyNumberFormat="1" applyFont="1" applyFill="1" applyBorder="1" applyAlignment="1">
      <alignment horizontal="center" vertical="top" wrapText="1"/>
    </xf>
    <xf numFmtId="3" fontId="5" fillId="4" borderId="18" xfId="0" applyNumberFormat="1" applyFont="1" applyFill="1" applyBorder="1" applyAlignment="1">
      <alignment horizontal="left" vertical="top" wrapText="1"/>
    </xf>
    <xf numFmtId="164" fontId="1" fillId="4" borderId="18" xfId="0" applyNumberFormat="1" applyFont="1" applyFill="1" applyBorder="1" applyAlignment="1">
      <alignment horizontal="center" vertical="top"/>
    </xf>
    <xf numFmtId="3" fontId="2" fillId="4" borderId="18" xfId="0" applyNumberFormat="1" applyFont="1" applyFill="1" applyBorder="1" applyAlignment="1">
      <alignment horizontal="left" vertical="top" wrapText="1"/>
    </xf>
    <xf numFmtId="3" fontId="1" fillId="0" borderId="0" xfId="0" applyNumberFormat="1" applyFont="1" applyFill="1" applyBorder="1" applyAlignment="1">
      <alignment horizontal="center" vertical="top" wrapText="1"/>
    </xf>
    <xf numFmtId="3" fontId="1" fillId="0" borderId="0" xfId="0" applyNumberFormat="1" applyFont="1" applyBorder="1" applyAlignment="1">
      <alignment horizontal="center" vertical="top" wrapText="1"/>
    </xf>
    <xf numFmtId="3" fontId="2" fillId="0" borderId="18" xfId="0" applyNumberFormat="1" applyFont="1" applyFill="1" applyBorder="1" applyAlignment="1">
      <alignment horizontal="center" vertical="top" textRotation="90" wrapText="1"/>
    </xf>
    <xf numFmtId="164" fontId="1" fillId="4" borderId="37" xfId="0" applyNumberFormat="1" applyFont="1" applyFill="1" applyBorder="1" applyAlignment="1">
      <alignment horizontal="center" vertical="top"/>
    </xf>
    <xf numFmtId="164" fontId="1" fillId="4" borderId="41" xfId="0" applyNumberFormat="1" applyFont="1" applyFill="1" applyBorder="1" applyAlignment="1">
      <alignment horizontal="center" vertical="top"/>
    </xf>
    <xf numFmtId="164" fontId="1" fillId="4" borderId="59" xfId="0" applyNumberFormat="1" applyFont="1" applyFill="1" applyBorder="1" applyAlignment="1">
      <alignment horizontal="center" vertical="top"/>
    </xf>
    <xf numFmtId="164" fontId="1" fillId="4" borderId="42" xfId="0" applyNumberFormat="1" applyFont="1" applyFill="1" applyBorder="1" applyAlignment="1">
      <alignment horizontal="center" vertical="top"/>
    </xf>
    <xf numFmtId="3" fontId="4" fillId="4" borderId="18" xfId="0" applyNumberFormat="1" applyFont="1" applyFill="1" applyBorder="1" applyAlignment="1">
      <alignment horizontal="center" vertical="top" wrapText="1"/>
    </xf>
    <xf numFmtId="164" fontId="1" fillId="4" borderId="40" xfId="0" applyNumberFormat="1" applyFont="1" applyFill="1" applyBorder="1" applyAlignment="1">
      <alignment horizontal="center" vertical="top" wrapText="1"/>
    </xf>
    <xf numFmtId="3" fontId="1" fillId="4" borderId="17" xfId="0" applyNumberFormat="1" applyFont="1" applyFill="1" applyBorder="1" applyAlignment="1">
      <alignment horizontal="left" vertical="top" wrapText="1"/>
    </xf>
    <xf numFmtId="3" fontId="1" fillId="4" borderId="17" xfId="0" applyNumberFormat="1" applyFont="1" applyFill="1" applyBorder="1" applyAlignment="1">
      <alignment horizontal="center" vertical="top" wrapText="1"/>
    </xf>
    <xf numFmtId="3" fontId="1" fillId="4" borderId="59" xfId="0" applyNumberFormat="1" applyFont="1" applyFill="1" applyBorder="1" applyAlignment="1">
      <alignment horizontal="center" vertical="top" wrapText="1"/>
    </xf>
    <xf numFmtId="3" fontId="1" fillId="4" borderId="7" xfId="0" applyNumberFormat="1" applyFont="1" applyFill="1" applyBorder="1" applyAlignment="1">
      <alignment horizontal="center" vertical="top" wrapText="1"/>
    </xf>
    <xf numFmtId="3" fontId="1" fillId="4" borderId="8" xfId="0" applyNumberFormat="1" applyFont="1" applyFill="1" applyBorder="1" applyAlignment="1">
      <alignment horizontal="center" vertical="top" wrapText="1"/>
    </xf>
    <xf numFmtId="3" fontId="1" fillId="0" borderId="6" xfId="0" applyNumberFormat="1" applyFont="1" applyFill="1" applyBorder="1" applyAlignment="1">
      <alignment horizontal="center" vertical="top" wrapText="1"/>
    </xf>
    <xf numFmtId="3" fontId="4" fillId="4" borderId="8" xfId="0" applyNumberFormat="1" applyFont="1" applyFill="1" applyBorder="1" applyAlignment="1">
      <alignment horizontal="center" vertical="top" wrapText="1"/>
    </xf>
    <xf numFmtId="3" fontId="2" fillId="4" borderId="32" xfId="0" applyNumberFormat="1" applyFont="1" applyFill="1" applyBorder="1" applyAlignment="1">
      <alignment horizontal="center" vertical="top"/>
    </xf>
    <xf numFmtId="3" fontId="4" fillId="0" borderId="8" xfId="0" applyNumberFormat="1" applyFont="1" applyFill="1" applyBorder="1" applyAlignment="1">
      <alignment horizontal="center" vertical="top" wrapText="1"/>
    </xf>
    <xf numFmtId="164" fontId="4" fillId="4" borderId="17" xfId="0" applyNumberFormat="1" applyFont="1" applyFill="1" applyBorder="1" applyAlignment="1">
      <alignment horizontal="center" vertical="center" wrapText="1"/>
    </xf>
    <xf numFmtId="164" fontId="4" fillId="4" borderId="18" xfId="0" applyNumberFormat="1" applyFont="1" applyFill="1" applyBorder="1" applyAlignment="1">
      <alignment horizontal="center" vertical="center" wrapText="1"/>
    </xf>
    <xf numFmtId="164" fontId="4" fillId="4" borderId="7" xfId="0" applyNumberFormat="1" applyFont="1" applyFill="1" applyBorder="1" applyAlignment="1">
      <alignment horizontal="center" vertical="center" wrapText="1"/>
    </xf>
    <xf numFmtId="164" fontId="1" fillId="0" borderId="13" xfId="0" applyNumberFormat="1" applyFont="1" applyFill="1" applyBorder="1" applyAlignment="1">
      <alignment horizontal="center" vertical="top" wrapText="1"/>
    </xf>
    <xf numFmtId="164" fontId="1" fillId="4" borderId="78" xfId="0" applyNumberFormat="1" applyFont="1" applyFill="1" applyBorder="1" applyAlignment="1">
      <alignment horizontal="center" vertical="top" wrapText="1"/>
    </xf>
    <xf numFmtId="164" fontId="1" fillId="4" borderId="67" xfId="0" applyNumberFormat="1" applyFont="1" applyFill="1" applyBorder="1" applyAlignment="1">
      <alignment horizontal="center" vertical="top" wrapText="1"/>
    </xf>
    <xf numFmtId="3" fontId="1" fillId="3" borderId="6" xfId="0" applyNumberFormat="1" applyFont="1" applyFill="1" applyBorder="1" applyAlignment="1">
      <alignment horizontal="center" vertical="top" wrapText="1"/>
    </xf>
    <xf numFmtId="164" fontId="1" fillId="4" borderId="61" xfId="0" applyNumberFormat="1" applyFont="1" applyFill="1" applyBorder="1" applyAlignment="1">
      <alignment horizontal="center" vertical="top" wrapText="1"/>
    </xf>
    <xf numFmtId="164" fontId="4" fillId="12" borderId="41" xfId="2" applyNumberFormat="1" applyFont="1" applyFill="1" applyBorder="1" applyAlignment="1">
      <alignment horizontal="center" vertical="top"/>
    </xf>
    <xf numFmtId="164" fontId="4" fillId="13" borderId="131" xfId="2" applyNumberFormat="1" applyFont="1" applyFill="1" applyBorder="1" applyAlignment="1">
      <alignment horizontal="center" vertical="top"/>
    </xf>
    <xf numFmtId="164" fontId="4" fillId="4" borderId="31" xfId="0" applyNumberFormat="1" applyFont="1" applyFill="1" applyBorder="1" applyAlignment="1">
      <alignment horizontal="center" vertical="top"/>
    </xf>
    <xf numFmtId="164" fontId="5" fillId="4" borderId="40" xfId="0" applyNumberFormat="1" applyFont="1" applyFill="1" applyBorder="1" applyAlignment="1">
      <alignment horizontal="center" vertical="top" wrapText="1"/>
    </xf>
    <xf numFmtId="164" fontId="5" fillId="4" borderId="0" xfId="0" applyNumberFormat="1" applyFont="1" applyFill="1" applyBorder="1" applyAlignment="1">
      <alignment horizontal="center" vertical="top" wrapText="1"/>
    </xf>
    <xf numFmtId="164" fontId="5" fillId="4" borderId="31" xfId="0" applyNumberFormat="1" applyFont="1" applyFill="1" applyBorder="1" applyAlignment="1">
      <alignment horizontal="center" vertical="top" wrapText="1"/>
    </xf>
    <xf numFmtId="3" fontId="1" fillId="4" borderId="9" xfId="0" applyNumberFormat="1" applyFont="1" applyFill="1" applyBorder="1" applyAlignment="1">
      <alignment horizontal="center" vertical="top" wrapText="1"/>
    </xf>
    <xf numFmtId="164" fontId="4" fillId="4" borderId="35" xfId="0" applyNumberFormat="1" applyFont="1" applyFill="1" applyBorder="1" applyAlignment="1">
      <alignment horizontal="center" vertical="top"/>
    </xf>
    <xf numFmtId="164" fontId="4" fillId="4" borderId="80" xfId="0" applyNumberFormat="1" applyFont="1" applyFill="1" applyBorder="1" applyAlignment="1">
      <alignment horizontal="center" vertical="top"/>
    </xf>
    <xf numFmtId="164" fontId="4" fillId="0" borderId="16" xfId="0" applyNumberFormat="1" applyFont="1" applyFill="1" applyBorder="1" applyAlignment="1">
      <alignment horizontal="center" vertical="top" wrapText="1"/>
    </xf>
    <xf numFmtId="164" fontId="4" fillId="0" borderId="13" xfId="0" applyNumberFormat="1" applyFont="1" applyFill="1" applyBorder="1" applyAlignment="1">
      <alignment horizontal="center" vertical="top" wrapText="1"/>
    </xf>
    <xf numFmtId="164" fontId="2" fillId="5" borderId="155" xfId="0" applyNumberFormat="1" applyFont="1" applyFill="1" applyBorder="1" applyAlignment="1">
      <alignment horizontal="center" vertical="top" wrapText="1"/>
    </xf>
    <xf numFmtId="167" fontId="4" fillId="10" borderId="27" xfId="2" applyNumberFormat="1" applyFont="1" applyFill="1" applyBorder="1" applyAlignment="1">
      <alignment horizontal="left" vertical="top" wrapText="1"/>
    </xf>
    <xf numFmtId="164" fontId="4" fillId="0" borderId="24" xfId="0" applyNumberFormat="1" applyFont="1" applyFill="1" applyBorder="1" applyAlignment="1">
      <alignment horizontal="center" vertical="top" wrapText="1"/>
    </xf>
    <xf numFmtId="3" fontId="1" fillId="0" borderId="42" xfId="0" applyNumberFormat="1" applyFont="1" applyBorder="1" applyAlignment="1">
      <alignment horizontal="center" vertical="top" wrapText="1"/>
    </xf>
    <xf numFmtId="49" fontId="4" fillId="0" borderId="5" xfId="2" applyNumberFormat="1" applyFont="1" applyFill="1" applyBorder="1" applyAlignment="1">
      <alignment horizontal="center" vertical="top"/>
    </xf>
    <xf numFmtId="49" fontId="4" fillId="0" borderId="6" xfId="2" applyNumberFormat="1" applyFont="1" applyFill="1" applyBorder="1" applyAlignment="1">
      <alignment horizontal="center" vertical="top"/>
    </xf>
    <xf numFmtId="164" fontId="4" fillId="12" borderId="61" xfId="2" applyNumberFormat="1" applyFont="1" applyFill="1" applyBorder="1" applyAlignment="1">
      <alignment horizontal="center" vertical="top"/>
    </xf>
    <xf numFmtId="164" fontId="4" fillId="13" borderId="59" xfId="2" applyNumberFormat="1" applyFont="1" applyFill="1" applyBorder="1" applyAlignment="1">
      <alignment horizontal="center" vertical="top"/>
    </xf>
    <xf numFmtId="164" fontId="4" fillId="13" borderId="96" xfId="2" applyNumberFormat="1" applyFont="1" applyFill="1" applyBorder="1" applyAlignment="1">
      <alignment horizontal="center" vertical="top"/>
    </xf>
    <xf numFmtId="164" fontId="4" fillId="12" borderId="17" xfId="2" applyNumberFormat="1" applyFont="1" applyFill="1" applyBorder="1" applyAlignment="1">
      <alignment horizontal="center" vertical="top"/>
    </xf>
    <xf numFmtId="164" fontId="4" fillId="13" borderId="18" xfId="2" applyNumberFormat="1" applyFont="1" applyFill="1" applyBorder="1" applyAlignment="1">
      <alignment horizontal="center" vertical="top"/>
    </xf>
    <xf numFmtId="164" fontId="4" fillId="13" borderId="156" xfId="2" applyNumberFormat="1" applyFont="1" applyFill="1" applyBorder="1" applyAlignment="1">
      <alignment horizontal="center" vertical="top"/>
    </xf>
    <xf numFmtId="164" fontId="1" fillId="0" borderId="37" xfId="0" applyNumberFormat="1" applyFont="1" applyFill="1" applyBorder="1" applyAlignment="1">
      <alignment horizontal="center" vertical="top" wrapText="1"/>
    </xf>
    <xf numFmtId="164" fontId="1" fillId="0" borderId="100" xfId="0" applyNumberFormat="1" applyFont="1" applyFill="1" applyBorder="1" applyAlignment="1">
      <alignment horizontal="center" vertical="top" wrapText="1"/>
    </xf>
    <xf numFmtId="3" fontId="1" fillId="0" borderId="40" xfId="0" applyNumberFormat="1" applyFont="1" applyFill="1" applyBorder="1" applyAlignment="1">
      <alignment horizontal="center" vertical="top" wrapText="1"/>
    </xf>
    <xf numFmtId="164" fontId="2" fillId="4" borderId="40" xfId="0" applyNumberFormat="1" applyFont="1" applyFill="1" applyBorder="1" applyAlignment="1">
      <alignment horizontal="center" vertical="top"/>
    </xf>
    <xf numFmtId="164" fontId="1" fillId="3" borderId="17" xfId="0" applyNumberFormat="1" applyFont="1" applyFill="1" applyBorder="1" applyAlignment="1">
      <alignment horizontal="center" vertical="top" wrapText="1"/>
    </xf>
    <xf numFmtId="164" fontId="1" fillId="3" borderId="18" xfId="0" applyNumberFormat="1" applyFont="1" applyFill="1" applyBorder="1" applyAlignment="1">
      <alignment horizontal="center" vertical="top" wrapText="1"/>
    </xf>
    <xf numFmtId="164" fontId="1" fillId="3" borderId="65" xfId="0" applyNumberFormat="1" applyFont="1" applyFill="1" applyBorder="1" applyAlignment="1">
      <alignment horizontal="center" vertical="top" wrapText="1"/>
    </xf>
    <xf numFmtId="164" fontId="1" fillId="3" borderId="3" xfId="0" applyNumberFormat="1" applyFont="1" applyFill="1" applyBorder="1" applyAlignment="1">
      <alignment horizontal="center" vertical="top" wrapText="1"/>
    </xf>
    <xf numFmtId="164" fontId="1" fillId="3" borderId="26" xfId="0" applyNumberFormat="1" applyFont="1" applyFill="1" applyBorder="1" applyAlignment="1">
      <alignment horizontal="center" vertical="top" wrapText="1"/>
    </xf>
    <xf numFmtId="164" fontId="1" fillId="3" borderId="0" xfId="0" applyNumberFormat="1" applyFont="1" applyFill="1" applyBorder="1" applyAlignment="1">
      <alignment horizontal="center" vertical="top" wrapText="1"/>
    </xf>
    <xf numFmtId="164" fontId="1" fillId="3" borderId="66" xfId="0" applyNumberFormat="1" applyFont="1" applyFill="1" applyBorder="1" applyAlignment="1">
      <alignment horizontal="center" vertical="top" wrapText="1"/>
    </xf>
    <xf numFmtId="0" fontId="1" fillId="4" borderId="36" xfId="0" applyFont="1" applyFill="1" applyBorder="1" applyAlignment="1">
      <alignment horizontal="left" vertical="top" wrapText="1"/>
    </xf>
    <xf numFmtId="164" fontId="1" fillId="4" borderId="157" xfId="0" applyNumberFormat="1" applyFont="1" applyFill="1" applyBorder="1" applyAlignment="1">
      <alignment horizontal="center" vertical="top"/>
    </xf>
    <xf numFmtId="164" fontId="1" fillId="4" borderId="138" xfId="0" applyNumberFormat="1" applyFont="1" applyFill="1" applyBorder="1" applyAlignment="1">
      <alignment horizontal="center" vertical="top"/>
    </xf>
    <xf numFmtId="0" fontId="1" fillId="0" borderId="158" xfId="0" applyFont="1" applyFill="1" applyBorder="1" applyAlignment="1">
      <alignment vertical="top" wrapText="1"/>
    </xf>
    <xf numFmtId="164" fontId="1" fillId="4" borderId="158" xfId="0" applyNumberFormat="1" applyFont="1" applyFill="1" applyBorder="1" applyAlignment="1">
      <alignment vertical="top"/>
    </xf>
    <xf numFmtId="164" fontId="1" fillId="4" borderId="159" xfId="0" applyNumberFormat="1" applyFont="1" applyFill="1" applyBorder="1" applyAlignment="1">
      <alignment vertical="top"/>
    </xf>
    <xf numFmtId="164" fontId="1" fillId="4" borderId="160" xfId="0" applyNumberFormat="1" applyFont="1" applyFill="1" applyBorder="1" applyAlignment="1">
      <alignment vertical="top"/>
    </xf>
    <xf numFmtId="3" fontId="2" fillId="0" borderId="3" xfId="0" applyNumberFormat="1" applyFont="1" applyFill="1" applyBorder="1" applyAlignment="1">
      <alignment wrapText="1"/>
    </xf>
    <xf numFmtId="167" fontId="4" fillId="10" borderId="103" xfId="2" applyNumberFormat="1" applyFont="1" applyFill="1" applyBorder="1" applyAlignment="1">
      <alignment horizontal="center" vertical="top"/>
    </xf>
    <xf numFmtId="164" fontId="4" fillId="12" borderId="61" xfId="2" applyNumberFormat="1" applyFont="1" applyFill="1" applyBorder="1" applyAlignment="1"/>
    <xf numFmtId="167" fontId="4" fillId="10" borderId="112" xfId="2" applyNumberFormat="1" applyFont="1" applyFill="1" applyBorder="1" applyAlignment="1">
      <alignment horizontal="center" vertical="top" wrapText="1"/>
    </xf>
    <xf numFmtId="164" fontId="4" fillId="4" borderId="100" xfId="2" applyNumberFormat="1" applyFont="1" applyFill="1" applyBorder="1" applyAlignment="1">
      <alignment horizontal="center" vertical="top"/>
    </xf>
    <xf numFmtId="3" fontId="4" fillId="4" borderId="59" xfId="0" applyNumberFormat="1" applyFont="1" applyFill="1" applyBorder="1" applyAlignment="1">
      <alignment horizontal="left" vertical="top" wrapText="1"/>
    </xf>
    <xf numFmtId="0" fontId="4" fillId="4" borderId="49" xfId="0" applyFont="1" applyFill="1" applyBorder="1" applyAlignment="1">
      <alignment horizontal="left" vertical="top" wrapText="1"/>
    </xf>
    <xf numFmtId="3" fontId="5" fillId="5" borderId="46" xfId="0" applyNumberFormat="1" applyFont="1" applyFill="1" applyBorder="1" applyAlignment="1">
      <alignment horizontal="right" vertical="top" wrapText="1"/>
    </xf>
    <xf numFmtId="3" fontId="5" fillId="5" borderId="45" xfId="0" applyNumberFormat="1" applyFont="1" applyFill="1" applyBorder="1" applyAlignment="1">
      <alignment horizontal="right" vertical="top" wrapText="1"/>
    </xf>
    <xf numFmtId="3" fontId="5" fillId="5" borderId="50" xfId="0" applyNumberFormat="1" applyFont="1" applyFill="1" applyBorder="1" applyAlignment="1">
      <alignment horizontal="right" vertical="top" wrapText="1"/>
    </xf>
    <xf numFmtId="3" fontId="4" fillId="4" borderId="8" xfId="0" applyNumberFormat="1" applyFont="1" applyFill="1" applyBorder="1" applyAlignment="1">
      <alignment horizontal="center" vertical="top" wrapText="1"/>
    </xf>
    <xf numFmtId="168" fontId="4" fillId="10" borderId="12" xfId="2" applyNumberFormat="1" applyFont="1" applyFill="1" applyBorder="1" applyAlignment="1">
      <alignment vertical="top" wrapText="1"/>
    </xf>
    <xf numFmtId="167" fontId="4" fillId="10" borderId="12" xfId="2" applyNumberFormat="1" applyFont="1" applyFill="1" applyBorder="1" applyAlignment="1">
      <alignment horizontal="center" vertical="top"/>
    </xf>
    <xf numFmtId="167" fontId="4" fillId="10" borderId="161" xfId="2" applyNumberFormat="1" applyFont="1" applyFill="1" applyBorder="1" applyAlignment="1">
      <alignment horizontal="center" vertical="top"/>
    </xf>
    <xf numFmtId="3" fontId="4" fillId="4" borderId="72" xfId="2" applyNumberFormat="1" applyFont="1" applyFill="1" applyBorder="1" applyAlignment="1">
      <alignment horizontal="center" vertical="top"/>
    </xf>
    <xf numFmtId="164" fontId="4" fillId="4" borderId="162" xfId="2" applyNumberFormat="1" applyFont="1" applyFill="1" applyBorder="1" applyAlignment="1">
      <alignment horizontal="center"/>
    </xf>
    <xf numFmtId="49" fontId="4" fillId="0" borderId="59" xfId="0" applyNumberFormat="1" applyFont="1" applyBorder="1" applyAlignment="1">
      <alignment vertical="top" wrapText="1"/>
    </xf>
    <xf numFmtId="49" fontId="1" fillId="4" borderId="17" xfId="0" applyNumberFormat="1" applyFont="1" applyFill="1" applyBorder="1" applyAlignment="1">
      <alignment vertical="top" wrapText="1"/>
    </xf>
    <xf numFmtId="49" fontId="1" fillId="4" borderId="17" xfId="0" applyNumberFormat="1" applyFont="1" applyFill="1" applyBorder="1" applyAlignment="1">
      <alignment horizontal="center" vertical="top"/>
    </xf>
    <xf numFmtId="0" fontId="1" fillId="4" borderId="53" xfId="0" applyFont="1" applyFill="1" applyBorder="1" applyAlignment="1">
      <alignment horizontal="center" vertical="top" wrapText="1"/>
    </xf>
    <xf numFmtId="49" fontId="4" fillId="0" borderId="19" xfId="0" applyNumberFormat="1" applyFont="1" applyBorder="1" applyAlignment="1">
      <alignment horizontal="center" vertical="top" wrapText="1"/>
    </xf>
    <xf numFmtId="3" fontId="2" fillId="4" borderId="21" xfId="0" applyNumberFormat="1" applyFont="1" applyFill="1" applyBorder="1" applyAlignment="1">
      <alignment horizontal="center" vertical="top" wrapText="1"/>
    </xf>
    <xf numFmtId="3" fontId="1" fillId="4" borderId="43" xfId="0" applyNumberFormat="1" applyFont="1" applyFill="1" applyBorder="1" applyAlignment="1">
      <alignment horizontal="center" vertical="top" wrapText="1"/>
    </xf>
    <xf numFmtId="164" fontId="1" fillId="4" borderId="43" xfId="0" applyNumberFormat="1" applyFont="1" applyFill="1" applyBorder="1" applyAlignment="1">
      <alignment horizontal="center" vertical="top" wrapText="1"/>
    </xf>
    <xf numFmtId="164" fontId="1" fillId="4" borderId="21" xfId="0" applyNumberFormat="1" applyFont="1" applyFill="1" applyBorder="1" applyAlignment="1">
      <alignment horizontal="center" vertical="top" wrapText="1"/>
    </xf>
    <xf numFmtId="49" fontId="1" fillId="4" borderId="47" xfId="0" applyNumberFormat="1" applyFont="1" applyFill="1" applyBorder="1" applyAlignment="1">
      <alignment vertical="top" wrapText="1"/>
    </xf>
    <xf numFmtId="49" fontId="1" fillId="4" borderId="46" xfId="0" applyNumberFormat="1" applyFont="1" applyFill="1" applyBorder="1" applyAlignment="1">
      <alignment horizontal="center" vertical="top"/>
    </xf>
    <xf numFmtId="49" fontId="1" fillId="4" borderId="47" xfId="0" applyNumberFormat="1" applyFont="1" applyFill="1" applyBorder="1" applyAlignment="1">
      <alignment horizontal="center" vertical="top"/>
    </xf>
    <xf numFmtId="49" fontId="1" fillId="4" borderId="4" xfId="0" applyNumberFormat="1" applyFont="1" applyFill="1" applyBorder="1" applyAlignment="1">
      <alignment horizontal="center" vertical="top" wrapText="1"/>
    </xf>
    <xf numFmtId="49" fontId="1" fillId="4" borderId="50" xfId="0" applyNumberFormat="1" applyFont="1" applyFill="1" applyBorder="1" applyAlignment="1">
      <alignment horizontal="center" vertical="top" wrapText="1"/>
    </xf>
    <xf numFmtId="164" fontId="3" fillId="4" borderId="33" xfId="0" applyNumberFormat="1" applyFont="1" applyFill="1" applyBorder="1" applyAlignment="1">
      <alignment horizontal="center" vertical="top" wrapText="1"/>
    </xf>
    <xf numFmtId="0" fontId="4" fillId="4" borderId="61" xfId="0" applyFont="1" applyFill="1" applyBorder="1" applyAlignment="1">
      <alignment horizontal="left" vertical="top" wrapText="1"/>
    </xf>
    <xf numFmtId="0" fontId="4" fillId="4" borderId="33" xfId="0" applyFont="1" applyFill="1" applyBorder="1" applyAlignment="1">
      <alignment horizontal="center" vertical="top" wrapText="1"/>
    </xf>
    <xf numFmtId="49" fontId="4" fillId="0" borderId="19" xfId="0" applyNumberFormat="1" applyFont="1" applyBorder="1" applyAlignment="1">
      <alignment vertical="top" wrapText="1"/>
    </xf>
    <xf numFmtId="164" fontId="5" fillId="4" borderId="34" xfId="0" applyNumberFormat="1" applyFont="1" applyFill="1" applyBorder="1" applyAlignment="1">
      <alignment horizontal="center" vertical="top" wrapText="1"/>
    </xf>
    <xf numFmtId="164" fontId="5" fillId="4" borderId="52" xfId="0" applyNumberFormat="1" applyFont="1" applyFill="1" applyBorder="1" applyAlignment="1">
      <alignment horizontal="center" vertical="top" wrapText="1"/>
    </xf>
    <xf numFmtId="3" fontId="2" fillId="4" borderId="59" xfId="0" applyNumberFormat="1" applyFont="1" applyFill="1" applyBorder="1" applyAlignment="1">
      <alignment horizontal="left" vertical="top" wrapText="1"/>
    </xf>
    <xf numFmtId="167" fontId="4" fillId="12" borderId="98" xfId="2" applyNumberFormat="1" applyFont="1" applyFill="1" applyBorder="1" applyAlignment="1">
      <alignment horizontal="left" vertical="top" wrapText="1"/>
    </xf>
    <xf numFmtId="167" fontId="4" fillId="12" borderId="129" xfId="2" applyNumberFormat="1" applyFont="1" applyFill="1" applyBorder="1" applyAlignment="1">
      <alignment horizontal="center" vertical="top"/>
    </xf>
    <xf numFmtId="164" fontId="1" fillId="4" borderId="18" xfId="0" applyNumberFormat="1" applyFont="1" applyFill="1" applyBorder="1" applyAlignment="1">
      <alignment horizontal="center" vertical="top"/>
    </xf>
    <xf numFmtId="164" fontId="1" fillId="4" borderId="31" xfId="0" applyNumberFormat="1" applyFont="1" applyFill="1" applyBorder="1" applyAlignment="1">
      <alignment horizontal="center" vertical="top"/>
    </xf>
    <xf numFmtId="164" fontId="1" fillId="4" borderId="59" xfId="0" applyNumberFormat="1" applyFont="1" applyFill="1" applyBorder="1" applyAlignment="1">
      <alignment horizontal="center" vertical="top"/>
    </xf>
    <xf numFmtId="164" fontId="1" fillId="4" borderId="42" xfId="0" applyNumberFormat="1" applyFont="1" applyFill="1" applyBorder="1" applyAlignment="1">
      <alignment horizontal="center" vertical="top"/>
    </xf>
    <xf numFmtId="164" fontId="1" fillId="4" borderId="39" xfId="0" applyNumberFormat="1" applyFont="1" applyFill="1" applyBorder="1" applyAlignment="1">
      <alignment horizontal="center" vertical="top"/>
    </xf>
    <xf numFmtId="3" fontId="5" fillId="0" borderId="64" xfId="0" applyNumberFormat="1" applyFont="1" applyBorder="1" applyAlignment="1">
      <alignment horizontal="center" vertical="top" wrapText="1"/>
    </xf>
    <xf numFmtId="3" fontId="4" fillId="4" borderId="18" xfId="0" applyNumberFormat="1" applyFont="1" applyFill="1" applyBorder="1" applyAlignment="1">
      <alignment horizontal="center" vertical="top" wrapText="1"/>
    </xf>
    <xf numFmtId="3" fontId="4" fillId="4" borderId="42" xfId="0" applyNumberFormat="1" applyFont="1" applyFill="1" applyBorder="1" applyAlignment="1">
      <alignment horizontal="center" vertical="top" wrapText="1"/>
    </xf>
    <xf numFmtId="3" fontId="6" fillId="0" borderId="18" xfId="0" applyNumberFormat="1" applyFont="1" applyFill="1" applyBorder="1" applyAlignment="1">
      <alignment horizontal="left" vertical="top" wrapText="1"/>
    </xf>
    <xf numFmtId="164" fontId="4" fillId="4" borderId="47" xfId="0" applyNumberFormat="1" applyFont="1" applyFill="1" applyBorder="1" applyAlignment="1">
      <alignment horizontal="center" vertical="top"/>
    </xf>
    <xf numFmtId="164" fontId="4" fillId="4" borderId="4" xfId="0" applyNumberFormat="1" applyFont="1" applyFill="1" applyBorder="1" applyAlignment="1">
      <alignment horizontal="center" vertical="top"/>
    </xf>
    <xf numFmtId="164" fontId="1" fillId="4" borderId="48" xfId="0" applyNumberFormat="1" applyFont="1" applyFill="1" applyBorder="1" applyAlignment="1">
      <alignment horizontal="center" vertical="top"/>
    </xf>
    <xf numFmtId="3" fontId="4" fillId="4" borderId="4" xfId="0" applyNumberFormat="1" applyFont="1" applyFill="1" applyBorder="1" applyAlignment="1">
      <alignment horizontal="left" vertical="top" wrapText="1"/>
    </xf>
    <xf numFmtId="164" fontId="4" fillId="0" borderId="4" xfId="0" applyNumberFormat="1" applyFont="1" applyBorder="1" applyAlignment="1">
      <alignment horizontal="center" vertical="top" wrapText="1"/>
    </xf>
    <xf numFmtId="164" fontId="4" fillId="0" borderId="50" xfId="0" applyNumberFormat="1" applyFont="1" applyBorder="1" applyAlignment="1">
      <alignment horizontal="center" vertical="top" wrapText="1"/>
    </xf>
    <xf numFmtId="49" fontId="4" fillId="3" borderId="4" xfId="0" applyNumberFormat="1" applyFont="1" applyFill="1" applyBorder="1" applyAlignment="1">
      <alignment horizontal="center" vertical="top" wrapText="1"/>
    </xf>
    <xf numFmtId="3" fontId="4" fillId="4" borderId="18" xfId="0" applyNumberFormat="1" applyFont="1" applyFill="1" applyBorder="1" applyAlignment="1">
      <alignment horizontal="left" vertical="top" wrapText="1"/>
    </xf>
    <xf numFmtId="3" fontId="1" fillId="4" borderId="17" xfId="0" applyNumberFormat="1" applyFont="1" applyFill="1" applyBorder="1" applyAlignment="1">
      <alignment horizontal="center" vertical="top" wrapText="1"/>
    </xf>
    <xf numFmtId="164" fontId="4" fillId="4" borderId="78" xfId="0" applyNumberFormat="1" applyFont="1" applyFill="1" applyBorder="1" applyAlignment="1">
      <alignment horizontal="center" vertical="top" wrapText="1"/>
    </xf>
    <xf numFmtId="164" fontId="4" fillId="4" borderId="34" xfId="0" applyNumberFormat="1" applyFont="1" applyFill="1" applyBorder="1" applyAlignment="1">
      <alignment horizontal="center" vertical="top" wrapText="1"/>
    </xf>
    <xf numFmtId="3" fontId="2" fillId="4" borderId="18" xfId="0" applyNumberFormat="1" applyFont="1" applyFill="1" applyBorder="1" applyAlignment="1">
      <alignment horizontal="left" vertical="top" wrapText="1"/>
    </xf>
    <xf numFmtId="3" fontId="1" fillId="0" borderId="0" xfId="0" applyNumberFormat="1" applyFont="1" applyFill="1" applyBorder="1" applyAlignment="1">
      <alignment horizontal="center" vertical="top" wrapText="1"/>
    </xf>
    <xf numFmtId="3" fontId="1" fillId="3" borderId="59" xfId="0" applyNumberFormat="1" applyFont="1" applyFill="1" applyBorder="1" applyAlignment="1">
      <alignment horizontal="left" vertical="top" wrapText="1"/>
    </xf>
    <xf numFmtId="3" fontId="5" fillId="4" borderId="18" xfId="0" applyNumberFormat="1" applyFont="1" applyFill="1" applyBorder="1" applyAlignment="1">
      <alignment horizontal="left" vertical="top" wrapText="1"/>
    </xf>
    <xf numFmtId="49" fontId="2" fillId="2" borderId="18" xfId="0" applyNumberFormat="1" applyFont="1" applyFill="1" applyBorder="1" applyAlignment="1">
      <alignment horizontal="center" vertical="top"/>
    </xf>
    <xf numFmtId="3" fontId="4" fillId="4" borderId="59" xfId="0" applyNumberFormat="1" applyFont="1" applyFill="1" applyBorder="1" applyAlignment="1">
      <alignment horizontal="left" vertical="top" wrapText="1"/>
    </xf>
    <xf numFmtId="3" fontId="4" fillId="4" borderId="19" xfId="0" applyNumberFormat="1" applyFont="1" applyFill="1" applyBorder="1" applyAlignment="1">
      <alignment horizontal="left" vertical="top" wrapText="1"/>
    </xf>
    <xf numFmtId="3" fontId="1" fillId="4" borderId="13" xfId="0" applyNumberFormat="1" applyFont="1" applyFill="1" applyBorder="1" applyAlignment="1">
      <alignment horizontal="left" vertical="top" wrapText="1"/>
    </xf>
    <xf numFmtId="3" fontId="1" fillId="4" borderId="19" xfId="0" applyNumberFormat="1" applyFont="1" applyFill="1" applyBorder="1" applyAlignment="1">
      <alignment horizontal="left" vertical="top" wrapText="1"/>
    </xf>
    <xf numFmtId="3" fontId="2" fillId="0" borderId="13" xfId="0" applyNumberFormat="1" applyFont="1" applyFill="1" applyBorder="1" applyAlignment="1">
      <alignment horizontal="center" vertical="top" textRotation="90" wrapText="1"/>
    </xf>
    <xf numFmtId="3" fontId="2" fillId="0" borderId="19" xfId="0" applyNumberFormat="1" applyFont="1" applyFill="1" applyBorder="1" applyAlignment="1">
      <alignment horizontal="center" vertical="top" textRotation="90" wrapText="1"/>
    </xf>
    <xf numFmtId="3" fontId="1" fillId="4" borderId="16" xfId="0" applyNumberFormat="1" applyFont="1" applyFill="1" applyBorder="1" applyAlignment="1">
      <alignment horizontal="left" vertical="top" wrapText="1"/>
    </xf>
    <xf numFmtId="3" fontId="1" fillId="4" borderId="56" xfId="0" applyNumberFormat="1" applyFont="1" applyFill="1" applyBorder="1" applyAlignment="1">
      <alignment horizontal="left" vertical="top" wrapText="1"/>
    </xf>
    <xf numFmtId="3" fontId="1" fillId="4" borderId="61" xfId="0" applyNumberFormat="1" applyFont="1" applyFill="1" applyBorder="1" applyAlignment="1">
      <alignment horizontal="left" vertical="top" wrapText="1"/>
    </xf>
    <xf numFmtId="3" fontId="1" fillId="4" borderId="62" xfId="0" applyNumberFormat="1" applyFont="1" applyFill="1" applyBorder="1" applyAlignment="1">
      <alignment horizontal="left" vertical="top" wrapText="1"/>
    </xf>
    <xf numFmtId="3" fontId="1" fillId="4" borderId="59" xfId="0" applyNumberFormat="1" applyFont="1" applyFill="1" applyBorder="1" applyAlignment="1">
      <alignment horizontal="left" vertical="top" wrapText="1"/>
    </xf>
    <xf numFmtId="3" fontId="1" fillId="4" borderId="42" xfId="0" applyNumberFormat="1" applyFont="1" applyFill="1" applyBorder="1" applyAlignment="1">
      <alignment horizontal="left" vertical="top" wrapText="1"/>
    </xf>
    <xf numFmtId="3" fontId="1" fillId="4" borderId="18" xfId="0" applyNumberFormat="1" applyFont="1" applyFill="1" applyBorder="1" applyAlignment="1">
      <alignment horizontal="left" vertical="top" wrapText="1"/>
    </xf>
    <xf numFmtId="3" fontId="1" fillId="0" borderId="0" xfId="0" applyNumberFormat="1" applyFont="1" applyFill="1" applyBorder="1" applyAlignment="1">
      <alignment horizontal="center" vertical="top" wrapText="1"/>
    </xf>
    <xf numFmtId="3" fontId="2" fillId="4" borderId="13" xfId="0" applyNumberFormat="1" applyFont="1" applyFill="1" applyBorder="1" applyAlignment="1">
      <alignment horizontal="left" vertical="top" wrapText="1"/>
    </xf>
    <xf numFmtId="3" fontId="4" fillId="4" borderId="18" xfId="0" applyNumberFormat="1" applyFont="1" applyFill="1" applyBorder="1" applyAlignment="1">
      <alignment horizontal="left" vertical="top" wrapText="1"/>
    </xf>
    <xf numFmtId="3" fontId="4" fillId="4" borderId="42" xfId="0" applyNumberFormat="1" applyFont="1" applyFill="1" applyBorder="1" applyAlignment="1">
      <alignment horizontal="left" vertical="top" wrapText="1"/>
    </xf>
    <xf numFmtId="3" fontId="5" fillId="4" borderId="59" xfId="0" applyNumberFormat="1" applyFont="1" applyFill="1" applyBorder="1" applyAlignment="1">
      <alignment horizontal="left" vertical="top" wrapText="1"/>
    </xf>
    <xf numFmtId="3" fontId="4" fillId="4" borderId="13" xfId="0" applyNumberFormat="1" applyFont="1" applyFill="1" applyBorder="1" applyAlignment="1">
      <alignment horizontal="left" vertical="top" wrapText="1"/>
    </xf>
    <xf numFmtId="3" fontId="2" fillId="0" borderId="78" xfId="0" applyNumberFormat="1" applyFont="1" applyFill="1" applyBorder="1" applyAlignment="1">
      <alignment horizontal="center" vertical="top" textRotation="90" wrapText="1"/>
    </xf>
    <xf numFmtId="3" fontId="2" fillId="0" borderId="75" xfId="0" applyNumberFormat="1" applyFont="1" applyFill="1" applyBorder="1" applyAlignment="1">
      <alignment horizontal="center" vertical="top" textRotation="90" wrapText="1"/>
    </xf>
    <xf numFmtId="3" fontId="2" fillId="4" borderId="64" xfId="0" applyNumberFormat="1" applyFont="1" applyFill="1" applyBorder="1" applyAlignment="1">
      <alignment horizontal="center" vertical="top"/>
    </xf>
    <xf numFmtId="3" fontId="2" fillId="0" borderId="67" xfId="0" applyNumberFormat="1" applyFont="1" applyFill="1" applyBorder="1" applyAlignment="1">
      <alignment horizontal="center" vertical="top" textRotation="90" wrapText="1"/>
    </xf>
    <xf numFmtId="164" fontId="1" fillId="4" borderId="18" xfId="0" applyNumberFormat="1" applyFont="1" applyFill="1" applyBorder="1" applyAlignment="1">
      <alignment horizontal="center" vertical="top"/>
    </xf>
    <xf numFmtId="49" fontId="2" fillId="3" borderId="32" xfId="0" applyNumberFormat="1" applyFont="1" applyFill="1" applyBorder="1" applyAlignment="1">
      <alignment horizontal="center" vertical="top"/>
    </xf>
    <xf numFmtId="3" fontId="2" fillId="0" borderId="32" xfId="0" applyNumberFormat="1" applyFont="1" applyFill="1" applyBorder="1" applyAlignment="1">
      <alignment horizontal="center" vertical="top"/>
    </xf>
    <xf numFmtId="3" fontId="4" fillId="4" borderId="31" xfId="0" applyNumberFormat="1" applyFont="1" applyFill="1" applyBorder="1" applyAlignment="1">
      <alignment horizontal="center" vertical="top"/>
    </xf>
    <xf numFmtId="3" fontId="5" fillId="0" borderId="67" xfId="0" applyNumberFormat="1" applyFont="1" applyFill="1" applyBorder="1" applyAlignment="1">
      <alignment horizontal="center" vertical="top" textRotation="90" wrapText="1"/>
    </xf>
    <xf numFmtId="3" fontId="4" fillId="4" borderId="61" xfId="0" applyNumberFormat="1" applyFont="1" applyFill="1" applyBorder="1" applyAlignment="1">
      <alignment horizontal="left" vertical="top" wrapText="1"/>
    </xf>
    <xf numFmtId="3" fontId="4" fillId="4" borderId="17" xfId="0" applyNumberFormat="1" applyFont="1" applyFill="1" applyBorder="1" applyAlignment="1">
      <alignment horizontal="left" vertical="top" wrapText="1"/>
    </xf>
    <xf numFmtId="3" fontId="4" fillId="4" borderId="17" xfId="0" applyNumberFormat="1" applyFont="1" applyFill="1" applyBorder="1" applyAlignment="1">
      <alignment horizontal="center" vertical="top"/>
    </xf>
    <xf numFmtId="3" fontId="5" fillId="4" borderId="42" xfId="0" applyNumberFormat="1" applyFont="1" applyFill="1" applyBorder="1" applyAlignment="1">
      <alignment horizontal="left" vertical="top" wrapText="1"/>
    </xf>
    <xf numFmtId="3" fontId="4" fillId="0" borderId="18" xfId="0" applyNumberFormat="1" applyFont="1" applyFill="1" applyBorder="1" applyAlignment="1">
      <alignment horizontal="center" vertical="top" wrapText="1"/>
    </xf>
    <xf numFmtId="3" fontId="4" fillId="4" borderId="0" xfId="0" applyNumberFormat="1" applyFont="1" applyFill="1" applyBorder="1" applyAlignment="1">
      <alignment horizontal="center" vertical="top" wrapText="1"/>
    </xf>
    <xf numFmtId="3" fontId="5" fillId="0" borderId="70" xfId="0" applyNumberFormat="1" applyFont="1" applyFill="1" applyBorder="1" applyAlignment="1">
      <alignment horizontal="center" vertical="top" wrapText="1"/>
    </xf>
    <xf numFmtId="3" fontId="4" fillId="4" borderId="74" xfId="0" applyNumberFormat="1" applyFont="1" applyFill="1" applyBorder="1" applyAlignment="1">
      <alignment horizontal="left" vertical="top" wrapText="1"/>
    </xf>
    <xf numFmtId="3" fontId="5" fillId="0" borderId="67" xfId="0" applyNumberFormat="1" applyFont="1" applyFill="1" applyBorder="1" applyAlignment="1">
      <alignment horizontal="center" vertical="top" textRotation="180" wrapText="1"/>
    </xf>
    <xf numFmtId="3" fontId="6" fillId="0" borderId="29" xfId="0" applyNumberFormat="1" applyFont="1" applyFill="1" applyBorder="1" applyAlignment="1">
      <alignment horizontal="left" vertical="top" wrapText="1"/>
    </xf>
    <xf numFmtId="3" fontId="5" fillId="0" borderId="80" xfId="0" applyNumberFormat="1" applyFont="1" applyFill="1" applyBorder="1" applyAlignment="1">
      <alignment horizontal="center" vertical="top" wrapText="1"/>
    </xf>
    <xf numFmtId="3" fontId="4" fillId="4" borderId="62" xfId="0" applyNumberFormat="1" applyFont="1" applyFill="1" applyBorder="1" applyAlignment="1">
      <alignment horizontal="left" vertical="top" wrapText="1"/>
    </xf>
    <xf numFmtId="3" fontId="4" fillId="0" borderId="43" xfId="0" applyNumberFormat="1" applyFont="1" applyBorder="1" applyAlignment="1">
      <alignment horizontal="right" wrapText="1"/>
    </xf>
    <xf numFmtId="3" fontId="1" fillId="0" borderId="65" xfId="0" applyNumberFormat="1" applyFont="1" applyBorder="1" applyAlignment="1">
      <alignment horizontal="center" vertical="top" wrapText="1"/>
    </xf>
    <xf numFmtId="3" fontId="4" fillId="4" borderId="16" xfId="0" applyNumberFormat="1" applyFont="1" applyFill="1" applyBorder="1" applyAlignment="1">
      <alignment horizontal="left" vertical="top" wrapText="1"/>
    </xf>
    <xf numFmtId="3" fontId="4" fillId="4" borderId="18" xfId="0" applyNumberFormat="1" applyFont="1" applyFill="1" applyBorder="1" applyAlignment="1">
      <alignment horizontal="center" vertical="top" wrapText="1"/>
    </xf>
    <xf numFmtId="49" fontId="2" fillId="8" borderId="40" xfId="0" applyNumberFormat="1" applyFont="1" applyFill="1" applyBorder="1" applyAlignment="1">
      <alignment horizontal="center" vertical="top"/>
    </xf>
    <xf numFmtId="3" fontId="4" fillId="4" borderId="13" xfId="0" applyNumberFormat="1" applyFont="1" applyFill="1" applyBorder="1" applyAlignment="1">
      <alignment horizontal="center" vertical="top" wrapText="1"/>
    </xf>
    <xf numFmtId="3" fontId="1" fillId="4" borderId="40" xfId="0" applyNumberFormat="1" applyFont="1" applyFill="1" applyBorder="1" applyAlignment="1">
      <alignment horizontal="center" vertical="top" wrapText="1"/>
    </xf>
    <xf numFmtId="164" fontId="1" fillId="4" borderId="40" xfId="0" applyNumberFormat="1" applyFont="1" applyFill="1" applyBorder="1" applyAlignment="1">
      <alignment horizontal="center" vertical="top"/>
    </xf>
    <xf numFmtId="49" fontId="2" fillId="8" borderId="17"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0" fontId="1" fillId="4" borderId="18" xfId="0" applyFont="1" applyFill="1" applyBorder="1" applyAlignment="1">
      <alignment horizontal="left" vertical="top" wrapText="1"/>
    </xf>
    <xf numFmtId="0" fontId="1" fillId="4" borderId="42" xfId="0" applyFont="1" applyFill="1" applyBorder="1" applyAlignment="1">
      <alignment horizontal="left" vertical="top" wrapText="1"/>
    </xf>
    <xf numFmtId="3" fontId="1" fillId="0" borderId="0" xfId="0" applyNumberFormat="1" applyFont="1" applyBorder="1" applyAlignment="1">
      <alignment horizontal="center" vertical="top" wrapText="1"/>
    </xf>
    <xf numFmtId="3" fontId="2" fillId="4" borderId="39" xfId="0" applyNumberFormat="1" applyFont="1" applyFill="1" applyBorder="1" applyAlignment="1">
      <alignment horizontal="center" vertical="top" wrapText="1"/>
    </xf>
    <xf numFmtId="3" fontId="2" fillId="4" borderId="60" xfId="0" applyNumberFormat="1" applyFont="1" applyFill="1" applyBorder="1" applyAlignment="1">
      <alignment horizontal="center" vertical="top" wrapText="1"/>
    </xf>
    <xf numFmtId="3" fontId="4" fillId="4" borderId="5" xfId="0" applyNumberFormat="1" applyFont="1" applyFill="1" applyBorder="1" applyAlignment="1">
      <alignment horizontal="center" vertical="top" wrapText="1"/>
    </xf>
    <xf numFmtId="3" fontId="1" fillId="4" borderId="39" xfId="0" applyNumberFormat="1" applyFont="1" applyFill="1" applyBorder="1" applyAlignment="1">
      <alignment horizontal="center" vertical="top"/>
    </xf>
    <xf numFmtId="3" fontId="1" fillId="4" borderId="60" xfId="0" applyNumberFormat="1" applyFont="1" applyFill="1" applyBorder="1" applyAlignment="1">
      <alignment horizontal="center" vertical="top"/>
    </xf>
    <xf numFmtId="3" fontId="4" fillId="0" borderId="8" xfId="0" applyNumberFormat="1" applyFont="1" applyFill="1" applyBorder="1" applyAlignment="1">
      <alignment horizontal="center" vertical="top" wrapText="1"/>
    </xf>
    <xf numFmtId="164" fontId="1" fillId="4" borderId="59" xfId="0" applyNumberFormat="1" applyFont="1" applyFill="1" applyBorder="1" applyAlignment="1">
      <alignment horizontal="center" vertical="top"/>
    </xf>
    <xf numFmtId="164" fontId="1" fillId="4" borderId="42" xfId="0" applyNumberFormat="1" applyFont="1" applyFill="1" applyBorder="1" applyAlignment="1">
      <alignment horizontal="center" vertical="top"/>
    </xf>
    <xf numFmtId="3" fontId="1" fillId="4" borderId="17" xfId="0" applyNumberFormat="1" applyFont="1" applyFill="1" applyBorder="1" applyAlignment="1">
      <alignment horizontal="left" vertical="top" wrapText="1"/>
    </xf>
    <xf numFmtId="3" fontId="4" fillId="0" borderId="8" xfId="0" applyNumberFormat="1" applyFont="1" applyBorder="1" applyAlignment="1">
      <alignment horizontal="center" vertical="top" wrapText="1"/>
    </xf>
    <xf numFmtId="165" fontId="4" fillId="0" borderId="8" xfId="0" applyNumberFormat="1" applyFont="1" applyBorder="1" applyAlignment="1">
      <alignment horizontal="center" vertical="top" wrapText="1"/>
    </xf>
    <xf numFmtId="165" fontId="4" fillId="4" borderId="6" xfId="0" applyNumberFormat="1" applyFont="1" applyFill="1" applyBorder="1" applyAlignment="1">
      <alignment horizontal="center" vertical="top" wrapText="1"/>
    </xf>
    <xf numFmtId="3" fontId="1" fillId="4" borderId="8" xfId="0" applyNumberFormat="1" applyFont="1" applyFill="1" applyBorder="1" applyAlignment="1">
      <alignment horizontal="center" vertical="top" wrapText="1"/>
    </xf>
    <xf numFmtId="164" fontId="1" fillId="4" borderId="39" xfId="0" applyNumberFormat="1" applyFont="1" applyFill="1" applyBorder="1" applyAlignment="1">
      <alignment horizontal="center" vertical="top"/>
    </xf>
    <xf numFmtId="164" fontId="1" fillId="4" borderId="60" xfId="0" applyNumberFormat="1" applyFont="1" applyFill="1" applyBorder="1" applyAlignment="1">
      <alignment horizontal="center" vertical="top"/>
    </xf>
    <xf numFmtId="3" fontId="4" fillId="0" borderId="49" xfId="0" applyNumberFormat="1" applyFont="1" applyFill="1" applyBorder="1" applyAlignment="1">
      <alignment horizontal="center" vertical="top" wrapText="1"/>
    </xf>
    <xf numFmtId="3" fontId="2" fillId="4" borderId="33" xfId="0" applyNumberFormat="1" applyFont="1" applyFill="1" applyBorder="1" applyAlignment="1">
      <alignment horizontal="center" vertical="top"/>
    </xf>
    <xf numFmtId="3" fontId="2" fillId="4" borderId="32" xfId="0" applyNumberFormat="1" applyFont="1" applyFill="1" applyBorder="1" applyAlignment="1">
      <alignment horizontal="center" vertical="top"/>
    </xf>
    <xf numFmtId="3" fontId="1" fillId="0" borderId="8" xfId="0" applyNumberFormat="1" applyFont="1" applyFill="1" applyBorder="1" applyAlignment="1">
      <alignment horizontal="center" vertical="top" wrapText="1"/>
    </xf>
    <xf numFmtId="3" fontId="4" fillId="0" borderId="10" xfId="0" applyNumberFormat="1" applyFont="1" applyBorder="1" applyAlignment="1">
      <alignment horizontal="center" vertical="top" wrapText="1"/>
    </xf>
    <xf numFmtId="164" fontId="1" fillId="4" borderId="37" xfId="0" applyNumberFormat="1" applyFont="1" applyFill="1" applyBorder="1" applyAlignment="1">
      <alignment horizontal="center" vertical="top"/>
    </xf>
    <xf numFmtId="164" fontId="1" fillId="4" borderId="41" xfId="0" applyNumberFormat="1" applyFont="1" applyFill="1" applyBorder="1" applyAlignment="1">
      <alignment horizontal="center" vertical="top"/>
    </xf>
    <xf numFmtId="3" fontId="1" fillId="0" borderId="0" xfId="0" applyNumberFormat="1" applyFont="1" applyBorder="1" applyAlignment="1">
      <alignment horizontal="left" vertical="top" wrapText="1"/>
    </xf>
    <xf numFmtId="3" fontId="4" fillId="4" borderId="39" xfId="0" applyNumberFormat="1" applyFont="1" applyFill="1" applyBorder="1" applyAlignment="1">
      <alignment horizontal="center" vertical="top" wrapText="1"/>
    </xf>
    <xf numFmtId="3" fontId="4" fillId="4" borderId="60" xfId="0" applyNumberFormat="1" applyFont="1" applyFill="1" applyBorder="1" applyAlignment="1">
      <alignment horizontal="center" vertical="top" wrapText="1"/>
    </xf>
    <xf numFmtId="3" fontId="4" fillId="4" borderId="59" xfId="0" applyNumberFormat="1" applyFont="1" applyFill="1" applyBorder="1" applyAlignment="1">
      <alignment horizontal="center" vertical="top" wrapText="1"/>
    </xf>
    <xf numFmtId="3" fontId="1" fillId="4" borderId="17" xfId="0" applyNumberFormat="1" applyFont="1" applyFill="1" applyBorder="1" applyAlignment="1">
      <alignment horizontal="center" vertical="top" wrapText="1"/>
    </xf>
    <xf numFmtId="3" fontId="1" fillId="4" borderId="59" xfId="0" applyNumberFormat="1" applyFont="1" applyFill="1" applyBorder="1" applyAlignment="1">
      <alignment horizontal="center" vertical="top" wrapText="1"/>
    </xf>
    <xf numFmtId="3" fontId="1" fillId="4" borderId="42" xfId="0" applyNumberFormat="1" applyFont="1" applyFill="1" applyBorder="1" applyAlignment="1">
      <alignment horizontal="center" vertical="top" wrapText="1"/>
    </xf>
    <xf numFmtId="164" fontId="1" fillId="4" borderId="40" xfId="0" applyNumberFormat="1" applyFont="1" applyFill="1" applyBorder="1" applyAlignment="1">
      <alignment horizontal="center" vertical="top" wrapText="1"/>
    </xf>
    <xf numFmtId="3" fontId="4" fillId="3" borderId="8" xfId="0" applyNumberFormat="1" applyFont="1" applyFill="1" applyBorder="1" applyAlignment="1">
      <alignment horizontal="center" vertical="top" wrapText="1"/>
    </xf>
    <xf numFmtId="3" fontId="1" fillId="0" borderId="31" xfId="0" applyNumberFormat="1" applyFont="1" applyBorder="1" applyAlignment="1">
      <alignment horizontal="center" vertical="top" wrapText="1"/>
    </xf>
    <xf numFmtId="3" fontId="1" fillId="0" borderId="21" xfId="0" applyNumberFormat="1" applyFont="1" applyBorder="1" applyAlignment="1">
      <alignment horizontal="center" vertical="top" wrapText="1"/>
    </xf>
    <xf numFmtId="3" fontId="4" fillId="0" borderId="43" xfId="0" applyNumberFormat="1" applyFont="1" applyBorder="1" applyAlignment="1">
      <alignment horizontal="center" wrapText="1"/>
    </xf>
    <xf numFmtId="3" fontId="1" fillId="4" borderId="7" xfId="0" applyNumberFormat="1" applyFont="1" applyFill="1" applyBorder="1" applyAlignment="1">
      <alignment horizontal="center" vertical="top" wrapText="1"/>
    </xf>
    <xf numFmtId="167" fontId="4" fillId="10" borderId="17" xfId="2" applyNumberFormat="1" applyFont="1" applyFill="1" applyBorder="1" applyAlignment="1">
      <alignment horizontal="left" vertical="top" wrapText="1"/>
    </xf>
    <xf numFmtId="3" fontId="4" fillId="4" borderId="8" xfId="0" applyNumberFormat="1" applyFont="1" applyFill="1" applyBorder="1" applyAlignment="1">
      <alignment horizontal="center" vertical="top" wrapText="1"/>
    </xf>
    <xf numFmtId="3" fontId="1" fillId="4" borderId="37" xfId="0" applyNumberFormat="1" applyFont="1" applyFill="1" applyBorder="1" applyAlignment="1">
      <alignment horizontal="center" vertical="top" wrapText="1"/>
    </xf>
    <xf numFmtId="3" fontId="1" fillId="0" borderId="49" xfId="0" applyNumberFormat="1" applyFont="1" applyFill="1" applyBorder="1" applyAlignment="1">
      <alignment horizontal="center" vertical="top" wrapText="1"/>
    </xf>
    <xf numFmtId="3" fontId="4" fillId="3" borderId="49" xfId="0" applyNumberFormat="1" applyFont="1" applyFill="1" applyBorder="1" applyAlignment="1">
      <alignment horizontal="center" vertical="top" wrapText="1"/>
    </xf>
    <xf numFmtId="3" fontId="1" fillId="0" borderId="10" xfId="0" applyNumberFormat="1" applyFont="1" applyFill="1" applyBorder="1" applyAlignment="1">
      <alignment horizontal="center" vertical="top" wrapText="1"/>
    </xf>
    <xf numFmtId="3" fontId="4" fillId="4" borderId="75" xfId="0" applyNumberFormat="1" applyFont="1" applyFill="1" applyBorder="1" applyAlignment="1">
      <alignment horizontal="center" vertical="top" wrapText="1"/>
    </xf>
    <xf numFmtId="0" fontId="32" fillId="0" borderId="0" xfId="0" applyFont="1" applyAlignment="1">
      <alignment vertical="center"/>
    </xf>
    <xf numFmtId="0" fontId="8" fillId="0" borderId="163" xfId="0" applyFont="1" applyBorder="1" applyAlignment="1">
      <alignment horizontal="center" vertical="center" wrapText="1"/>
    </xf>
    <xf numFmtId="0" fontId="8" fillId="0" borderId="164" xfId="0" applyFont="1" applyBorder="1" applyAlignment="1">
      <alignment vertical="center" wrapText="1"/>
    </xf>
    <xf numFmtId="0" fontId="8" fillId="0" borderId="168" xfId="0" applyFont="1" applyBorder="1" applyAlignment="1">
      <alignment horizontal="center" vertical="center" wrapText="1"/>
    </xf>
    <xf numFmtId="0" fontId="8" fillId="0" borderId="169" xfId="0" applyFont="1" applyBorder="1" applyAlignment="1">
      <alignment vertical="center" wrapText="1"/>
    </xf>
    <xf numFmtId="0" fontId="8" fillId="0" borderId="169" xfId="0" applyFont="1" applyBorder="1" applyAlignment="1">
      <alignment horizontal="center" vertical="center" wrapText="1"/>
    </xf>
    <xf numFmtId="0" fontId="8" fillId="0" borderId="166" xfId="0" applyFont="1" applyBorder="1" applyAlignment="1">
      <alignment horizontal="center" vertical="center" wrapText="1"/>
    </xf>
    <xf numFmtId="0" fontId="8" fillId="0" borderId="167" xfId="0" applyFont="1" applyBorder="1" applyAlignment="1">
      <alignment vertical="center" wrapText="1"/>
    </xf>
    <xf numFmtId="0" fontId="8" fillId="0" borderId="167" xfId="0" applyFont="1" applyBorder="1" applyAlignment="1">
      <alignment horizontal="center" vertical="center" wrapText="1"/>
    </xf>
    <xf numFmtId="0" fontId="8" fillId="0" borderId="167" xfId="0" applyFont="1" applyBorder="1" applyAlignment="1">
      <alignment horizontal="right" vertical="center" wrapText="1"/>
    </xf>
    <xf numFmtId="0" fontId="11" fillId="0" borderId="167" xfId="0" applyFont="1" applyBorder="1" applyAlignment="1">
      <alignment horizontal="center" vertical="center" wrapText="1"/>
    </xf>
    <xf numFmtId="0" fontId="11" fillId="0" borderId="167" xfId="0" applyFont="1" applyBorder="1" applyAlignment="1">
      <alignment horizontal="right" vertical="center" wrapText="1"/>
    </xf>
    <xf numFmtId="0" fontId="8" fillId="0" borderId="173" xfId="0" applyFont="1" applyBorder="1" applyAlignment="1">
      <alignment horizontal="center" vertical="center" wrapText="1"/>
    </xf>
    <xf numFmtId="0" fontId="8" fillId="0" borderId="174" xfId="0" applyFont="1" applyBorder="1" applyAlignment="1">
      <alignment vertical="center" wrapText="1"/>
    </xf>
    <xf numFmtId="0" fontId="8" fillId="0" borderId="174" xfId="0" applyFont="1" applyBorder="1" applyAlignment="1">
      <alignment horizontal="center" vertical="center" wrapText="1"/>
    </xf>
    <xf numFmtId="0" fontId="8" fillId="0" borderId="175" xfId="0" applyFont="1" applyBorder="1" applyAlignment="1">
      <alignment vertical="center" wrapText="1"/>
    </xf>
    <xf numFmtId="164" fontId="4" fillId="13" borderId="144" xfId="2" applyNumberFormat="1" applyFont="1" applyFill="1" applyBorder="1" applyAlignment="1">
      <alignment horizontal="center" vertical="top"/>
    </xf>
    <xf numFmtId="164" fontId="4" fillId="13" borderId="148" xfId="2" applyNumberFormat="1" applyFont="1" applyFill="1" applyBorder="1" applyAlignment="1">
      <alignment horizontal="center" vertical="top"/>
    </xf>
    <xf numFmtId="3" fontId="1" fillId="4" borderId="61" xfId="0" applyNumberFormat="1" applyFont="1" applyFill="1" applyBorder="1" applyAlignment="1">
      <alignment horizontal="left" vertical="top" wrapText="1"/>
    </xf>
    <xf numFmtId="3" fontId="1" fillId="4" borderId="62" xfId="0" applyNumberFormat="1" applyFont="1" applyFill="1" applyBorder="1" applyAlignment="1">
      <alignment horizontal="left" vertical="top" wrapText="1"/>
    </xf>
    <xf numFmtId="3" fontId="1" fillId="4" borderId="59" xfId="0" applyNumberFormat="1" applyFont="1" applyFill="1" applyBorder="1" applyAlignment="1">
      <alignment horizontal="center" vertical="top" wrapText="1"/>
    </xf>
    <xf numFmtId="49" fontId="5" fillId="8" borderId="41" xfId="0" applyNumberFormat="1" applyFont="1" applyFill="1" applyBorder="1" applyAlignment="1">
      <alignment vertical="top" wrapText="1"/>
    </xf>
    <xf numFmtId="49" fontId="5" fillId="2" borderId="42" xfId="0" applyNumberFormat="1" applyFont="1" applyFill="1" applyBorder="1" applyAlignment="1">
      <alignment vertical="top" wrapText="1"/>
    </xf>
    <xf numFmtId="49" fontId="5" fillId="3" borderId="53" xfId="0" applyNumberFormat="1" applyFont="1" applyFill="1" applyBorder="1" applyAlignment="1">
      <alignment vertical="top" wrapText="1"/>
    </xf>
    <xf numFmtId="3" fontId="5" fillId="0" borderId="63" xfId="0" applyNumberFormat="1" applyFont="1" applyFill="1" applyBorder="1" applyAlignment="1">
      <alignment horizontal="center" vertical="top" textRotation="90" wrapText="1"/>
    </xf>
    <xf numFmtId="3" fontId="5" fillId="0" borderId="53" xfId="0" applyNumberFormat="1" applyFont="1" applyBorder="1" applyAlignment="1">
      <alignment horizontal="center" vertical="top" wrapText="1"/>
    </xf>
    <xf numFmtId="49" fontId="2" fillId="8" borderId="41" xfId="0" applyNumberFormat="1" applyFont="1" applyFill="1" applyBorder="1" applyAlignment="1">
      <alignment horizontal="center" vertical="top" wrapText="1"/>
    </xf>
    <xf numFmtId="49" fontId="2" fillId="2" borderId="42" xfId="0" applyNumberFormat="1" applyFont="1" applyFill="1" applyBorder="1" applyAlignment="1">
      <alignment horizontal="center" vertical="top" wrapText="1"/>
    </xf>
    <xf numFmtId="49" fontId="2" fillId="3" borderId="53" xfId="0" applyNumberFormat="1" applyFont="1" applyFill="1" applyBorder="1" applyAlignment="1">
      <alignment horizontal="center" vertical="top" wrapText="1"/>
    </xf>
    <xf numFmtId="3" fontId="2" fillId="0" borderId="42" xfId="0" applyNumberFormat="1" applyFont="1" applyFill="1" applyBorder="1" applyAlignment="1">
      <alignment horizontal="center" vertical="top" textRotation="180" wrapText="1"/>
    </xf>
    <xf numFmtId="3" fontId="2" fillId="0" borderId="57" xfId="0" applyNumberFormat="1" applyFont="1" applyBorder="1" applyAlignment="1">
      <alignment horizontal="center" vertical="top" wrapText="1"/>
    </xf>
    <xf numFmtId="49" fontId="4" fillId="4" borderId="5" xfId="2" applyNumberFormat="1" applyFont="1" applyFill="1" applyBorder="1" applyAlignment="1">
      <alignment horizontal="center" vertical="top"/>
    </xf>
    <xf numFmtId="3" fontId="5" fillId="0" borderId="67" xfId="0" applyNumberFormat="1" applyFont="1" applyFill="1" applyBorder="1" applyAlignment="1">
      <alignment horizontal="center" vertical="top" textRotation="180" wrapText="1"/>
    </xf>
    <xf numFmtId="164" fontId="1" fillId="4" borderId="59" xfId="0" applyNumberFormat="1" applyFont="1" applyFill="1" applyBorder="1" applyAlignment="1">
      <alignment horizontal="center" vertical="top"/>
    </xf>
    <xf numFmtId="3" fontId="4" fillId="0" borderId="8" xfId="0" applyNumberFormat="1" applyFont="1" applyBorder="1" applyAlignment="1">
      <alignment horizontal="center" vertical="top" wrapText="1"/>
    </xf>
    <xf numFmtId="164" fontId="1" fillId="4" borderId="39" xfId="0" applyNumberFormat="1" applyFont="1" applyFill="1" applyBorder="1" applyAlignment="1">
      <alignment horizontal="center" vertical="top"/>
    </xf>
    <xf numFmtId="3" fontId="4" fillId="4" borderId="39" xfId="0" applyNumberFormat="1" applyFont="1" applyFill="1" applyBorder="1" applyAlignment="1">
      <alignment horizontal="center" vertical="top" wrapText="1"/>
    </xf>
    <xf numFmtId="3" fontId="4" fillId="4" borderId="60" xfId="0" applyNumberFormat="1" applyFont="1" applyFill="1" applyBorder="1" applyAlignment="1">
      <alignment horizontal="center" vertical="top" wrapText="1"/>
    </xf>
    <xf numFmtId="3" fontId="5" fillId="4" borderId="66" xfId="0" applyNumberFormat="1" applyFont="1" applyFill="1" applyBorder="1" applyAlignment="1">
      <alignment horizontal="left" vertical="top" wrapText="1"/>
    </xf>
    <xf numFmtId="164" fontId="1" fillId="4" borderId="42" xfId="0" applyNumberFormat="1" applyFont="1" applyFill="1" applyBorder="1" applyAlignment="1">
      <alignment horizontal="center" vertical="top"/>
    </xf>
    <xf numFmtId="164" fontId="1" fillId="4" borderId="41" xfId="0" applyNumberFormat="1" applyFont="1" applyFill="1" applyBorder="1" applyAlignment="1">
      <alignment horizontal="center" vertical="top"/>
    </xf>
    <xf numFmtId="164" fontId="1" fillId="4" borderId="18"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4" fillId="0" borderId="65" xfId="0" applyNumberFormat="1" applyFont="1" applyBorder="1" applyAlignment="1">
      <alignment horizontal="left" vertical="top"/>
    </xf>
    <xf numFmtId="3" fontId="4" fillId="0" borderId="34" xfId="0" applyNumberFormat="1" applyFont="1" applyBorder="1" applyAlignment="1">
      <alignment horizontal="left" vertical="top"/>
    </xf>
    <xf numFmtId="3" fontId="4" fillId="0" borderId="26" xfId="0" applyNumberFormat="1" applyFont="1" applyBorder="1" applyAlignment="1">
      <alignment horizontal="left" vertical="top"/>
    </xf>
    <xf numFmtId="3" fontId="1" fillId="3" borderId="47" xfId="0" applyNumberFormat="1" applyFont="1" applyFill="1" applyBorder="1" applyAlignment="1">
      <alignment horizontal="left" vertical="top" wrapText="1"/>
    </xf>
    <xf numFmtId="3" fontId="1" fillId="3" borderId="45" xfId="0" applyNumberFormat="1" applyFont="1" applyFill="1" applyBorder="1" applyAlignment="1">
      <alignment horizontal="left" vertical="top" wrapText="1"/>
    </xf>
    <xf numFmtId="3" fontId="2" fillId="5" borderId="12" xfId="0" applyNumberFormat="1" applyFont="1" applyFill="1" applyBorder="1" applyAlignment="1">
      <alignment horizontal="right" vertical="top" wrapText="1"/>
    </xf>
    <xf numFmtId="3" fontId="2" fillId="5" borderId="54" xfId="0" applyNumberFormat="1" applyFont="1" applyFill="1" applyBorder="1" applyAlignment="1">
      <alignment horizontal="right" vertical="top" wrapText="1"/>
    </xf>
    <xf numFmtId="3" fontId="1" fillId="0" borderId="0" xfId="0" applyNumberFormat="1" applyFont="1" applyBorder="1" applyAlignment="1">
      <alignment horizontal="center" vertical="top"/>
    </xf>
    <xf numFmtId="3" fontId="1" fillId="0" borderId="65" xfId="0" applyNumberFormat="1" applyFont="1" applyBorder="1" applyAlignment="1">
      <alignment horizontal="left" vertical="top" wrapText="1"/>
    </xf>
    <xf numFmtId="3" fontId="1" fillId="0" borderId="34" xfId="0" applyNumberFormat="1" applyFont="1" applyBorder="1" applyAlignment="1">
      <alignment horizontal="left" vertical="top" wrapText="1"/>
    </xf>
    <xf numFmtId="3" fontId="1" fillId="0" borderId="26" xfId="0" applyNumberFormat="1" applyFont="1" applyBorder="1" applyAlignment="1">
      <alignment horizontal="left" vertical="top" wrapText="1"/>
    </xf>
    <xf numFmtId="3" fontId="1" fillId="0" borderId="36" xfId="0" applyNumberFormat="1" applyFont="1" applyBorder="1" applyAlignment="1">
      <alignment horizontal="left" vertical="top" wrapText="1"/>
    </xf>
    <xf numFmtId="3" fontId="1" fillId="0" borderId="66" xfId="0" applyNumberFormat="1" applyFont="1" applyBorder="1" applyAlignment="1">
      <alignment horizontal="left" vertical="top" wrapText="1"/>
    </xf>
    <xf numFmtId="3" fontId="1" fillId="0" borderId="51" xfId="0" applyNumberFormat="1" applyFont="1" applyBorder="1" applyAlignment="1">
      <alignment horizontal="left" vertical="top" wrapText="1"/>
    </xf>
    <xf numFmtId="3" fontId="1" fillId="0" borderId="61" xfId="0" applyNumberFormat="1" applyFont="1" applyBorder="1" applyAlignment="1">
      <alignment horizontal="left" vertical="top" wrapText="1"/>
    </xf>
    <xf numFmtId="3" fontId="1" fillId="0" borderId="27" xfId="0" applyNumberFormat="1" applyFont="1" applyBorder="1" applyAlignment="1">
      <alignment horizontal="left" vertical="top" wrapText="1"/>
    </xf>
    <xf numFmtId="3" fontId="1" fillId="0" borderId="28" xfId="0" applyNumberFormat="1" applyFont="1" applyBorder="1" applyAlignment="1">
      <alignment horizontal="left" vertical="top" wrapText="1"/>
    </xf>
    <xf numFmtId="3" fontId="1" fillId="0" borderId="47" xfId="0" applyNumberFormat="1" applyFont="1" applyBorder="1" applyAlignment="1">
      <alignment horizontal="left" vertical="top" wrapText="1"/>
    </xf>
    <xf numFmtId="3" fontId="1" fillId="0" borderId="45" xfId="0" applyNumberFormat="1" applyFont="1" applyBorder="1" applyAlignment="1">
      <alignment horizontal="left" vertical="top" wrapText="1"/>
    </xf>
    <xf numFmtId="3" fontId="1" fillId="0" borderId="50" xfId="0" applyNumberFormat="1" applyFont="1" applyBorder="1" applyAlignment="1">
      <alignment horizontal="left" vertical="top" wrapText="1"/>
    </xf>
    <xf numFmtId="3" fontId="2" fillId="7" borderId="12" xfId="0" applyNumberFormat="1" applyFont="1" applyFill="1" applyBorder="1" applyAlignment="1">
      <alignment horizontal="right" vertical="top" wrapText="1"/>
    </xf>
    <xf numFmtId="3" fontId="2" fillId="7" borderId="54" xfId="0" applyNumberFormat="1" applyFont="1" applyFill="1" applyBorder="1" applyAlignment="1">
      <alignment horizontal="right" vertical="top" wrapText="1"/>
    </xf>
    <xf numFmtId="3" fontId="1" fillId="3" borderId="37" xfId="0" applyNumberFormat="1" applyFont="1" applyFill="1" applyBorder="1" applyAlignment="1">
      <alignment horizontal="left" vertical="top" wrapText="1"/>
    </xf>
    <xf numFmtId="3" fontId="1" fillId="3" borderId="59" xfId="0" applyNumberFormat="1" applyFont="1" applyFill="1" applyBorder="1" applyAlignment="1">
      <alignment horizontal="left" vertical="top" wrapText="1"/>
    </xf>
    <xf numFmtId="3" fontId="1" fillId="3" borderId="33" xfId="0" applyNumberFormat="1" applyFont="1" applyFill="1" applyBorder="1" applyAlignment="1">
      <alignment horizontal="left" vertical="top" wrapText="1"/>
    </xf>
    <xf numFmtId="3" fontId="2" fillId="0" borderId="12" xfId="0" applyNumberFormat="1" applyFont="1" applyBorder="1" applyAlignment="1">
      <alignment horizontal="center" vertical="center" wrapText="1"/>
    </xf>
    <xf numFmtId="3" fontId="2" fillId="0" borderId="54" xfId="0" applyNumberFormat="1" applyFont="1" applyBorder="1" applyAlignment="1">
      <alignment horizontal="center" vertical="center" wrapText="1"/>
    </xf>
    <xf numFmtId="3" fontId="2" fillId="7" borderId="74" xfId="0" applyNumberFormat="1" applyFont="1" applyFill="1" applyBorder="1" applyAlignment="1">
      <alignment horizontal="right" vertical="top" wrapText="1"/>
    </xf>
    <xf numFmtId="3" fontId="2" fillId="7" borderId="58" xfId="0" applyNumberFormat="1" applyFont="1" applyFill="1" applyBorder="1" applyAlignment="1">
      <alignment horizontal="right" vertical="top" wrapText="1"/>
    </xf>
    <xf numFmtId="3" fontId="2" fillId="8" borderId="54" xfId="0" applyNumberFormat="1" applyFont="1" applyFill="1" applyBorder="1" applyAlignment="1">
      <alignment horizontal="right" vertical="top"/>
    </xf>
    <xf numFmtId="3" fontId="2" fillId="8" borderId="12" xfId="0" applyNumberFormat="1" applyFont="1" applyFill="1" applyBorder="1" applyAlignment="1">
      <alignment horizontal="center" vertical="top"/>
    </xf>
    <xf numFmtId="3" fontId="2" fillId="8" borderId="54" xfId="0" applyNumberFormat="1" applyFont="1" applyFill="1" applyBorder="1" applyAlignment="1">
      <alignment horizontal="center" vertical="top"/>
    </xf>
    <xf numFmtId="3" fontId="2" fillId="8" borderId="72" xfId="0" applyNumberFormat="1" applyFont="1" applyFill="1" applyBorder="1" applyAlignment="1">
      <alignment horizontal="center" vertical="top"/>
    </xf>
    <xf numFmtId="3" fontId="2" fillId="7" borderId="54" xfId="0" applyNumberFormat="1" applyFont="1" applyFill="1" applyBorder="1" applyAlignment="1">
      <alignment horizontal="right" vertical="top"/>
    </xf>
    <xf numFmtId="3" fontId="2" fillId="7" borderId="56" xfId="0" applyNumberFormat="1" applyFont="1" applyFill="1" applyBorder="1" applyAlignment="1">
      <alignment horizontal="center" vertical="top"/>
    </xf>
    <xf numFmtId="3" fontId="2" fillId="7" borderId="43" xfId="0" applyNumberFormat="1" applyFont="1" applyFill="1" applyBorder="1" applyAlignment="1">
      <alignment horizontal="center" vertical="top"/>
    </xf>
    <xf numFmtId="3" fontId="2" fillId="7" borderId="69" xfId="0" applyNumberFormat="1" applyFont="1" applyFill="1" applyBorder="1" applyAlignment="1">
      <alignment horizontal="center" vertical="top"/>
    </xf>
    <xf numFmtId="3" fontId="4" fillId="3" borderId="0" xfId="0" applyNumberFormat="1" applyFont="1" applyFill="1" applyBorder="1" applyAlignment="1">
      <alignment horizontal="left" vertical="top" wrapText="1"/>
    </xf>
    <xf numFmtId="3" fontId="4" fillId="0" borderId="0" xfId="0" applyNumberFormat="1" applyFont="1" applyAlignment="1">
      <alignment vertical="top"/>
    </xf>
    <xf numFmtId="3" fontId="2" fillId="0" borderId="43" xfId="0" applyNumberFormat="1" applyFont="1" applyFill="1" applyBorder="1" applyAlignment="1">
      <alignment horizontal="center" wrapText="1"/>
    </xf>
    <xf numFmtId="3" fontId="1" fillId="0" borderId="6" xfId="0" applyNumberFormat="1" applyFont="1" applyBorder="1" applyAlignment="1">
      <alignment horizontal="left" vertical="top" wrapText="1"/>
    </xf>
    <xf numFmtId="3" fontId="1" fillId="0" borderId="5" xfId="0" applyNumberFormat="1" applyFont="1" applyBorder="1" applyAlignment="1">
      <alignment horizontal="left" vertical="top" wrapText="1"/>
    </xf>
    <xf numFmtId="0" fontId="14" fillId="4" borderId="18" xfId="0" applyFont="1" applyFill="1" applyBorder="1" applyAlignment="1">
      <alignment horizontal="left" vertical="top" wrapText="1"/>
    </xf>
    <xf numFmtId="0" fontId="14" fillId="4" borderId="19" xfId="0" applyFont="1" applyFill="1" applyBorder="1" applyAlignment="1">
      <alignment horizontal="left" vertical="top" wrapText="1"/>
    </xf>
    <xf numFmtId="3" fontId="1" fillId="0" borderId="8" xfId="0" applyNumberFormat="1" applyFont="1" applyBorder="1" applyAlignment="1">
      <alignment horizontal="left" vertical="top" wrapText="1"/>
    </xf>
    <xf numFmtId="3" fontId="1" fillId="0" borderId="49" xfId="0" applyNumberFormat="1" applyFont="1" applyBorder="1" applyAlignment="1">
      <alignment horizontal="left" vertical="top" wrapText="1"/>
    </xf>
    <xf numFmtId="0" fontId="1" fillId="4" borderId="17" xfId="0" applyFont="1" applyFill="1" applyBorder="1" applyAlignment="1">
      <alignment horizontal="left" vertical="top" wrapText="1"/>
    </xf>
    <xf numFmtId="0" fontId="1" fillId="4" borderId="56" xfId="0" applyFont="1" applyFill="1" applyBorder="1" applyAlignment="1">
      <alignment horizontal="left" vertical="top" wrapText="1"/>
    </xf>
    <xf numFmtId="3" fontId="2" fillId="2" borderId="14" xfId="0" applyNumberFormat="1" applyFont="1" applyFill="1" applyBorder="1" applyAlignment="1">
      <alignment horizontal="right" vertical="top"/>
    </xf>
    <xf numFmtId="3" fontId="2" fillId="2" borderId="54" xfId="0" applyNumberFormat="1" applyFont="1" applyFill="1" applyBorder="1" applyAlignment="1">
      <alignment horizontal="right" vertical="top"/>
    </xf>
    <xf numFmtId="3" fontId="2" fillId="2" borderId="12" xfId="0" applyNumberFormat="1" applyFont="1" applyFill="1" applyBorder="1" applyAlignment="1">
      <alignment horizontal="center" vertical="top"/>
    </xf>
    <xf numFmtId="3" fontId="2" fillId="2" borderId="54" xfId="0" applyNumberFormat="1" applyFont="1" applyFill="1" applyBorder="1" applyAlignment="1">
      <alignment horizontal="center" vertical="top"/>
    </xf>
    <xf numFmtId="3" fontId="2" fillId="2" borderId="72" xfId="0" applyNumberFormat="1" applyFont="1" applyFill="1" applyBorder="1" applyAlignment="1">
      <alignment horizontal="center" vertical="top"/>
    </xf>
    <xf numFmtId="3" fontId="14" fillId="4" borderId="13" xfId="0" applyNumberFormat="1" applyFont="1" applyFill="1" applyBorder="1" applyAlignment="1">
      <alignment horizontal="left" vertical="top" wrapText="1"/>
    </xf>
    <xf numFmtId="3" fontId="14" fillId="4" borderId="18" xfId="0" applyNumberFormat="1" applyFont="1" applyFill="1" applyBorder="1" applyAlignment="1">
      <alignment horizontal="left" vertical="top" wrapText="1"/>
    </xf>
    <xf numFmtId="3" fontId="14" fillId="4" borderId="19" xfId="0" applyNumberFormat="1" applyFont="1" applyFill="1" applyBorder="1" applyAlignment="1">
      <alignment horizontal="left" vertical="top" wrapText="1"/>
    </xf>
    <xf numFmtId="3" fontId="4" fillId="4" borderId="10" xfId="0" applyNumberFormat="1" applyFont="1" applyFill="1" applyBorder="1" applyAlignment="1">
      <alignment horizontal="left" vertical="top" wrapText="1"/>
    </xf>
    <xf numFmtId="3" fontId="4" fillId="4" borderId="8" xfId="0" applyNumberFormat="1" applyFont="1" applyFill="1" applyBorder="1" applyAlignment="1">
      <alignment horizontal="left" vertical="top" wrapText="1"/>
    </xf>
    <xf numFmtId="3" fontId="4" fillId="4" borderId="49" xfId="0" applyNumberFormat="1" applyFont="1" applyFill="1" applyBorder="1" applyAlignment="1">
      <alignment horizontal="left" vertical="top" wrapText="1"/>
    </xf>
    <xf numFmtId="3" fontId="5" fillId="4" borderId="13" xfId="0" applyNumberFormat="1" applyFont="1" applyFill="1" applyBorder="1" applyAlignment="1">
      <alignment horizontal="left" vertical="top" wrapText="1"/>
    </xf>
    <xf numFmtId="3" fontId="5" fillId="4" borderId="18" xfId="0" applyNumberFormat="1" applyFont="1" applyFill="1" applyBorder="1" applyAlignment="1">
      <alignment horizontal="left" vertical="top" wrapText="1"/>
    </xf>
    <xf numFmtId="49" fontId="2" fillId="2" borderId="18" xfId="0" applyNumberFormat="1" applyFont="1" applyFill="1" applyBorder="1" applyAlignment="1">
      <alignment horizontal="center" vertical="top"/>
    </xf>
    <xf numFmtId="0" fontId="14" fillId="4" borderId="59" xfId="0" applyFont="1" applyFill="1" applyBorder="1" applyAlignment="1">
      <alignment horizontal="left" vertical="top" wrapText="1"/>
    </xf>
    <xf numFmtId="0" fontId="14" fillId="4" borderId="42" xfId="0" applyFont="1" applyFill="1" applyBorder="1" applyAlignment="1">
      <alignment horizontal="left" vertical="top" wrapText="1"/>
    </xf>
    <xf numFmtId="3" fontId="4" fillId="4" borderId="59" xfId="0" applyNumberFormat="1" applyFont="1" applyFill="1" applyBorder="1" applyAlignment="1">
      <alignment horizontal="left" vertical="top" wrapText="1"/>
    </xf>
    <xf numFmtId="3" fontId="4" fillId="4" borderId="19" xfId="0" applyNumberFormat="1" applyFont="1" applyFill="1" applyBorder="1" applyAlignment="1">
      <alignment horizontal="left" vertical="top" wrapText="1"/>
    </xf>
    <xf numFmtId="3" fontId="1" fillId="4" borderId="6" xfId="0" applyNumberFormat="1" applyFont="1" applyFill="1" applyBorder="1" applyAlignment="1">
      <alignment horizontal="left" vertical="top" wrapText="1"/>
    </xf>
    <xf numFmtId="3" fontId="1" fillId="4" borderId="49" xfId="0" applyNumberFormat="1" applyFont="1" applyFill="1" applyBorder="1" applyAlignment="1">
      <alignment horizontal="left" vertical="top" wrapText="1"/>
    </xf>
    <xf numFmtId="49" fontId="2" fillId="8" borderId="16" xfId="0" applyNumberFormat="1" applyFont="1" applyFill="1" applyBorder="1" applyAlignment="1">
      <alignment horizontal="center" vertical="top"/>
    </xf>
    <xf numFmtId="49" fontId="2" fillId="8" borderId="56" xfId="0" applyNumberFormat="1" applyFont="1" applyFill="1" applyBorder="1" applyAlignment="1">
      <alignment horizontal="center" vertical="top"/>
    </xf>
    <xf numFmtId="49" fontId="2" fillId="2" borderId="29" xfId="0" applyNumberFormat="1" applyFont="1" applyFill="1" applyBorder="1" applyAlignment="1">
      <alignment horizontal="center" vertical="top"/>
    </xf>
    <xf numFmtId="49" fontId="2" fillId="2" borderId="4" xfId="0" applyNumberFormat="1" applyFont="1" applyFill="1" applyBorder="1" applyAlignment="1">
      <alignment horizontal="center" vertical="top"/>
    </xf>
    <xf numFmtId="3" fontId="1" fillId="4" borderId="13" xfId="0" applyNumberFormat="1" applyFont="1" applyFill="1" applyBorder="1" applyAlignment="1">
      <alignment horizontal="left" vertical="top" wrapText="1"/>
    </xf>
    <xf numFmtId="3" fontId="1" fillId="4" borderId="19" xfId="0" applyNumberFormat="1" applyFont="1" applyFill="1" applyBorder="1" applyAlignment="1">
      <alignment horizontal="left" vertical="top" wrapText="1"/>
    </xf>
    <xf numFmtId="3" fontId="2" fillId="0" borderId="13" xfId="0" applyNumberFormat="1" applyFont="1" applyFill="1" applyBorder="1" applyAlignment="1">
      <alignment horizontal="center" vertical="top" textRotation="90" wrapText="1"/>
    </xf>
    <xf numFmtId="3" fontId="2" fillId="0" borderId="19" xfId="0" applyNumberFormat="1" applyFont="1" applyFill="1" applyBorder="1" applyAlignment="1">
      <alignment horizontal="center" vertical="top" textRotation="90" wrapText="1"/>
    </xf>
    <xf numFmtId="3" fontId="2" fillId="0" borderId="3" xfId="0" applyNumberFormat="1" applyFont="1" applyFill="1" applyBorder="1" applyAlignment="1">
      <alignment horizontal="center" vertical="top"/>
    </xf>
    <xf numFmtId="3" fontId="2" fillId="0" borderId="43" xfId="0" applyNumberFormat="1" applyFont="1" applyFill="1" applyBorder="1" applyAlignment="1">
      <alignment horizontal="center" vertical="top"/>
    </xf>
    <xf numFmtId="3" fontId="1" fillId="4" borderId="16" xfId="0" applyNumberFormat="1" applyFont="1" applyFill="1" applyBorder="1" applyAlignment="1">
      <alignment horizontal="left" vertical="top" wrapText="1"/>
    </xf>
    <xf numFmtId="3" fontId="1" fillId="4" borderId="56" xfId="0" applyNumberFormat="1" applyFont="1" applyFill="1" applyBorder="1" applyAlignment="1">
      <alignment horizontal="left" vertical="top" wrapText="1"/>
    </xf>
    <xf numFmtId="3" fontId="1" fillId="4" borderId="61" xfId="0" applyNumberFormat="1" applyFont="1" applyFill="1" applyBorder="1" applyAlignment="1">
      <alignment horizontal="left" vertical="top" wrapText="1"/>
    </xf>
    <xf numFmtId="3" fontId="1" fillId="4" borderId="62" xfId="0" applyNumberFormat="1" applyFont="1" applyFill="1" applyBorder="1" applyAlignment="1">
      <alignment horizontal="left" vertical="top" wrapText="1"/>
    </xf>
    <xf numFmtId="3" fontId="1" fillId="4" borderId="8" xfId="0" applyNumberFormat="1" applyFont="1" applyFill="1" applyBorder="1" applyAlignment="1">
      <alignment horizontal="left" vertical="top" wrapText="1"/>
    </xf>
    <xf numFmtId="3" fontId="1" fillId="4" borderId="5" xfId="0" applyNumberFormat="1" applyFont="1" applyFill="1" applyBorder="1" applyAlignment="1">
      <alignment horizontal="left" vertical="top" wrapText="1"/>
    </xf>
    <xf numFmtId="3" fontId="1" fillId="4" borderId="59" xfId="0" applyNumberFormat="1" applyFont="1" applyFill="1" applyBorder="1" applyAlignment="1">
      <alignment horizontal="left" vertical="top" wrapText="1"/>
    </xf>
    <xf numFmtId="3" fontId="1" fillId="4" borderId="42" xfId="0" applyNumberFormat="1" applyFont="1" applyFill="1" applyBorder="1" applyAlignment="1">
      <alignment horizontal="left" vertical="top" wrapText="1"/>
    </xf>
    <xf numFmtId="3" fontId="2" fillId="0" borderId="59" xfId="0" applyNumberFormat="1" applyFont="1" applyFill="1" applyBorder="1" applyAlignment="1">
      <alignment horizontal="center" vertical="center" textRotation="90" wrapText="1"/>
    </xf>
    <xf numFmtId="3" fontId="2" fillId="0" borderId="42" xfId="0" applyNumberFormat="1" applyFont="1" applyFill="1" applyBorder="1" applyAlignment="1">
      <alignment horizontal="center" vertical="center" textRotation="90" wrapText="1"/>
    </xf>
    <xf numFmtId="3" fontId="2" fillId="2" borderId="68" xfId="0" applyNumberFormat="1" applyFont="1" applyFill="1" applyBorder="1" applyAlignment="1">
      <alignment horizontal="right" vertical="top"/>
    </xf>
    <xf numFmtId="3" fontId="2" fillId="2" borderId="43" xfId="0" applyNumberFormat="1" applyFont="1" applyFill="1" applyBorder="1" applyAlignment="1">
      <alignment horizontal="right" vertical="top"/>
    </xf>
    <xf numFmtId="3" fontId="2" fillId="2" borderId="54" xfId="0" applyNumberFormat="1" applyFont="1" applyFill="1" applyBorder="1" applyAlignment="1">
      <alignment horizontal="left" vertical="top" wrapText="1"/>
    </xf>
    <xf numFmtId="3" fontId="2" fillId="2" borderId="72" xfId="0" applyNumberFormat="1" applyFont="1" applyFill="1" applyBorder="1" applyAlignment="1">
      <alignment horizontal="left" vertical="top" wrapText="1"/>
    </xf>
    <xf numFmtId="3" fontId="2" fillId="3" borderId="13" xfId="0" applyNumberFormat="1" applyFont="1" applyFill="1" applyBorder="1" applyAlignment="1">
      <alignment horizontal="left" vertical="top" wrapText="1"/>
    </xf>
    <xf numFmtId="3" fontId="2" fillId="3" borderId="18" xfId="0" applyNumberFormat="1" applyFont="1" applyFill="1" applyBorder="1" applyAlignment="1">
      <alignment horizontal="left" vertical="top" wrapText="1"/>
    </xf>
    <xf numFmtId="3" fontId="2" fillId="3" borderId="42" xfId="0" applyNumberFormat="1" applyFont="1" applyFill="1" applyBorder="1" applyAlignment="1">
      <alignment horizontal="left" vertical="top" wrapText="1"/>
    </xf>
    <xf numFmtId="3" fontId="2" fillId="2" borderId="14" xfId="0" applyNumberFormat="1" applyFont="1" applyFill="1" applyBorder="1" applyAlignment="1">
      <alignment horizontal="left" vertical="top"/>
    </xf>
    <xf numFmtId="3" fontId="2" fillId="2" borderId="54" xfId="0" applyNumberFormat="1" applyFont="1" applyFill="1" applyBorder="1" applyAlignment="1">
      <alignment horizontal="left" vertical="top"/>
    </xf>
    <xf numFmtId="3" fontId="2" fillId="2" borderId="72" xfId="0" applyNumberFormat="1" applyFont="1" applyFill="1" applyBorder="1" applyAlignment="1">
      <alignment horizontal="left" vertical="top"/>
    </xf>
    <xf numFmtId="3" fontId="1" fillId="4" borderId="18" xfId="0" applyNumberFormat="1" applyFont="1" applyFill="1" applyBorder="1" applyAlignment="1">
      <alignment horizontal="left" vertical="top" wrapText="1"/>
    </xf>
    <xf numFmtId="3" fontId="1" fillId="0" borderId="0" xfId="0" applyNumberFormat="1" applyFont="1" applyFill="1" applyBorder="1" applyAlignment="1">
      <alignment horizontal="center" vertical="top" wrapText="1"/>
    </xf>
    <xf numFmtId="3" fontId="14" fillId="4" borderId="10" xfId="0" applyNumberFormat="1" applyFont="1" applyFill="1" applyBorder="1" applyAlignment="1">
      <alignment horizontal="left" vertical="top" wrapText="1"/>
    </xf>
    <xf numFmtId="3" fontId="14" fillId="4" borderId="8" xfId="0" applyNumberFormat="1" applyFont="1" applyFill="1" applyBorder="1" applyAlignment="1">
      <alignment horizontal="left" vertical="top" wrapText="1"/>
    </xf>
    <xf numFmtId="3" fontId="14" fillId="4" borderId="5" xfId="0" applyNumberFormat="1" applyFont="1" applyFill="1" applyBorder="1" applyAlignment="1">
      <alignment horizontal="left" vertical="top" wrapText="1"/>
    </xf>
    <xf numFmtId="3" fontId="18" fillId="4" borderId="59" xfId="0" applyNumberFormat="1" applyFont="1" applyFill="1" applyBorder="1" applyAlignment="1">
      <alignment horizontal="left" vertical="top" wrapText="1"/>
    </xf>
    <xf numFmtId="3" fontId="18" fillId="4" borderId="19" xfId="0" applyNumberFormat="1" applyFont="1" applyFill="1" applyBorder="1" applyAlignment="1">
      <alignment horizontal="left" vertical="top" wrapText="1"/>
    </xf>
    <xf numFmtId="3" fontId="2" fillId="5" borderId="46" xfId="0" applyNumberFormat="1" applyFont="1" applyFill="1" applyBorder="1" applyAlignment="1">
      <alignment horizontal="right" vertical="top" wrapText="1"/>
    </xf>
    <xf numFmtId="3" fontId="2" fillId="5" borderId="45" xfId="0" applyNumberFormat="1" applyFont="1" applyFill="1" applyBorder="1" applyAlignment="1">
      <alignment horizontal="right" vertical="top" wrapText="1"/>
    </xf>
    <xf numFmtId="3" fontId="2" fillId="5" borderId="50" xfId="0" applyNumberFormat="1" applyFont="1" applyFill="1" applyBorder="1" applyAlignment="1">
      <alignment horizontal="right" vertical="top" wrapText="1"/>
    </xf>
    <xf numFmtId="3" fontId="2" fillId="0" borderId="18" xfId="0" applyNumberFormat="1" applyFont="1" applyBorder="1" applyAlignment="1">
      <alignment horizontal="center" vertical="top"/>
    </xf>
    <xf numFmtId="3" fontId="2" fillId="0" borderId="32" xfId="0" applyNumberFormat="1" applyFont="1" applyBorder="1" applyAlignment="1">
      <alignment horizontal="center" vertical="top"/>
    </xf>
    <xf numFmtId="3" fontId="2" fillId="5" borderId="69" xfId="0" applyNumberFormat="1" applyFont="1" applyFill="1" applyBorder="1" applyAlignment="1">
      <alignment horizontal="right" vertical="top" wrapText="1"/>
    </xf>
    <xf numFmtId="3" fontId="4" fillId="4" borderId="6" xfId="0" applyNumberFormat="1" applyFont="1" applyFill="1" applyBorder="1" applyAlignment="1">
      <alignment horizontal="left" vertical="top" wrapText="1"/>
    </xf>
    <xf numFmtId="3" fontId="4" fillId="4" borderId="5" xfId="0" applyNumberFormat="1" applyFont="1" applyFill="1" applyBorder="1" applyAlignment="1">
      <alignment horizontal="left" vertical="top" wrapText="1"/>
    </xf>
    <xf numFmtId="3" fontId="2" fillId="4" borderId="13" xfId="0" applyNumberFormat="1" applyFont="1" applyFill="1" applyBorder="1" applyAlignment="1">
      <alignment horizontal="left" vertical="top" wrapText="1"/>
    </xf>
    <xf numFmtId="3" fontId="2" fillId="4" borderId="18" xfId="0" applyNumberFormat="1" applyFont="1" applyFill="1" applyBorder="1" applyAlignment="1">
      <alignment horizontal="left" vertical="top" wrapText="1"/>
    </xf>
    <xf numFmtId="3" fontId="1" fillId="0" borderId="10" xfId="0" applyNumberFormat="1" applyFont="1" applyBorder="1" applyAlignment="1">
      <alignment horizontal="left" vertical="top" wrapText="1"/>
    </xf>
    <xf numFmtId="0" fontId="4" fillId="4" borderId="6" xfId="0" applyFont="1" applyFill="1" applyBorder="1" applyAlignment="1">
      <alignment horizontal="left" vertical="top" wrapText="1"/>
    </xf>
    <xf numFmtId="0" fontId="4" fillId="4" borderId="49" xfId="0" applyFont="1" applyFill="1" applyBorder="1" applyAlignment="1">
      <alignment horizontal="left" vertical="top" wrapText="1"/>
    </xf>
    <xf numFmtId="3" fontId="5" fillId="5" borderId="46" xfId="0" applyNumberFormat="1" applyFont="1" applyFill="1" applyBorder="1" applyAlignment="1">
      <alignment horizontal="right" vertical="top" wrapText="1"/>
    </xf>
    <xf numFmtId="3" fontId="5" fillId="5" borderId="45" xfId="0" applyNumberFormat="1" applyFont="1" applyFill="1" applyBorder="1" applyAlignment="1">
      <alignment horizontal="right" vertical="top" wrapText="1"/>
    </xf>
    <xf numFmtId="3" fontId="5" fillId="5" borderId="50" xfId="0" applyNumberFormat="1" applyFont="1" applyFill="1" applyBorder="1" applyAlignment="1">
      <alignment horizontal="right" vertical="top" wrapText="1"/>
    </xf>
    <xf numFmtId="3" fontId="4" fillId="4" borderId="18" xfId="0" applyNumberFormat="1" applyFont="1" applyFill="1" applyBorder="1" applyAlignment="1">
      <alignment horizontal="left" vertical="top" wrapText="1"/>
    </xf>
    <xf numFmtId="3" fontId="4" fillId="4" borderId="42" xfId="0" applyNumberFormat="1" applyFont="1" applyFill="1" applyBorder="1" applyAlignment="1">
      <alignment horizontal="left" vertical="top" wrapText="1"/>
    </xf>
    <xf numFmtId="3" fontId="18" fillId="4" borderId="18" xfId="0" applyNumberFormat="1" applyFont="1" applyFill="1" applyBorder="1" applyAlignment="1">
      <alignment horizontal="left" vertical="top" wrapText="1"/>
    </xf>
    <xf numFmtId="3" fontId="4" fillId="0" borderId="6" xfId="0" applyNumberFormat="1" applyFont="1" applyFill="1" applyBorder="1" applyAlignment="1">
      <alignment horizontal="left" vertical="top" wrapText="1"/>
    </xf>
    <xf numFmtId="3" fontId="4" fillId="0" borderId="5" xfId="0" applyNumberFormat="1" applyFont="1" applyFill="1" applyBorder="1" applyAlignment="1">
      <alignment horizontal="left" vertical="top" wrapText="1"/>
    </xf>
    <xf numFmtId="3" fontId="5" fillId="4" borderId="59" xfId="0" applyNumberFormat="1" applyFont="1" applyFill="1" applyBorder="1" applyAlignment="1">
      <alignment horizontal="left" vertical="top" wrapText="1"/>
    </xf>
    <xf numFmtId="3" fontId="5" fillId="4" borderId="19" xfId="0" applyNumberFormat="1" applyFont="1" applyFill="1" applyBorder="1" applyAlignment="1">
      <alignment horizontal="left" vertical="top" wrapText="1"/>
    </xf>
    <xf numFmtId="3" fontId="4" fillId="4" borderId="13" xfId="0" applyNumberFormat="1" applyFont="1" applyFill="1" applyBorder="1" applyAlignment="1">
      <alignment horizontal="left" vertical="top" wrapText="1"/>
    </xf>
    <xf numFmtId="3" fontId="2" fillId="4" borderId="59" xfId="0" applyNumberFormat="1" applyFont="1" applyFill="1" applyBorder="1" applyAlignment="1">
      <alignment horizontal="left" vertical="top" wrapText="1"/>
    </xf>
    <xf numFmtId="49" fontId="4" fillId="4" borderId="6" xfId="0" applyNumberFormat="1" applyFont="1" applyFill="1" applyBorder="1" applyAlignment="1">
      <alignment horizontal="left" vertical="top" wrapText="1"/>
    </xf>
    <xf numFmtId="49" fontId="4" fillId="4" borderId="5" xfId="0" applyNumberFormat="1" applyFont="1" applyFill="1" applyBorder="1" applyAlignment="1">
      <alignment horizontal="left" vertical="top" wrapText="1"/>
    </xf>
    <xf numFmtId="0" fontId="1" fillId="4" borderId="6" xfId="0" applyFont="1" applyFill="1" applyBorder="1" applyAlignment="1">
      <alignment horizontal="left" vertical="top" wrapText="1"/>
    </xf>
    <xf numFmtId="0" fontId="1" fillId="4" borderId="5" xfId="0" applyFont="1" applyFill="1" applyBorder="1" applyAlignment="1">
      <alignment horizontal="left" vertical="top" wrapText="1"/>
    </xf>
    <xf numFmtId="3" fontId="1" fillId="9" borderId="6" xfId="0" applyNumberFormat="1" applyFont="1" applyFill="1" applyBorder="1" applyAlignment="1">
      <alignment horizontal="left" vertical="top" wrapText="1"/>
    </xf>
    <xf numFmtId="3" fontId="1" fillId="9" borderId="8" xfId="0" applyNumberFormat="1" applyFont="1" applyFill="1" applyBorder="1" applyAlignment="1">
      <alignment horizontal="left" vertical="top" wrapText="1"/>
    </xf>
    <xf numFmtId="3" fontId="20" fillId="4" borderId="18" xfId="0" applyNumberFormat="1" applyFont="1" applyFill="1" applyBorder="1" applyAlignment="1">
      <alignment horizontal="left" vertical="top" wrapText="1"/>
    </xf>
    <xf numFmtId="3" fontId="20" fillId="4" borderId="42" xfId="0" applyNumberFormat="1" applyFont="1" applyFill="1" applyBorder="1" applyAlignment="1">
      <alignment horizontal="left" vertical="top" wrapText="1"/>
    </xf>
    <xf numFmtId="3" fontId="2" fillId="8" borderId="14" xfId="0" applyNumberFormat="1" applyFont="1" applyFill="1" applyBorder="1" applyAlignment="1">
      <alignment horizontal="right" vertical="top"/>
    </xf>
    <xf numFmtId="3" fontId="2" fillId="8" borderId="14" xfId="0" applyNumberFormat="1" applyFont="1" applyFill="1" applyBorder="1" applyAlignment="1">
      <alignment horizontal="left" vertical="top" wrapText="1"/>
    </xf>
    <xf numFmtId="3" fontId="2" fillId="8" borderId="54" xfId="0" applyNumberFormat="1" applyFont="1" applyFill="1" applyBorder="1" applyAlignment="1">
      <alignment horizontal="left" vertical="top" wrapText="1"/>
    </xf>
    <xf numFmtId="3" fontId="2" fillId="8" borderId="72" xfId="0" applyNumberFormat="1" applyFont="1" applyFill="1" applyBorder="1" applyAlignment="1">
      <alignment horizontal="left" vertical="top" wrapText="1"/>
    </xf>
    <xf numFmtId="3" fontId="2" fillId="2" borderId="12" xfId="0" applyNumberFormat="1" applyFont="1" applyFill="1" applyBorder="1" applyAlignment="1">
      <alignment horizontal="left" vertical="top" wrapText="1"/>
    </xf>
    <xf numFmtId="49" fontId="5" fillId="8" borderId="22" xfId="0" applyNumberFormat="1" applyFont="1" applyFill="1" applyBorder="1" applyAlignment="1">
      <alignment horizontal="center" vertical="top"/>
    </xf>
    <xf numFmtId="49" fontId="5" fillId="8" borderId="20" xfId="0" applyNumberFormat="1" applyFont="1" applyFill="1" applyBorder="1" applyAlignment="1">
      <alignment horizontal="center" vertical="top"/>
    </xf>
    <xf numFmtId="49" fontId="2" fillId="3" borderId="64" xfId="0" applyNumberFormat="1" applyFont="1" applyFill="1" applyBorder="1" applyAlignment="1">
      <alignment horizontal="center" vertical="top"/>
    </xf>
    <xf numFmtId="49" fontId="2" fillId="3" borderId="68" xfId="0" applyNumberFormat="1" applyFont="1" applyFill="1" applyBorder="1" applyAlignment="1">
      <alignment horizontal="center" vertical="top"/>
    </xf>
    <xf numFmtId="3" fontId="2" fillId="0" borderId="78" xfId="0" applyNumberFormat="1" applyFont="1" applyFill="1" applyBorder="1" applyAlignment="1">
      <alignment horizontal="center" vertical="top" textRotation="90" wrapText="1"/>
    </xf>
    <xf numFmtId="3" fontId="2" fillId="0" borderId="75" xfId="0" applyNumberFormat="1" applyFont="1" applyFill="1" applyBorder="1" applyAlignment="1">
      <alignment horizontal="center" vertical="top" textRotation="90" wrapText="1"/>
    </xf>
    <xf numFmtId="3" fontId="2" fillId="0" borderId="64" xfId="0" applyNumberFormat="1" applyFont="1" applyFill="1" applyBorder="1" applyAlignment="1">
      <alignment horizontal="center" vertical="top"/>
    </xf>
    <xf numFmtId="3" fontId="2" fillId="0" borderId="68" xfId="0" applyNumberFormat="1" applyFont="1" applyFill="1" applyBorder="1" applyAlignment="1">
      <alignment horizontal="center" vertical="top"/>
    </xf>
    <xf numFmtId="3" fontId="2" fillId="4" borderId="64" xfId="0" applyNumberFormat="1" applyFont="1" applyFill="1" applyBorder="1" applyAlignment="1">
      <alignment horizontal="center" vertical="top"/>
    </xf>
    <xf numFmtId="3" fontId="2" fillId="4" borderId="68" xfId="0" applyNumberFormat="1" applyFont="1" applyFill="1" applyBorder="1" applyAlignment="1">
      <alignment horizontal="center" vertical="top"/>
    </xf>
    <xf numFmtId="3" fontId="2" fillId="0" borderId="67" xfId="0" applyNumberFormat="1" applyFont="1" applyFill="1" applyBorder="1" applyAlignment="1">
      <alignment horizontal="center" vertical="top" textRotation="90" wrapText="1"/>
    </xf>
    <xf numFmtId="3" fontId="2" fillId="0" borderId="53" xfId="0" applyNumberFormat="1" applyFont="1" applyBorder="1" applyAlignment="1">
      <alignment horizontal="center" vertical="top"/>
    </xf>
    <xf numFmtId="164" fontId="1" fillId="4" borderId="18" xfId="0" applyNumberFormat="1" applyFont="1" applyFill="1" applyBorder="1" applyAlignment="1">
      <alignment horizontal="center" vertical="top"/>
    </xf>
    <xf numFmtId="3" fontId="1" fillId="4" borderId="10" xfId="0" applyNumberFormat="1" applyFont="1" applyFill="1" applyBorder="1" applyAlignment="1">
      <alignment horizontal="left" vertical="top" wrapText="1"/>
    </xf>
    <xf numFmtId="49" fontId="5" fillId="8" borderId="40" xfId="0" applyNumberFormat="1" applyFont="1" applyFill="1" applyBorder="1" applyAlignment="1">
      <alignment horizontal="center" vertical="top"/>
    </xf>
    <xf numFmtId="49" fontId="2" fillId="3" borderId="32" xfId="0" applyNumberFormat="1" applyFont="1" applyFill="1" applyBorder="1" applyAlignment="1">
      <alignment horizontal="center" vertical="top"/>
    </xf>
    <xf numFmtId="3" fontId="2" fillId="0" borderId="32"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164" fontId="25" fillId="4" borderId="61" xfId="0" applyNumberFormat="1" applyFont="1" applyFill="1" applyBorder="1" applyAlignment="1">
      <alignment horizontal="center" vertical="top"/>
    </xf>
    <xf numFmtId="164" fontId="25" fillId="4" borderId="62" xfId="0" applyNumberFormat="1" applyFont="1" applyFill="1" applyBorder="1" applyAlignment="1">
      <alignment horizontal="center" vertical="top"/>
    </xf>
    <xf numFmtId="164" fontId="25" fillId="9" borderId="59" xfId="0" applyNumberFormat="1" applyFont="1" applyFill="1" applyBorder="1" applyAlignment="1">
      <alignment horizontal="center" vertical="top"/>
    </xf>
    <xf numFmtId="164" fontId="25" fillId="9" borderId="42" xfId="0" applyNumberFormat="1" applyFont="1" applyFill="1" applyBorder="1" applyAlignment="1">
      <alignment horizontal="center" vertical="top"/>
    </xf>
    <xf numFmtId="4" fontId="4" fillId="4" borderId="61" xfId="0" applyNumberFormat="1" applyFont="1" applyFill="1" applyBorder="1" applyAlignment="1">
      <alignment horizontal="center" vertical="top"/>
    </xf>
    <xf numFmtId="4" fontId="4" fillId="4" borderId="62" xfId="0" applyNumberFormat="1" applyFont="1" applyFill="1" applyBorder="1" applyAlignment="1">
      <alignment horizontal="center" vertical="top"/>
    </xf>
    <xf numFmtId="4" fontId="4" fillId="4" borderId="59" xfId="0" applyNumberFormat="1" applyFont="1" applyFill="1" applyBorder="1" applyAlignment="1">
      <alignment horizontal="center" vertical="top"/>
    </xf>
    <xf numFmtId="4" fontId="4" fillId="4" borderId="42" xfId="0" applyNumberFormat="1" applyFont="1" applyFill="1" applyBorder="1" applyAlignment="1">
      <alignment horizontal="center" vertical="top"/>
    </xf>
    <xf numFmtId="3" fontId="13" fillId="5" borderId="45" xfId="0" applyNumberFormat="1" applyFont="1" applyFill="1" applyBorder="1" applyAlignment="1">
      <alignment horizontal="right" vertical="top" wrapText="1"/>
    </xf>
    <xf numFmtId="3" fontId="13" fillId="5" borderId="43" xfId="0" applyNumberFormat="1" applyFont="1" applyFill="1" applyBorder="1" applyAlignment="1">
      <alignment horizontal="right" vertical="top" wrapText="1"/>
    </xf>
    <xf numFmtId="3" fontId="4" fillId="9" borderId="6" xfId="0" applyNumberFormat="1" applyFont="1" applyFill="1" applyBorder="1" applyAlignment="1">
      <alignment horizontal="left" vertical="top" wrapText="1"/>
    </xf>
    <xf numFmtId="3" fontId="4" fillId="9" borderId="5" xfId="0" applyNumberFormat="1" applyFont="1" applyFill="1" applyBorder="1" applyAlignment="1">
      <alignment horizontal="left" vertical="top" wrapText="1"/>
    </xf>
    <xf numFmtId="4" fontId="4" fillId="4" borderId="27" xfId="0" applyNumberFormat="1" applyFont="1" applyFill="1" applyBorder="1" applyAlignment="1">
      <alignment horizontal="center" vertical="top"/>
    </xf>
    <xf numFmtId="4" fontId="4" fillId="4" borderId="57" xfId="0" applyNumberFormat="1" applyFont="1" applyFill="1" applyBorder="1" applyAlignment="1">
      <alignment horizontal="center" vertical="top"/>
    </xf>
    <xf numFmtId="3" fontId="4" fillId="4" borderId="39" xfId="0" applyNumberFormat="1" applyFont="1" applyFill="1" applyBorder="1" applyAlignment="1">
      <alignment horizontal="center" vertical="top"/>
    </xf>
    <xf numFmtId="3" fontId="4" fillId="4" borderId="31" xfId="0" applyNumberFormat="1" applyFont="1" applyFill="1" applyBorder="1" applyAlignment="1">
      <alignment horizontal="center" vertical="top"/>
    </xf>
    <xf numFmtId="3" fontId="4" fillId="4" borderId="60" xfId="0" applyNumberFormat="1" applyFont="1" applyFill="1" applyBorder="1" applyAlignment="1">
      <alignment horizontal="center" vertical="top"/>
    </xf>
    <xf numFmtId="3" fontId="5" fillId="0" borderId="32" xfId="0" applyNumberFormat="1" applyFont="1" applyBorder="1" applyAlignment="1">
      <alignment horizontal="center" vertical="top"/>
    </xf>
    <xf numFmtId="3" fontId="25" fillId="0" borderId="17" xfId="0" applyNumberFormat="1" applyFont="1" applyFill="1" applyBorder="1" applyAlignment="1">
      <alignment horizontal="center" vertical="top" wrapText="1"/>
    </xf>
    <xf numFmtId="3" fontId="5" fillId="0" borderId="78" xfId="0" applyNumberFormat="1" applyFont="1" applyFill="1" applyBorder="1" applyAlignment="1">
      <alignment horizontal="center" vertical="center" textRotation="90" wrapText="1"/>
    </xf>
    <xf numFmtId="3" fontId="5" fillId="0" borderId="63" xfId="0" applyNumberFormat="1" applyFont="1" applyFill="1" applyBorder="1" applyAlignment="1">
      <alignment horizontal="center" vertical="center" textRotation="90" wrapText="1"/>
    </xf>
    <xf numFmtId="3" fontId="5" fillId="0" borderId="67" xfId="0" applyNumberFormat="1" applyFont="1" applyFill="1" applyBorder="1" applyAlignment="1">
      <alignment horizontal="center" vertical="top" textRotation="90" wrapText="1"/>
    </xf>
    <xf numFmtId="3" fontId="18" fillId="4" borderId="42" xfId="0" applyNumberFormat="1" applyFont="1" applyFill="1" applyBorder="1" applyAlignment="1">
      <alignment horizontal="left" vertical="top" wrapText="1"/>
    </xf>
    <xf numFmtId="3" fontId="25" fillId="0" borderId="61" xfId="0" applyNumberFormat="1" applyFont="1" applyFill="1" applyBorder="1" applyAlignment="1">
      <alignment horizontal="center" vertical="top" wrapText="1"/>
    </xf>
    <xf numFmtId="3" fontId="25" fillId="0" borderId="62" xfId="0" applyNumberFormat="1" applyFont="1" applyFill="1" applyBorder="1" applyAlignment="1">
      <alignment horizontal="center" vertical="top" wrapText="1"/>
    </xf>
    <xf numFmtId="3" fontId="4" fillId="4" borderId="61" xfId="0" applyNumberFormat="1" applyFont="1" applyFill="1" applyBorder="1" applyAlignment="1">
      <alignment horizontal="left" vertical="top" wrapText="1"/>
    </xf>
    <xf numFmtId="3" fontId="4" fillId="4" borderId="17" xfId="0" applyNumberFormat="1" applyFont="1" applyFill="1" applyBorder="1" applyAlignment="1">
      <alignment horizontal="left" vertical="top" wrapText="1"/>
    </xf>
    <xf numFmtId="3" fontId="4" fillId="4" borderId="61" xfId="0" applyNumberFormat="1" applyFont="1" applyFill="1" applyBorder="1" applyAlignment="1">
      <alignment horizontal="center" vertical="top"/>
    </xf>
    <xf numFmtId="3" fontId="4" fillId="4" borderId="17" xfId="0" applyNumberFormat="1" applyFont="1" applyFill="1" applyBorder="1" applyAlignment="1">
      <alignment horizontal="center" vertical="top"/>
    </xf>
    <xf numFmtId="3" fontId="4" fillId="4" borderId="33" xfId="0" applyNumberFormat="1" applyFont="1" applyFill="1" applyBorder="1" applyAlignment="1">
      <alignment horizontal="center" vertical="top"/>
    </xf>
    <xf numFmtId="3" fontId="4" fillId="4" borderId="32" xfId="0" applyNumberFormat="1" applyFont="1" applyFill="1" applyBorder="1" applyAlignment="1">
      <alignment horizontal="center" vertical="top"/>
    </xf>
    <xf numFmtId="3" fontId="5" fillId="4" borderId="42" xfId="0" applyNumberFormat="1" applyFont="1" applyFill="1" applyBorder="1" applyAlignment="1">
      <alignment horizontal="left" vertical="top" wrapText="1"/>
    </xf>
    <xf numFmtId="3" fontId="5" fillId="4" borderId="66" xfId="0" applyNumberFormat="1" applyFont="1" applyFill="1" applyBorder="1" applyAlignment="1">
      <alignment horizontal="left" vertical="top" wrapText="1"/>
    </xf>
    <xf numFmtId="3" fontId="4" fillId="0" borderId="42" xfId="0" applyNumberFormat="1" applyFont="1" applyFill="1" applyBorder="1" applyAlignment="1">
      <alignment horizontal="center" vertical="top" wrapText="1"/>
    </xf>
    <xf numFmtId="3" fontId="4" fillId="0" borderId="18" xfId="0" applyNumberFormat="1" applyFont="1" applyFill="1" applyBorder="1" applyAlignment="1">
      <alignment horizontal="center" vertical="top" wrapText="1"/>
    </xf>
    <xf numFmtId="3" fontId="5" fillId="0" borderId="60" xfId="0" applyNumberFormat="1" applyFont="1" applyFill="1" applyBorder="1" applyAlignment="1">
      <alignment horizontal="center" vertical="top"/>
    </xf>
    <xf numFmtId="3" fontId="5" fillId="0" borderId="31" xfId="0" applyNumberFormat="1" applyFont="1" applyFill="1" applyBorder="1" applyAlignment="1">
      <alignment horizontal="center" vertical="top"/>
    </xf>
    <xf numFmtId="49" fontId="5" fillId="2" borderId="18" xfId="0" applyNumberFormat="1" applyFont="1" applyFill="1" applyBorder="1" applyAlignment="1">
      <alignment horizontal="center" vertical="top"/>
    </xf>
    <xf numFmtId="49" fontId="5" fillId="3" borderId="32" xfId="0" applyNumberFormat="1" applyFont="1" applyFill="1" applyBorder="1" applyAlignment="1">
      <alignment horizontal="center" vertical="top"/>
    </xf>
    <xf numFmtId="3" fontId="5" fillId="0" borderId="59" xfId="0" applyNumberFormat="1" applyFont="1" applyFill="1" applyBorder="1" applyAlignment="1">
      <alignment horizontal="left" vertical="top" wrapText="1"/>
    </xf>
    <xf numFmtId="3" fontId="5" fillId="0" borderId="18" xfId="0" applyNumberFormat="1" applyFont="1" applyFill="1" applyBorder="1" applyAlignment="1">
      <alignment horizontal="left" vertical="top" wrapText="1"/>
    </xf>
    <xf numFmtId="3" fontId="4" fillId="4" borderId="0" xfId="0" applyNumberFormat="1" applyFont="1" applyFill="1" applyBorder="1" applyAlignment="1">
      <alignment horizontal="center" vertical="top" wrapText="1"/>
    </xf>
    <xf numFmtId="49" fontId="5" fillId="3" borderId="0" xfId="0" applyNumberFormat="1" applyFont="1" applyFill="1" applyBorder="1" applyAlignment="1">
      <alignment horizontal="center" vertical="top"/>
    </xf>
    <xf numFmtId="3" fontId="4" fillId="0" borderId="29" xfId="0" applyNumberFormat="1" applyFont="1" applyFill="1" applyBorder="1" applyAlignment="1">
      <alignment horizontal="left" vertical="top" wrapText="1"/>
    </xf>
    <xf numFmtId="3" fontId="4" fillId="0" borderId="66" xfId="0" applyNumberFormat="1" applyFont="1" applyFill="1" applyBorder="1" applyAlignment="1">
      <alignment horizontal="left" vertical="top" wrapText="1"/>
    </xf>
    <xf numFmtId="3" fontId="4" fillId="0" borderId="4" xfId="0" applyNumberFormat="1" applyFont="1" applyFill="1" applyBorder="1" applyAlignment="1">
      <alignment horizontal="left" vertical="top" wrapText="1"/>
    </xf>
    <xf numFmtId="3" fontId="5" fillId="0" borderId="63" xfId="0" applyNumberFormat="1" applyFont="1" applyFill="1" applyBorder="1" applyAlignment="1">
      <alignment horizontal="center" vertical="top" wrapText="1"/>
    </xf>
    <xf numFmtId="3" fontId="5" fillId="0" borderId="77" xfId="0" applyNumberFormat="1" applyFont="1" applyFill="1" applyBorder="1" applyAlignment="1">
      <alignment horizontal="center" vertical="top" wrapText="1"/>
    </xf>
    <xf numFmtId="3" fontId="5" fillId="0" borderId="70" xfId="0" applyNumberFormat="1" applyFont="1" applyFill="1" applyBorder="1" applyAlignment="1">
      <alignment horizontal="center" vertical="top" wrapText="1"/>
    </xf>
    <xf numFmtId="3" fontId="5" fillId="0" borderId="53" xfId="0" applyNumberFormat="1" applyFont="1" applyBorder="1" applyAlignment="1">
      <alignment horizontal="center" vertical="top"/>
    </xf>
    <xf numFmtId="3" fontId="5" fillId="0" borderId="51" xfId="0" applyNumberFormat="1" applyFont="1" applyBorder="1" applyAlignment="1">
      <alignment horizontal="center" vertical="top"/>
    </xf>
    <xf numFmtId="3" fontId="5" fillId="0" borderId="33" xfId="0" applyNumberFormat="1" applyFont="1" applyBorder="1" applyAlignment="1">
      <alignment horizontal="center" vertical="top"/>
    </xf>
    <xf numFmtId="3" fontId="4" fillId="4" borderId="74" xfId="0" applyNumberFormat="1" applyFont="1" applyFill="1" applyBorder="1" applyAlignment="1">
      <alignment horizontal="left" vertical="top" wrapText="1"/>
    </xf>
    <xf numFmtId="3" fontId="4" fillId="4" borderId="65" xfId="0" applyNumberFormat="1" applyFont="1" applyFill="1" applyBorder="1" applyAlignment="1">
      <alignment horizontal="left" vertical="top" wrapText="1"/>
    </xf>
    <xf numFmtId="3" fontId="5" fillId="0" borderId="67" xfId="0" applyNumberFormat="1" applyFont="1" applyFill="1" applyBorder="1" applyAlignment="1">
      <alignment horizontal="center" vertical="top" textRotation="180" wrapText="1"/>
    </xf>
    <xf numFmtId="3" fontId="4" fillId="0" borderId="59" xfId="0" applyNumberFormat="1" applyFont="1" applyFill="1" applyBorder="1" applyAlignment="1">
      <alignment horizontal="left" vertical="top" wrapText="1"/>
    </xf>
    <xf numFmtId="3" fontId="4" fillId="0" borderId="18" xfId="0" applyNumberFormat="1" applyFont="1" applyFill="1" applyBorder="1" applyAlignment="1">
      <alignment horizontal="left" vertical="top" wrapText="1"/>
    </xf>
    <xf numFmtId="3" fontId="4" fillId="0" borderId="42" xfId="0" applyNumberFormat="1" applyFont="1" applyFill="1" applyBorder="1" applyAlignment="1">
      <alignment horizontal="left" vertical="top" wrapText="1"/>
    </xf>
    <xf numFmtId="3" fontId="5" fillId="2" borderId="16" xfId="0" applyNumberFormat="1" applyFont="1" applyFill="1" applyBorder="1" applyAlignment="1">
      <alignment horizontal="left" vertical="top" wrapText="1"/>
    </xf>
    <xf numFmtId="3" fontId="5" fillId="2" borderId="3" xfId="0" applyNumberFormat="1" applyFont="1" applyFill="1" applyBorder="1" applyAlignment="1">
      <alignment horizontal="left" vertical="top" wrapText="1"/>
    </xf>
    <xf numFmtId="3" fontId="5" fillId="2" borderId="54" xfId="0" applyNumberFormat="1" applyFont="1" applyFill="1" applyBorder="1" applyAlignment="1">
      <alignment horizontal="left" vertical="top" wrapText="1"/>
    </xf>
    <xf numFmtId="3" fontId="5" fillId="2" borderId="72" xfId="0" applyNumberFormat="1" applyFont="1" applyFill="1" applyBorder="1" applyAlignment="1">
      <alignment horizontal="left" vertical="top" wrapText="1"/>
    </xf>
    <xf numFmtId="49" fontId="5" fillId="3" borderId="64" xfId="0" applyNumberFormat="1" applyFont="1" applyFill="1" applyBorder="1" applyAlignment="1">
      <alignment horizontal="center" vertical="top"/>
    </xf>
    <xf numFmtId="3" fontId="6" fillId="0" borderId="29" xfId="0" applyNumberFormat="1" applyFont="1" applyFill="1" applyBorder="1" applyAlignment="1">
      <alignment horizontal="left" vertical="top" wrapText="1"/>
    </xf>
    <xf numFmtId="3" fontId="6" fillId="0" borderId="59" xfId="0" applyNumberFormat="1" applyFont="1" applyFill="1" applyBorder="1" applyAlignment="1">
      <alignment horizontal="left" vertical="top" wrapText="1"/>
    </xf>
    <xf numFmtId="3" fontId="5" fillId="0" borderId="80" xfId="0" applyNumberFormat="1" applyFont="1" applyFill="1" applyBorder="1" applyAlignment="1">
      <alignment horizontal="center" vertical="top" wrapText="1"/>
    </xf>
    <xf numFmtId="3" fontId="5" fillId="0" borderId="71" xfId="0" applyNumberFormat="1" applyFont="1" applyBorder="1" applyAlignment="1">
      <alignment horizontal="center" vertical="top"/>
    </xf>
    <xf numFmtId="3" fontId="4" fillId="0" borderId="10" xfId="0" applyNumberFormat="1" applyFont="1" applyBorder="1" applyAlignment="1">
      <alignment horizontal="left" vertical="top" wrapText="1"/>
    </xf>
    <xf numFmtId="3" fontId="4" fillId="0" borderId="8" xfId="0" applyNumberFormat="1" applyFont="1" applyBorder="1" applyAlignment="1">
      <alignment horizontal="left" vertical="top" wrapText="1"/>
    </xf>
    <xf numFmtId="3" fontId="4" fillId="0" borderId="5" xfId="0" applyNumberFormat="1" applyFont="1" applyBorder="1" applyAlignment="1">
      <alignment horizontal="left" vertical="top" wrapText="1"/>
    </xf>
    <xf numFmtId="3" fontId="4" fillId="0" borderId="6" xfId="0" applyNumberFormat="1" applyFont="1" applyBorder="1" applyAlignment="1">
      <alignment horizontal="left" vertical="top" wrapText="1"/>
    </xf>
    <xf numFmtId="3" fontId="4" fillId="4" borderId="62" xfId="0" applyNumberFormat="1" applyFont="1" applyFill="1" applyBorder="1" applyAlignment="1">
      <alignment horizontal="left" vertical="top" wrapText="1"/>
    </xf>
    <xf numFmtId="3" fontId="4" fillId="0" borderId="19" xfId="0" applyNumberFormat="1" applyFont="1" applyFill="1" applyBorder="1" applyAlignment="1">
      <alignment horizontal="left" vertical="top" wrapText="1"/>
    </xf>
    <xf numFmtId="3" fontId="2" fillId="6" borderId="12" xfId="0" applyNumberFormat="1" applyFont="1" applyFill="1" applyBorder="1" applyAlignment="1">
      <alignment horizontal="left" vertical="top" wrapText="1"/>
    </xf>
    <xf numFmtId="3" fontId="2" fillId="6" borderId="54" xfId="0" applyNumberFormat="1" applyFont="1" applyFill="1" applyBorder="1" applyAlignment="1">
      <alignment horizontal="left" vertical="top" wrapText="1"/>
    </xf>
    <xf numFmtId="3" fontId="2" fillId="6" borderId="72" xfId="0" applyNumberFormat="1" applyFont="1" applyFill="1" applyBorder="1" applyAlignment="1">
      <alignment horizontal="left" vertical="top" wrapText="1"/>
    </xf>
    <xf numFmtId="3" fontId="6" fillId="7" borderId="12" xfId="0" applyNumberFormat="1" applyFont="1" applyFill="1" applyBorder="1" applyAlignment="1">
      <alignment horizontal="left" vertical="top" wrapText="1"/>
    </xf>
    <xf numFmtId="3" fontId="6" fillId="7" borderId="54" xfId="0" applyNumberFormat="1" applyFont="1" applyFill="1" applyBorder="1" applyAlignment="1">
      <alignment horizontal="left" vertical="top" wrapText="1"/>
    </xf>
    <xf numFmtId="3" fontId="6" fillId="7" borderId="72" xfId="0" applyNumberFormat="1" applyFont="1" applyFill="1" applyBorder="1" applyAlignment="1">
      <alignment horizontal="left" vertical="top" wrapText="1"/>
    </xf>
    <xf numFmtId="3" fontId="5" fillId="8" borderId="12" xfId="0" applyNumberFormat="1" applyFont="1" applyFill="1" applyBorder="1" applyAlignment="1">
      <alignment horizontal="left" vertical="top"/>
    </xf>
    <xf numFmtId="3" fontId="5" fillId="8" borderId="54" xfId="0" applyNumberFormat="1" applyFont="1" applyFill="1" applyBorder="1" applyAlignment="1">
      <alignment horizontal="left" vertical="top"/>
    </xf>
    <xf numFmtId="3" fontId="5" fillId="8" borderId="72" xfId="0" applyNumberFormat="1" applyFont="1" applyFill="1" applyBorder="1" applyAlignment="1">
      <alignment horizontal="left" vertical="top"/>
    </xf>
    <xf numFmtId="164" fontId="4" fillId="0" borderId="13" xfId="0" applyNumberFormat="1" applyFont="1" applyBorder="1" applyAlignment="1">
      <alignment horizontal="center" vertical="center" textRotation="90" wrapText="1"/>
    </xf>
    <xf numFmtId="164" fontId="4" fillId="0" borderId="18" xfId="0" applyNumberFormat="1" applyFont="1" applyBorder="1" applyAlignment="1">
      <alignment horizontal="center" vertical="center" textRotation="90" wrapText="1"/>
    </xf>
    <xf numFmtId="164" fontId="4" fillId="0" borderId="19" xfId="0" applyNumberFormat="1" applyFont="1" applyBorder="1" applyAlignment="1">
      <alignment horizontal="center" vertical="center" textRotation="90" wrapText="1"/>
    </xf>
    <xf numFmtId="164" fontId="4" fillId="0" borderId="38" xfId="0" applyNumberFormat="1" applyFont="1" applyBorder="1" applyAlignment="1">
      <alignment horizontal="center" vertical="center" textRotation="90" wrapText="1"/>
    </xf>
    <xf numFmtId="164" fontId="4" fillId="0" borderId="31" xfId="0" applyNumberFormat="1" applyFont="1" applyBorder="1" applyAlignment="1">
      <alignment horizontal="center" vertical="center" textRotation="90" wrapText="1"/>
    </xf>
    <xf numFmtId="164" fontId="4" fillId="0" borderId="21" xfId="0" applyNumberFormat="1" applyFont="1" applyBorder="1" applyAlignment="1">
      <alignment horizontal="center" vertical="center" textRotation="90" wrapText="1"/>
    </xf>
    <xf numFmtId="164" fontId="4" fillId="0" borderId="3" xfId="0" applyNumberFormat="1" applyFont="1" applyBorder="1" applyAlignment="1">
      <alignment horizontal="center" vertical="center" textRotation="90" wrapText="1"/>
    </xf>
    <xf numFmtId="164" fontId="4" fillId="0" borderId="0" xfId="0" applyNumberFormat="1" applyFont="1" applyBorder="1" applyAlignment="1">
      <alignment horizontal="center" vertical="center" textRotation="90" wrapText="1"/>
    </xf>
    <xf numFmtId="164" fontId="4" fillId="0" borderId="43" xfId="0" applyNumberFormat="1" applyFont="1" applyBorder="1" applyAlignment="1">
      <alignment horizontal="center" vertical="center" textRotation="90" wrapText="1"/>
    </xf>
    <xf numFmtId="164" fontId="4" fillId="0" borderId="24" xfId="0" applyNumberFormat="1" applyFont="1" applyBorder="1" applyAlignment="1">
      <alignment horizontal="center" vertical="center" textRotation="90" wrapText="1"/>
    </xf>
    <xf numFmtId="164" fontId="4" fillId="0" borderId="7" xfId="0" applyNumberFormat="1" applyFont="1" applyBorder="1" applyAlignment="1">
      <alignment horizontal="center" vertical="center" textRotation="90" wrapText="1"/>
    </xf>
    <xf numFmtId="164" fontId="4" fillId="0" borderId="69" xfId="0" applyNumberFormat="1" applyFont="1" applyBorder="1" applyAlignment="1">
      <alignment horizontal="center" vertical="center" textRotation="90" wrapText="1"/>
    </xf>
    <xf numFmtId="3" fontId="1" fillId="0" borderId="74" xfId="0" applyNumberFormat="1" applyFont="1" applyBorder="1" applyAlignment="1">
      <alignment horizontal="center" vertical="center" wrapText="1"/>
    </xf>
    <xf numFmtId="3" fontId="1" fillId="0" borderId="58" xfId="0" applyNumberFormat="1" applyFont="1" applyBorder="1" applyAlignment="1">
      <alignment horizontal="center" vertical="center" wrapText="1"/>
    </xf>
    <xf numFmtId="3" fontId="1" fillId="0" borderId="9" xfId="0" applyNumberFormat="1" applyFont="1" applyBorder="1" applyAlignment="1">
      <alignment horizontal="center" vertical="center" textRotation="90" wrapText="1"/>
    </xf>
    <xf numFmtId="3" fontId="1" fillId="0" borderId="2" xfId="0" applyNumberFormat="1" applyFont="1" applyBorder="1" applyAlignment="1">
      <alignment horizontal="center" vertical="center" textRotation="90" wrapText="1"/>
    </xf>
    <xf numFmtId="3" fontId="1" fillId="0" borderId="55" xfId="0" applyNumberFormat="1" applyFont="1" applyBorder="1" applyAlignment="1">
      <alignment horizontal="center" vertical="center" textRotation="90" wrapText="1"/>
    </xf>
    <xf numFmtId="3" fontId="11" fillId="0" borderId="0" xfId="0" applyNumberFormat="1" applyFont="1" applyAlignment="1">
      <alignment horizontal="right" vertical="top" wrapText="1"/>
    </xf>
    <xf numFmtId="3" fontId="8" fillId="0" borderId="0" xfId="0" applyNumberFormat="1" applyFont="1" applyAlignment="1">
      <alignment horizontal="center" vertical="top"/>
    </xf>
    <xf numFmtId="3" fontId="11" fillId="0" borderId="0" xfId="0" applyNumberFormat="1" applyFont="1" applyBorder="1" applyAlignment="1">
      <alignment horizontal="center" vertical="top" wrapText="1"/>
    </xf>
    <xf numFmtId="3" fontId="8" fillId="0" borderId="0" xfId="0" applyNumberFormat="1" applyFont="1" applyBorder="1" applyAlignment="1">
      <alignment horizontal="center" vertical="top" wrapText="1"/>
    </xf>
    <xf numFmtId="3" fontId="4" fillId="0" borderId="43" xfId="0" applyNumberFormat="1" applyFont="1" applyBorder="1" applyAlignment="1">
      <alignment horizontal="right" wrapText="1"/>
    </xf>
    <xf numFmtId="11" fontId="1" fillId="0" borderId="35" xfId="0" applyNumberFormat="1" applyFont="1" applyBorder="1" applyAlignment="1">
      <alignment horizontal="center" vertical="center" textRotation="90" wrapText="1"/>
    </xf>
    <xf numFmtId="11" fontId="1" fillId="0" borderId="36" xfId="0" applyNumberFormat="1" applyFont="1" applyBorder="1" applyAlignment="1">
      <alignment horizontal="center" vertical="center" textRotation="90" wrapText="1"/>
    </xf>
    <xf numFmtId="11" fontId="1" fillId="0" borderId="37" xfId="0" applyNumberFormat="1" applyFont="1" applyBorder="1" applyAlignment="1">
      <alignment horizontal="center" vertical="center" textRotation="90" wrapText="1"/>
    </xf>
    <xf numFmtId="11" fontId="1" fillId="0" borderId="29" xfId="0" applyNumberFormat="1" applyFont="1" applyBorder="1" applyAlignment="1">
      <alignment horizontal="center" vertical="center" textRotation="90" wrapText="1"/>
    </xf>
    <xf numFmtId="11" fontId="1" fillId="0" borderId="66" xfId="0" applyNumberFormat="1" applyFont="1" applyBorder="1" applyAlignment="1">
      <alignment horizontal="center" vertical="center" textRotation="90" wrapText="1"/>
    </xf>
    <xf numFmtId="11" fontId="1" fillId="0" borderId="59" xfId="0" applyNumberFormat="1" applyFont="1" applyBorder="1" applyAlignment="1">
      <alignment horizontal="center" vertical="center" textRotation="90" wrapText="1"/>
    </xf>
    <xf numFmtId="49" fontId="1" fillId="0" borderId="29" xfId="0" applyNumberFormat="1" applyFont="1" applyBorder="1" applyAlignment="1">
      <alignment horizontal="center" vertical="center" textRotation="90" wrapText="1"/>
    </xf>
    <xf numFmtId="49" fontId="1" fillId="0" borderId="66" xfId="0" applyNumberFormat="1" applyFont="1" applyBorder="1" applyAlignment="1">
      <alignment horizontal="center" vertical="center" textRotation="90" wrapText="1"/>
    </xf>
    <xf numFmtId="49" fontId="1" fillId="0" borderId="59" xfId="0" applyNumberFormat="1" applyFont="1" applyBorder="1" applyAlignment="1">
      <alignment horizontal="center" vertical="center" textRotation="90" wrapText="1"/>
    </xf>
    <xf numFmtId="3" fontId="1" fillId="0" borderId="29" xfId="0" applyNumberFormat="1" applyFont="1" applyBorder="1" applyAlignment="1">
      <alignment horizontal="center" vertical="center" wrapText="1"/>
    </xf>
    <xf numFmtId="3" fontId="1" fillId="0" borderId="66" xfId="0" applyNumberFormat="1" applyFont="1" applyBorder="1" applyAlignment="1">
      <alignment horizontal="center" vertical="center" wrapText="1"/>
    </xf>
    <xf numFmtId="3" fontId="1" fillId="0" borderId="59" xfId="0" applyNumberFormat="1" applyFont="1" applyBorder="1" applyAlignment="1">
      <alignment horizontal="center" vertical="center" wrapText="1"/>
    </xf>
    <xf numFmtId="3" fontId="1" fillId="0" borderId="71" xfId="0" applyNumberFormat="1" applyFont="1" applyBorder="1" applyAlignment="1">
      <alignment horizontal="center" vertical="center" textRotation="90" wrapText="1"/>
    </xf>
    <xf numFmtId="3" fontId="1" fillId="0" borderId="51" xfId="0" applyNumberFormat="1" applyFont="1" applyBorder="1" applyAlignment="1">
      <alignment horizontal="center" vertical="center" textRotation="90" wrapText="1"/>
    </xf>
    <xf numFmtId="3" fontId="1" fillId="0" borderId="33" xfId="0" applyNumberFormat="1" applyFont="1" applyBorder="1" applyAlignment="1">
      <alignment horizontal="center" vertical="center" textRotation="90" wrapText="1"/>
    </xf>
    <xf numFmtId="3" fontId="1" fillId="0" borderId="10" xfId="0" applyNumberFormat="1" applyFont="1" applyBorder="1" applyAlignment="1">
      <alignment horizontal="center" vertical="center" wrapText="1"/>
    </xf>
    <xf numFmtId="3" fontId="1" fillId="0" borderId="8" xfId="0" applyNumberFormat="1" applyFont="1" applyBorder="1" applyAlignment="1">
      <alignment horizontal="center" vertical="center" wrapText="1"/>
    </xf>
    <xf numFmtId="3" fontId="1" fillId="0" borderId="49" xfId="0" applyNumberFormat="1" applyFont="1" applyBorder="1" applyAlignment="1">
      <alignment horizontal="center" vertical="center" wrapText="1"/>
    </xf>
    <xf numFmtId="3" fontId="1" fillId="0" borderId="37" xfId="0" applyNumberFormat="1" applyFont="1" applyBorder="1" applyAlignment="1">
      <alignment horizontal="center" vertical="center" wrapText="1"/>
    </xf>
    <xf numFmtId="3" fontId="1" fillId="0" borderId="20" xfId="0" applyNumberFormat="1" applyFont="1" applyBorder="1" applyAlignment="1">
      <alignment horizontal="center" vertical="center" wrapText="1"/>
    </xf>
    <xf numFmtId="3" fontId="1" fillId="0" borderId="51" xfId="0" applyNumberFormat="1" applyFont="1" applyBorder="1" applyAlignment="1">
      <alignment horizontal="center" vertical="top"/>
    </xf>
    <xf numFmtId="3" fontId="1" fillId="0" borderId="34" xfId="0" applyNumberFormat="1" applyFont="1" applyBorder="1" applyAlignment="1">
      <alignment horizontal="center" vertical="top"/>
    </xf>
    <xf numFmtId="3" fontId="4" fillId="0" borderId="47" xfId="0" applyNumberFormat="1" applyFont="1" applyBorder="1" applyAlignment="1">
      <alignment horizontal="left" vertical="top" wrapText="1"/>
    </xf>
    <xf numFmtId="3" fontId="4" fillId="0" borderId="45" xfId="0" applyNumberFormat="1" applyFont="1" applyBorder="1" applyAlignment="1">
      <alignment horizontal="left" vertical="top" wrapText="1"/>
    </xf>
    <xf numFmtId="3" fontId="4" fillId="0" borderId="50" xfId="0" applyNumberFormat="1" applyFont="1" applyBorder="1" applyAlignment="1">
      <alignment horizontal="left" vertical="top" wrapText="1"/>
    </xf>
    <xf numFmtId="3" fontId="29" fillId="0" borderId="0" xfId="0" applyNumberFormat="1" applyFont="1" applyAlignment="1">
      <alignment horizontal="left" vertical="top" wrapText="1"/>
    </xf>
    <xf numFmtId="3" fontId="8" fillId="0" borderId="0" xfId="0" applyNumberFormat="1" applyFont="1" applyAlignment="1">
      <alignment horizontal="center" vertical="top" wrapText="1"/>
    </xf>
    <xf numFmtId="11" fontId="1" fillId="0" borderId="22" xfId="0" applyNumberFormat="1" applyFont="1" applyBorder="1" applyAlignment="1">
      <alignment horizontal="center" vertical="center" textRotation="90" wrapText="1"/>
    </xf>
    <xf numFmtId="11" fontId="1" fillId="0" borderId="40" xfId="0" applyNumberFormat="1" applyFont="1" applyBorder="1" applyAlignment="1">
      <alignment horizontal="center" vertical="center" textRotation="90" wrapText="1"/>
    </xf>
    <xf numFmtId="11" fontId="1" fillId="0" borderId="20" xfId="0" applyNumberFormat="1" applyFont="1" applyBorder="1" applyAlignment="1">
      <alignment horizontal="center" vertical="center" textRotation="90" wrapText="1"/>
    </xf>
    <xf numFmtId="11" fontId="1" fillId="0" borderId="13" xfId="0" applyNumberFormat="1" applyFont="1" applyBorder="1" applyAlignment="1">
      <alignment horizontal="center" vertical="center" textRotation="90" wrapText="1"/>
    </xf>
    <xf numFmtId="11" fontId="1" fillId="0" borderId="18" xfId="0" applyNumberFormat="1" applyFont="1" applyBorder="1" applyAlignment="1">
      <alignment horizontal="center" vertical="center" textRotation="90" wrapText="1"/>
    </xf>
    <xf numFmtId="11" fontId="1" fillId="0" borderId="19" xfId="0" applyNumberFormat="1" applyFont="1" applyBorder="1" applyAlignment="1">
      <alignment horizontal="center" vertical="center" textRotation="90" wrapText="1"/>
    </xf>
    <xf numFmtId="49" fontId="1" fillId="0" borderId="13" xfId="0" applyNumberFormat="1" applyFont="1" applyBorder="1" applyAlignment="1">
      <alignment horizontal="center" vertical="center" textRotation="90" wrapText="1"/>
    </xf>
    <xf numFmtId="49" fontId="1" fillId="0" borderId="18" xfId="0" applyNumberFormat="1" applyFont="1" applyBorder="1" applyAlignment="1">
      <alignment horizontal="center" vertical="center" textRotation="90" wrapText="1"/>
    </xf>
    <xf numFmtId="49" fontId="1" fillId="0" borderId="19" xfId="0" applyNumberFormat="1" applyFont="1" applyBorder="1" applyAlignment="1">
      <alignment horizontal="center" vertical="center" textRotation="90" wrapText="1"/>
    </xf>
    <xf numFmtId="165" fontId="4" fillId="0" borderId="22" xfId="0" applyNumberFormat="1" applyFont="1" applyBorder="1" applyAlignment="1">
      <alignment horizontal="center" vertical="center" textRotation="90" wrapText="1"/>
    </xf>
    <xf numFmtId="165" fontId="4" fillId="0" borderId="40" xfId="0" applyNumberFormat="1" applyFont="1" applyBorder="1" applyAlignment="1">
      <alignment horizontal="center" vertical="center" textRotation="90" wrapText="1"/>
    </xf>
    <xf numFmtId="165" fontId="4" fillId="0" borderId="20" xfId="0" applyNumberFormat="1" applyFont="1" applyBorder="1" applyAlignment="1">
      <alignment horizontal="center" vertical="center" textRotation="90" wrapText="1"/>
    </xf>
    <xf numFmtId="165" fontId="4" fillId="0" borderId="13" xfId="0" applyNumberFormat="1" applyFont="1" applyBorder="1" applyAlignment="1">
      <alignment horizontal="center" vertical="center" textRotation="90" wrapText="1"/>
    </xf>
    <xf numFmtId="165" fontId="4" fillId="0" borderId="18" xfId="0" applyNumberFormat="1" applyFont="1" applyBorder="1" applyAlignment="1">
      <alignment horizontal="center" vertical="center" textRotation="90" wrapText="1"/>
    </xf>
    <xf numFmtId="165" fontId="4" fillId="0" borderId="19" xfId="0" applyNumberFormat="1" applyFont="1" applyBorder="1" applyAlignment="1">
      <alignment horizontal="center" vertical="center" textRotation="90" wrapText="1"/>
    </xf>
    <xf numFmtId="165" fontId="4" fillId="0" borderId="38" xfId="0" applyNumberFormat="1" applyFont="1" applyBorder="1" applyAlignment="1">
      <alignment horizontal="center" vertical="center" textRotation="90" wrapText="1"/>
    </xf>
    <xf numFmtId="165" fontId="4" fillId="0" borderId="31" xfId="0" applyNumberFormat="1" applyFont="1" applyBorder="1" applyAlignment="1">
      <alignment horizontal="center" vertical="center" textRotation="90" wrapText="1"/>
    </xf>
    <xf numFmtId="165" fontId="4" fillId="0" borderId="21" xfId="0" applyNumberFormat="1" applyFont="1" applyBorder="1" applyAlignment="1">
      <alignment horizontal="center" vertical="center" textRotation="90" wrapText="1"/>
    </xf>
    <xf numFmtId="3" fontId="1" fillId="0" borderId="3" xfId="0" applyNumberFormat="1" applyFont="1" applyBorder="1" applyAlignment="1">
      <alignment horizontal="center" vertical="center" wrapText="1"/>
    </xf>
    <xf numFmtId="3" fontId="1" fillId="0" borderId="24" xfId="0" applyNumberFormat="1" applyFont="1" applyBorder="1" applyAlignment="1">
      <alignment horizontal="center" vertical="center" wrapText="1"/>
    </xf>
    <xf numFmtId="3" fontId="1" fillId="0" borderId="65" xfId="0" applyNumberFormat="1" applyFont="1" applyBorder="1" applyAlignment="1">
      <alignment horizontal="center" vertical="top" wrapText="1"/>
    </xf>
    <xf numFmtId="3" fontId="1" fillId="0" borderId="34" xfId="0" applyNumberFormat="1" applyFont="1" applyBorder="1" applyAlignment="1">
      <alignment horizontal="center" vertical="top" wrapText="1"/>
    </xf>
    <xf numFmtId="3" fontId="1" fillId="0" borderId="26" xfId="0" applyNumberFormat="1" applyFont="1" applyBorder="1" applyAlignment="1">
      <alignment horizontal="center" vertical="top" wrapText="1"/>
    </xf>
    <xf numFmtId="3" fontId="1" fillId="0" borderId="6" xfId="0" applyNumberFormat="1" applyFont="1" applyBorder="1" applyAlignment="1">
      <alignment horizontal="center" vertical="center" wrapText="1"/>
    </xf>
    <xf numFmtId="3" fontId="1" fillId="0" borderId="13" xfId="0" applyNumberFormat="1" applyFont="1" applyBorder="1" applyAlignment="1">
      <alignment horizontal="center" vertical="center" wrapText="1"/>
    </xf>
    <xf numFmtId="3" fontId="1" fillId="0" borderId="18" xfId="0" applyNumberFormat="1" applyFont="1" applyBorder="1" applyAlignment="1">
      <alignment horizontal="center" vertical="center" wrapText="1"/>
    </xf>
    <xf numFmtId="3" fontId="1" fillId="0" borderId="19" xfId="0" applyNumberFormat="1" applyFont="1" applyBorder="1" applyAlignment="1">
      <alignment horizontal="center" vertical="center" wrapText="1"/>
    </xf>
    <xf numFmtId="3" fontId="1" fillId="0" borderId="38" xfId="0" applyNumberFormat="1" applyFont="1" applyBorder="1" applyAlignment="1">
      <alignment horizontal="center" vertical="center" textRotation="90" wrapText="1"/>
    </xf>
    <xf numFmtId="3" fontId="1" fillId="0" borderId="31" xfId="0" applyNumberFormat="1" applyFont="1" applyBorder="1" applyAlignment="1">
      <alignment horizontal="center" vertical="center" textRotation="90" wrapText="1"/>
    </xf>
    <xf numFmtId="3" fontId="1" fillId="0" borderId="21" xfId="0" applyNumberFormat="1" applyFont="1" applyBorder="1" applyAlignment="1">
      <alignment horizontal="center" vertical="center" textRotation="90" wrapText="1"/>
    </xf>
    <xf numFmtId="3" fontId="1" fillId="0" borderId="10" xfId="0" applyNumberFormat="1" applyFont="1" applyBorder="1" applyAlignment="1">
      <alignment horizontal="center" vertical="center" textRotation="90" wrapText="1"/>
    </xf>
    <xf numFmtId="3" fontId="1" fillId="0" borderId="8" xfId="0" applyNumberFormat="1" applyFont="1" applyBorder="1" applyAlignment="1">
      <alignment horizontal="center" vertical="center" textRotation="90" wrapText="1"/>
    </xf>
    <xf numFmtId="3" fontId="1" fillId="0" borderId="49" xfId="0" applyNumberFormat="1" applyFont="1" applyBorder="1" applyAlignment="1">
      <alignment horizontal="center" vertical="center" textRotation="90" wrapText="1"/>
    </xf>
    <xf numFmtId="3" fontId="5" fillId="0" borderId="42" xfId="0" applyNumberFormat="1" applyFont="1" applyFill="1" applyBorder="1" applyAlignment="1">
      <alignment horizontal="left" vertical="top" wrapText="1"/>
    </xf>
    <xf numFmtId="3" fontId="5" fillId="8" borderId="12" xfId="0" applyNumberFormat="1" applyFont="1" applyFill="1" applyBorder="1" applyAlignment="1">
      <alignment horizontal="left" vertical="top" wrapText="1"/>
    </xf>
    <xf numFmtId="3" fontId="5" fillId="8" borderId="54" xfId="0" applyNumberFormat="1" applyFont="1" applyFill="1" applyBorder="1" applyAlignment="1">
      <alignment horizontal="left" vertical="top" wrapText="1"/>
    </xf>
    <xf numFmtId="3" fontId="5" fillId="8" borderId="72" xfId="0" applyNumberFormat="1" applyFont="1" applyFill="1" applyBorder="1" applyAlignment="1">
      <alignment horizontal="left" vertical="top" wrapText="1"/>
    </xf>
    <xf numFmtId="3" fontId="5" fillId="2" borderId="12" xfId="0" applyNumberFormat="1" applyFont="1" applyFill="1" applyBorder="1" applyAlignment="1">
      <alignment horizontal="left" vertical="top" wrapText="1"/>
    </xf>
    <xf numFmtId="3" fontId="4" fillId="0" borderId="13" xfId="0" applyNumberFormat="1" applyFont="1" applyFill="1" applyBorder="1" applyAlignment="1">
      <alignment horizontal="left" vertical="top" wrapText="1"/>
    </xf>
    <xf numFmtId="3" fontId="4" fillId="4" borderId="16" xfId="0" applyNumberFormat="1" applyFont="1" applyFill="1" applyBorder="1" applyAlignment="1">
      <alignment horizontal="left" vertical="top" wrapText="1"/>
    </xf>
    <xf numFmtId="3" fontId="4" fillId="4" borderId="18" xfId="0" applyNumberFormat="1" applyFont="1" applyFill="1" applyBorder="1" applyAlignment="1">
      <alignment horizontal="center" vertical="top" wrapText="1"/>
    </xf>
    <xf numFmtId="3" fontId="4" fillId="4" borderId="42" xfId="0" applyNumberFormat="1" applyFont="1" applyFill="1" applyBorder="1" applyAlignment="1">
      <alignment horizontal="center" vertical="top" wrapText="1"/>
    </xf>
    <xf numFmtId="3" fontId="5" fillId="0" borderId="59" xfId="0" applyNumberFormat="1" applyFont="1" applyFill="1" applyBorder="1" applyAlignment="1">
      <alignment horizontal="center" vertical="center" textRotation="90" wrapText="1"/>
    </xf>
    <xf numFmtId="3" fontId="5" fillId="0" borderId="42" xfId="0" applyNumberFormat="1" applyFont="1" applyFill="1" applyBorder="1" applyAlignment="1">
      <alignment horizontal="center" vertical="center" textRotation="90" wrapText="1"/>
    </xf>
    <xf numFmtId="3" fontId="6" fillId="0" borderId="13" xfId="0" applyNumberFormat="1" applyFont="1" applyFill="1" applyBorder="1" applyAlignment="1">
      <alignment horizontal="left" vertical="top" wrapText="1"/>
    </xf>
    <xf numFmtId="3" fontId="6" fillId="0" borderId="18" xfId="0" applyNumberFormat="1" applyFont="1" applyFill="1" applyBorder="1" applyAlignment="1">
      <alignment horizontal="left" vertical="top" wrapText="1"/>
    </xf>
    <xf numFmtId="3" fontId="5" fillId="0" borderId="13" xfId="0" applyNumberFormat="1" applyFont="1" applyFill="1" applyBorder="1" applyAlignment="1">
      <alignment vertical="top" wrapText="1"/>
    </xf>
    <xf numFmtId="3" fontId="5" fillId="0" borderId="18" xfId="0" applyNumberFormat="1" applyFont="1" applyFill="1" applyBorder="1" applyAlignment="1">
      <alignment vertical="top" wrapText="1"/>
    </xf>
    <xf numFmtId="3" fontId="13" fillId="5" borderId="46" xfId="0" applyNumberFormat="1" applyFont="1" applyFill="1" applyBorder="1" applyAlignment="1">
      <alignment horizontal="right" vertical="top" wrapText="1"/>
    </xf>
    <xf numFmtId="3" fontId="13" fillId="5" borderId="79" xfId="0" applyNumberFormat="1" applyFont="1" applyFill="1" applyBorder="1" applyAlignment="1">
      <alignment horizontal="right" vertical="top" wrapText="1"/>
    </xf>
    <xf numFmtId="49" fontId="2" fillId="8" borderId="22" xfId="0" applyNumberFormat="1" applyFont="1" applyFill="1" applyBorder="1" applyAlignment="1">
      <alignment horizontal="center" vertical="top"/>
    </xf>
    <xf numFmtId="49" fontId="2" fillId="8" borderId="40" xfId="0" applyNumberFormat="1" applyFont="1" applyFill="1" applyBorder="1" applyAlignment="1">
      <alignment horizontal="center" vertical="top"/>
    </xf>
    <xf numFmtId="49" fontId="2" fillId="8" borderId="20" xfId="0" applyNumberFormat="1" applyFont="1" applyFill="1" applyBorder="1" applyAlignment="1">
      <alignment horizontal="center" vertical="top"/>
    </xf>
    <xf numFmtId="3" fontId="2" fillId="11" borderId="13" xfId="0" quotePrefix="1" applyNumberFormat="1" applyFont="1" applyFill="1" applyBorder="1" applyAlignment="1">
      <alignment horizontal="center" vertical="top" wrapText="1"/>
    </xf>
    <xf numFmtId="3" fontId="2" fillId="11" borderId="18" xfId="0" quotePrefix="1" applyNumberFormat="1" applyFont="1" applyFill="1" applyBorder="1" applyAlignment="1">
      <alignment horizontal="center" vertical="top" wrapText="1"/>
    </xf>
    <xf numFmtId="3" fontId="2" fillId="11" borderId="19" xfId="0" quotePrefix="1" applyNumberFormat="1" applyFont="1" applyFill="1" applyBorder="1" applyAlignment="1">
      <alignment horizontal="center" vertical="top" wrapText="1"/>
    </xf>
    <xf numFmtId="3" fontId="2" fillId="4" borderId="64" xfId="0" quotePrefix="1" applyNumberFormat="1" applyFont="1" applyFill="1" applyBorder="1" applyAlignment="1">
      <alignment horizontal="center" vertical="top" wrapText="1"/>
    </xf>
    <xf numFmtId="3" fontId="2" fillId="4" borderId="32" xfId="0" quotePrefix="1" applyNumberFormat="1" applyFont="1" applyFill="1" applyBorder="1" applyAlignment="1">
      <alignment horizontal="center" vertical="top" wrapText="1"/>
    </xf>
    <xf numFmtId="3" fontId="2" fillId="4" borderId="68" xfId="0" quotePrefix="1" applyNumberFormat="1" applyFont="1" applyFill="1" applyBorder="1" applyAlignment="1">
      <alignment horizontal="center" vertical="top" wrapText="1"/>
    </xf>
    <xf numFmtId="3" fontId="4" fillId="4" borderId="13" xfId="0" applyNumberFormat="1" applyFont="1" applyFill="1" applyBorder="1" applyAlignment="1">
      <alignment horizontal="center" vertical="top" wrapText="1"/>
    </xf>
    <xf numFmtId="3" fontId="4" fillId="4" borderId="19" xfId="0" applyNumberFormat="1" applyFont="1" applyFill="1" applyBorder="1" applyAlignment="1">
      <alignment horizontal="center" vertical="top" wrapText="1"/>
    </xf>
    <xf numFmtId="3" fontId="4" fillId="4" borderId="22" xfId="0" applyNumberFormat="1" applyFont="1" applyFill="1" applyBorder="1" applyAlignment="1">
      <alignment horizontal="left" vertical="top" wrapText="1"/>
    </xf>
    <xf numFmtId="3" fontId="4" fillId="4" borderId="40" xfId="0" applyNumberFormat="1" applyFont="1" applyFill="1" applyBorder="1" applyAlignment="1">
      <alignment horizontal="left" vertical="top" wrapText="1"/>
    </xf>
    <xf numFmtId="3" fontId="4" fillId="4" borderId="20" xfId="0" applyNumberFormat="1" applyFont="1" applyFill="1" applyBorder="1" applyAlignment="1">
      <alignment horizontal="left" vertical="top" wrapText="1"/>
    </xf>
    <xf numFmtId="3" fontId="2" fillId="2" borderId="14" xfId="0" applyNumberFormat="1" applyFont="1" applyFill="1" applyBorder="1" applyAlignment="1">
      <alignment horizontal="right" vertical="top" wrapText="1"/>
    </xf>
    <xf numFmtId="3" fontId="2" fillId="2" borderId="54" xfId="0" applyNumberFormat="1" applyFont="1" applyFill="1" applyBorder="1" applyAlignment="1">
      <alignment horizontal="right" vertical="top" wrapText="1"/>
    </xf>
    <xf numFmtId="3" fontId="2" fillId="2" borderId="25" xfId="0" applyNumberFormat="1" applyFont="1" applyFill="1" applyBorder="1" applyAlignment="1">
      <alignment horizontal="right" vertical="top" wrapText="1"/>
    </xf>
    <xf numFmtId="3" fontId="2" fillId="8" borderId="14" xfId="0" applyNumberFormat="1" applyFont="1" applyFill="1" applyBorder="1" applyAlignment="1">
      <alignment horizontal="right" vertical="top" wrapText="1"/>
    </xf>
    <xf numFmtId="3" fontId="2" fillId="8" borderId="54" xfId="0" applyNumberFormat="1" applyFont="1" applyFill="1" applyBorder="1" applyAlignment="1">
      <alignment horizontal="right" vertical="top" wrapText="1"/>
    </xf>
    <xf numFmtId="3" fontId="2" fillId="8" borderId="25" xfId="0" applyNumberFormat="1" applyFont="1" applyFill="1" applyBorder="1" applyAlignment="1">
      <alignment horizontal="right" vertical="top" wrapText="1"/>
    </xf>
    <xf numFmtId="167" fontId="4" fillId="10" borderId="114" xfId="2" applyNumberFormat="1" applyFont="1" applyFill="1" applyBorder="1" applyAlignment="1">
      <alignment horizontal="left" vertical="top" wrapText="1"/>
    </xf>
    <xf numFmtId="167" fontId="4" fillId="10" borderId="95" xfId="2" applyNumberFormat="1" applyFont="1" applyFill="1" applyBorder="1" applyAlignment="1">
      <alignment horizontal="left" vertical="top" wrapText="1"/>
    </xf>
    <xf numFmtId="167" fontId="4" fillId="10" borderId="61" xfId="2" applyNumberFormat="1" applyFont="1" applyFill="1" applyBorder="1" applyAlignment="1">
      <alignment horizontal="left" vertical="top" wrapText="1"/>
    </xf>
    <xf numFmtId="167" fontId="4" fillId="10" borderId="56" xfId="2" applyNumberFormat="1" applyFont="1" applyFill="1" applyBorder="1" applyAlignment="1">
      <alignment horizontal="left" vertical="top" wrapText="1"/>
    </xf>
    <xf numFmtId="167" fontId="4" fillId="10" borderId="10" xfId="2" applyNumberFormat="1" applyFont="1" applyFill="1" applyBorder="1" applyAlignment="1">
      <alignment horizontal="left" vertical="top" wrapText="1"/>
    </xf>
    <xf numFmtId="167" fontId="4" fillId="10" borderId="8" xfId="2" applyNumberFormat="1" applyFont="1" applyFill="1" applyBorder="1" applyAlignment="1">
      <alignment horizontal="left" vertical="top" wrapText="1"/>
    </xf>
    <xf numFmtId="3" fontId="2" fillId="4" borderId="42" xfId="0" applyNumberFormat="1" applyFont="1" applyFill="1" applyBorder="1" applyAlignment="1">
      <alignment horizontal="left" vertical="top" wrapText="1"/>
    </xf>
    <xf numFmtId="3" fontId="2" fillId="4" borderId="19" xfId="0" applyNumberFormat="1" applyFont="1" applyFill="1" applyBorder="1" applyAlignment="1">
      <alignment horizontal="left" vertical="top" wrapText="1"/>
    </xf>
    <xf numFmtId="167" fontId="4" fillId="10" borderId="105" xfId="2" applyNumberFormat="1" applyFont="1" applyFill="1" applyBorder="1" applyAlignment="1">
      <alignment horizontal="left" vertical="top" wrapText="1"/>
    </xf>
    <xf numFmtId="0" fontId="4" fillId="4" borderId="5" xfId="0" applyFont="1" applyFill="1" applyBorder="1" applyAlignment="1">
      <alignment horizontal="left" vertical="top" wrapText="1"/>
    </xf>
    <xf numFmtId="167" fontId="4" fillId="10" borderId="87" xfId="2" applyNumberFormat="1" applyFont="1" applyFill="1" applyBorder="1" applyAlignment="1">
      <alignment horizontal="left" vertical="top" wrapText="1"/>
    </xf>
    <xf numFmtId="167" fontId="4" fillId="10" borderId="131" xfId="2" applyNumberFormat="1" applyFont="1" applyFill="1" applyBorder="1" applyAlignment="1">
      <alignment horizontal="left" vertical="top" wrapText="1"/>
    </xf>
    <xf numFmtId="167" fontId="4" fillId="12" borderId="90" xfId="2" applyNumberFormat="1" applyFont="1" applyFill="1" applyBorder="1" applyAlignment="1">
      <alignment horizontal="left" vertical="top" wrapText="1"/>
    </xf>
    <xf numFmtId="167" fontId="4" fillId="12" borderId="131" xfId="2" applyNumberFormat="1" applyFont="1" applyFill="1" applyBorder="1" applyAlignment="1">
      <alignment horizontal="left" vertical="top" wrapText="1"/>
    </xf>
    <xf numFmtId="167" fontId="4" fillId="10" borderId="6" xfId="2" applyNumberFormat="1" applyFont="1" applyFill="1" applyBorder="1" applyAlignment="1">
      <alignment horizontal="left" vertical="top" wrapText="1"/>
    </xf>
    <xf numFmtId="167" fontId="4" fillId="10" borderId="49" xfId="2" applyNumberFormat="1" applyFont="1" applyFill="1" applyBorder="1" applyAlignment="1">
      <alignment horizontal="left" vertical="top" wrapText="1"/>
    </xf>
    <xf numFmtId="3" fontId="1" fillId="4" borderId="40" xfId="0" applyNumberFormat="1" applyFont="1" applyFill="1" applyBorder="1" applyAlignment="1">
      <alignment horizontal="center" vertical="top" wrapText="1"/>
    </xf>
    <xf numFmtId="164" fontId="1" fillId="4" borderId="40" xfId="0" applyNumberFormat="1" applyFont="1" applyFill="1" applyBorder="1" applyAlignment="1">
      <alignment horizontal="center" vertical="top"/>
    </xf>
    <xf numFmtId="164" fontId="1" fillId="4" borderId="31" xfId="0" applyNumberFormat="1" applyFont="1" applyFill="1" applyBorder="1" applyAlignment="1">
      <alignment horizontal="center" vertical="top"/>
    </xf>
    <xf numFmtId="3" fontId="2" fillId="5" borderId="75" xfId="0" applyNumberFormat="1" applyFont="1" applyFill="1" applyBorder="1" applyAlignment="1">
      <alignment horizontal="right" vertical="top" wrapText="1"/>
    </xf>
    <xf numFmtId="167" fontId="4" fillId="10" borderId="153" xfId="2" applyNumberFormat="1" applyFont="1" applyFill="1" applyBorder="1" applyAlignment="1">
      <alignment horizontal="left" vertical="top" wrapText="1"/>
    </xf>
    <xf numFmtId="49" fontId="2" fillId="8" borderId="17" xfId="0" applyNumberFormat="1" applyFont="1" applyFill="1" applyBorder="1" applyAlignment="1">
      <alignment horizontal="center" vertical="top"/>
    </xf>
    <xf numFmtId="49" fontId="2" fillId="2" borderId="42"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2" fillId="0" borderId="54" xfId="0" applyNumberFormat="1" applyFont="1" applyFill="1" applyBorder="1" applyAlignment="1">
      <alignment horizontal="center" wrapText="1"/>
    </xf>
    <xf numFmtId="3" fontId="2" fillId="5" borderId="79" xfId="0" applyNumberFormat="1" applyFont="1" applyFill="1" applyBorder="1" applyAlignment="1">
      <alignment horizontal="right" vertical="top" wrapText="1"/>
    </xf>
    <xf numFmtId="3" fontId="2" fillId="2" borderId="14" xfId="0" applyNumberFormat="1" applyFont="1" applyFill="1" applyBorder="1" applyAlignment="1">
      <alignment horizontal="left" vertical="top" wrapText="1"/>
    </xf>
    <xf numFmtId="3" fontId="2" fillId="2" borderId="72" xfId="0" applyNumberFormat="1" applyFont="1" applyFill="1" applyBorder="1" applyAlignment="1">
      <alignment horizontal="right" vertical="top" wrapText="1"/>
    </xf>
    <xf numFmtId="0" fontId="1" fillId="4" borderId="59" xfId="0" applyFont="1" applyFill="1" applyBorder="1" applyAlignment="1">
      <alignment horizontal="left" vertical="top" wrapText="1"/>
    </xf>
    <xf numFmtId="0" fontId="1" fillId="4" borderId="18" xfId="0" applyFont="1" applyFill="1" applyBorder="1" applyAlignment="1">
      <alignment horizontal="left" vertical="top" wrapText="1"/>
    </xf>
    <xf numFmtId="0" fontId="1" fillId="4" borderId="42" xfId="0" applyFont="1" applyFill="1" applyBorder="1" applyAlignment="1">
      <alignment horizontal="left" vertical="top" wrapText="1"/>
    </xf>
    <xf numFmtId="3" fontId="14" fillId="4" borderId="17" xfId="0" applyNumberFormat="1" applyFont="1" applyFill="1" applyBorder="1" applyAlignment="1">
      <alignment horizontal="center" vertical="top" wrapText="1"/>
    </xf>
    <xf numFmtId="3" fontId="14" fillId="4" borderId="0" xfId="0" applyNumberFormat="1" applyFont="1" applyFill="1" applyBorder="1" applyAlignment="1">
      <alignment horizontal="center" vertical="top" wrapText="1"/>
    </xf>
    <xf numFmtId="3" fontId="4" fillId="0" borderId="65" xfId="0" applyNumberFormat="1" applyFont="1" applyBorder="1" applyAlignment="1">
      <alignment horizontal="left" vertical="top" wrapText="1"/>
    </xf>
    <xf numFmtId="3" fontId="4" fillId="0" borderId="34" xfId="0" applyNumberFormat="1" applyFont="1" applyBorder="1" applyAlignment="1">
      <alignment horizontal="left" vertical="top" wrapText="1"/>
    </xf>
    <xf numFmtId="3" fontId="4" fillId="0" borderId="26" xfId="0" applyNumberFormat="1" applyFont="1" applyBorder="1" applyAlignment="1">
      <alignment horizontal="left" vertical="top" wrapText="1"/>
    </xf>
    <xf numFmtId="3" fontId="2" fillId="5" borderId="72" xfId="0" applyNumberFormat="1" applyFont="1" applyFill="1" applyBorder="1" applyAlignment="1">
      <alignment horizontal="right" vertical="top" wrapText="1"/>
    </xf>
    <xf numFmtId="3" fontId="1" fillId="0" borderId="0" xfId="0" applyNumberFormat="1" applyFont="1" applyBorder="1" applyAlignment="1">
      <alignment horizontal="center" vertical="top" wrapText="1"/>
    </xf>
    <xf numFmtId="3" fontId="2" fillId="7" borderId="72" xfId="0" applyNumberFormat="1" applyFont="1" applyFill="1" applyBorder="1" applyAlignment="1">
      <alignment horizontal="right" vertical="top" wrapText="1"/>
    </xf>
    <xf numFmtId="3" fontId="2" fillId="0" borderId="42" xfId="0" applyNumberFormat="1" applyFont="1" applyFill="1" applyBorder="1" applyAlignment="1">
      <alignment horizontal="center" vertical="top" textRotation="90" wrapText="1"/>
    </xf>
    <xf numFmtId="0" fontId="1" fillId="4" borderId="19" xfId="0" applyFont="1" applyFill="1" applyBorder="1" applyAlignment="1">
      <alignment horizontal="left" vertical="top" wrapText="1"/>
    </xf>
    <xf numFmtId="3" fontId="2" fillId="7" borderId="14" xfId="0" applyNumberFormat="1" applyFont="1" applyFill="1" applyBorder="1" applyAlignment="1">
      <alignment horizontal="right" vertical="top" wrapText="1"/>
    </xf>
    <xf numFmtId="3" fontId="2" fillId="0" borderId="72" xfId="0" applyNumberFormat="1" applyFont="1" applyBorder="1" applyAlignment="1">
      <alignment horizontal="center" vertical="center" wrapText="1"/>
    </xf>
    <xf numFmtId="3" fontId="2" fillId="7" borderId="73" xfId="0" applyNumberFormat="1" applyFont="1" applyFill="1" applyBorder="1" applyAlignment="1">
      <alignment horizontal="right" vertical="top" wrapText="1"/>
    </xf>
    <xf numFmtId="3" fontId="2" fillId="4" borderId="39" xfId="0" applyNumberFormat="1" applyFont="1" applyFill="1" applyBorder="1" applyAlignment="1">
      <alignment horizontal="center" vertical="top" wrapText="1"/>
    </xf>
    <xf numFmtId="3" fontId="2" fillId="4" borderId="60" xfId="0" applyNumberFormat="1" applyFont="1" applyFill="1" applyBorder="1" applyAlignment="1">
      <alignment horizontal="center" vertical="top" wrapText="1"/>
    </xf>
    <xf numFmtId="3" fontId="4" fillId="4" borderId="6" xfId="0" applyNumberFormat="1" applyFont="1" applyFill="1" applyBorder="1" applyAlignment="1">
      <alignment horizontal="center" vertical="top" wrapText="1"/>
    </xf>
    <xf numFmtId="3" fontId="4" fillId="4" borderId="5" xfId="0" applyNumberFormat="1" applyFont="1" applyFill="1" applyBorder="1" applyAlignment="1">
      <alignment horizontal="center" vertical="top" wrapText="1"/>
    </xf>
    <xf numFmtId="0" fontId="1" fillId="4" borderId="37" xfId="0" applyFont="1" applyFill="1" applyBorder="1" applyAlignment="1">
      <alignment horizontal="left" vertical="top" wrapText="1"/>
    </xf>
    <xf numFmtId="0" fontId="1" fillId="4" borderId="41" xfId="0" applyFont="1" applyFill="1" applyBorder="1" applyAlignment="1">
      <alignment horizontal="left" vertical="top" wrapText="1"/>
    </xf>
    <xf numFmtId="3" fontId="1" fillId="4" borderId="39" xfId="0" applyNumberFormat="1" applyFont="1" applyFill="1" applyBorder="1" applyAlignment="1">
      <alignment horizontal="center" vertical="top"/>
    </xf>
    <xf numFmtId="3" fontId="1" fillId="4" borderId="60" xfId="0" applyNumberFormat="1" applyFont="1" applyFill="1" applyBorder="1" applyAlignment="1">
      <alignment horizontal="center" vertical="top"/>
    </xf>
    <xf numFmtId="3" fontId="4" fillId="0" borderId="10"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164" fontId="1" fillId="4" borderId="59" xfId="0" applyNumberFormat="1" applyFont="1" applyFill="1" applyBorder="1" applyAlignment="1">
      <alignment horizontal="center" vertical="top"/>
    </xf>
    <xf numFmtId="164" fontId="1" fillId="4" borderId="42" xfId="0" applyNumberFormat="1" applyFont="1" applyFill="1" applyBorder="1" applyAlignment="1">
      <alignment horizontal="center" vertical="top"/>
    </xf>
    <xf numFmtId="3" fontId="1" fillId="4" borderId="17" xfId="0" applyNumberFormat="1" applyFont="1" applyFill="1" applyBorder="1" applyAlignment="1">
      <alignment horizontal="left" vertical="top" wrapText="1"/>
    </xf>
    <xf numFmtId="3" fontId="1" fillId="4" borderId="22" xfId="0" applyNumberFormat="1" applyFont="1" applyFill="1" applyBorder="1" applyAlignment="1">
      <alignment horizontal="left" vertical="top" wrapText="1"/>
    </xf>
    <xf numFmtId="3" fontId="1" fillId="4" borderId="40" xfId="0" applyNumberFormat="1" applyFont="1" applyFill="1" applyBorder="1" applyAlignment="1">
      <alignment horizontal="left" vertical="top" wrapText="1"/>
    </xf>
    <xf numFmtId="3" fontId="1" fillId="4" borderId="20" xfId="0" applyNumberFormat="1" applyFont="1" applyFill="1" applyBorder="1" applyAlignment="1">
      <alignment horizontal="left" vertical="top" wrapText="1"/>
    </xf>
    <xf numFmtId="3" fontId="4" fillId="0" borderId="6" xfId="0" applyNumberFormat="1" applyFont="1" applyBorder="1" applyAlignment="1">
      <alignment horizontal="center" vertical="top" wrapText="1"/>
    </xf>
    <xf numFmtId="3" fontId="4" fillId="0" borderId="8" xfId="0" applyNumberFormat="1" applyFont="1" applyBorder="1" applyAlignment="1">
      <alignment horizontal="center" vertical="top" wrapText="1"/>
    </xf>
    <xf numFmtId="3" fontId="4" fillId="0" borderId="5" xfId="0" applyNumberFormat="1" applyFont="1" applyBorder="1" applyAlignment="1">
      <alignment horizontal="center" vertical="top" wrapText="1"/>
    </xf>
    <xf numFmtId="3" fontId="4" fillId="4" borderId="49" xfId="0" applyNumberFormat="1" applyFont="1" applyFill="1" applyBorder="1" applyAlignment="1">
      <alignment horizontal="center" vertical="top" wrapText="1"/>
    </xf>
    <xf numFmtId="165" fontId="4" fillId="0" borderId="6" xfId="0" applyNumberFormat="1" applyFont="1" applyBorder="1" applyAlignment="1">
      <alignment horizontal="center" vertical="top" wrapText="1"/>
    </xf>
    <xf numFmtId="165" fontId="4" fillId="0" borderId="8" xfId="0" applyNumberFormat="1" applyFont="1" applyBorder="1" applyAlignment="1">
      <alignment horizontal="center" vertical="top" wrapText="1"/>
    </xf>
    <xf numFmtId="165" fontId="4" fillId="0" borderId="5" xfId="0" applyNumberFormat="1" applyFont="1" applyBorder="1" applyAlignment="1">
      <alignment horizontal="center" vertical="top" wrapText="1"/>
    </xf>
    <xf numFmtId="165" fontId="4" fillId="4" borderId="6" xfId="0" applyNumberFormat="1" applyFont="1" applyFill="1" applyBorder="1" applyAlignment="1">
      <alignment horizontal="center" vertical="top" wrapText="1"/>
    </xf>
    <xf numFmtId="165" fontId="4" fillId="4" borderId="8" xfId="0" applyNumberFormat="1" applyFont="1" applyFill="1" applyBorder="1" applyAlignment="1">
      <alignment horizontal="center" vertical="top" wrapText="1"/>
    </xf>
    <xf numFmtId="165" fontId="4" fillId="4" borderId="5" xfId="0" applyNumberFormat="1" applyFont="1" applyFill="1" applyBorder="1" applyAlignment="1">
      <alignment horizontal="center" vertical="top" wrapText="1"/>
    </xf>
    <xf numFmtId="3" fontId="1" fillId="4" borderId="8" xfId="0" applyNumberFormat="1" applyFont="1" applyFill="1" applyBorder="1" applyAlignment="1">
      <alignment horizontal="center" vertical="top" wrapText="1"/>
    </xf>
    <xf numFmtId="164" fontId="1" fillId="4" borderId="39" xfId="0" applyNumberFormat="1" applyFont="1" applyFill="1" applyBorder="1" applyAlignment="1">
      <alignment horizontal="center" vertical="top"/>
    </xf>
    <xf numFmtId="164" fontId="1" fillId="4" borderId="60" xfId="0" applyNumberFormat="1" applyFont="1" applyFill="1" applyBorder="1" applyAlignment="1">
      <alignment horizontal="center" vertical="top"/>
    </xf>
    <xf numFmtId="3" fontId="4" fillId="0" borderId="49" xfId="0" applyNumberFormat="1" applyFont="1" applyFill="1" applyBorder="1" applyAlignment="1">
      <alignment horizontal="center" vertical="top" wrapText="1"/>
    </xf>
    <xf numFmtId="3" fontId="2" fillId="4" borderId="33" xfId="0" applyNumberFormat="1" applyFont="1" applyFill="1" applyBorder="1" applyAlignment="1">
      <alignment horizontal="center" vertical="top"/>
    </xf>
    <xf numFmtId="3" fontId="2" fillId="4" borderId="32" xfId="0" applyNumberFormat="1" applyFont="1" applyFill="1" applyBorder="1" applyAlignment="1">
      <alignment horizontal="center" vertical="top"/>
    </xf>
    <xf numFmtId="3" fontId="1" fillId="0" borderId="6"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wrapText="1"/>
    </xf>
    <xf numFmtId="164" fontId="1" fillId="4" borderId="17" xfId="0" applyNumberFormat="1" applyFont="1" applyFill="1" applyBorder="1" applyAlignment="1">
      <alignment horizontal="left" vertical="top" wrapText="1"/>
    </xf>
    <xf numFmtId="164" fontId="1" fillId="4" borderId="0" xfId="0" applyNumberFormat="1" applyFont="1" applyFill="1" applyBorder="1" applyAlignment="1">
      <alignment horizontal="left" vertical="top" wrapText="1"/>
    </xf>
    <xf numFmtId="3" fontId="4" fillId="0" borderId="10" xfId="0" applyNumberFormat="1" applyFont="1" applyBorder="1" applyAlignment="1">
      <alignment horizontal="center" vertical="top" wrapText="1"/>
    </xf>
    <xf numFmtId="3" fontId="4" fillId="0" borderId="49" xfId="0" applyNumberFormat="1" applyFont="1" applyBorder="1" applyAlignment="1">
      <alignment horizontal="center" vertical="top" wrapText="1"/>
    </xf>
    <xf numFmtId="3" fontId="1" fillId="4" borderId="10" xfId="0" applyNumberFormat="1" applyFont="1" applyFill="1" applyBorder="1" applyAlignment="1">
      <alignment horizontal="center" vertical="top" wrapText="1"/>
    </xf>
    <xf numFmtId="3" fontId="1" fillId="4" borderId="49" xfId="0" applyNumberFormat="1" applyFont="1" applyFill="1" applyBorder="1" applyAlignment="1">
      <alignment horizontal="center" vertical="top" wrapText="1"/>
    </xf>
    <xf numFmtId="164" fontId="20" fillId="4" borderId="33" xfId="0" applyNumberFormat="1" applyFont="1" applyFill="1" applyBorder="1" applyAlignment="1">
      <alignment horizontal="center" vertical="top"/>
    </xf>
    <xf numFmtId="164" fontId="20" fillId="4" borderId="53" xfId="0" applyNumberFormat="1" applyFont="1" applyFill="1" applyBorder="1" applyAlignment="1">
      <alignment horizontal="center" vertical="top"/>
    </xf>
    <xf numFmtId="164" fontId="1" fillId="4" borderId="37" xfId="0" applyNumberFormat="1" applyFont="1" applyFill="1" applyBorder="1" applyAlignment="1">
      <alignment horizontal="center" vertical="top"/>
    </xf>
    <xf numFmtId="164" fontId="1" fillId="4" borderId="41" xfId="0" applyNumberFormat="1" applyFont="1" applyFill="1" applyBorder="1" applyAlignment="1">
      <alignment horizontal="center" vertical="top"/>
    </xf>
    <xf numFmtId="3" fontId="1" fillId="4" borderId="33" xfId="0" applyNumberFormat="1" applyFont="1" applyFill="1" applyBorder="1" applyAlignment="1">
      <alignment horizontal="left" vertical="top" wrapText="1"/>
    </xf>
    <xf numFmtId="3" fontId="1" fillId="4" borderId="53" xfId="0" applyNumberFormat="1" applyFont="1" applyFill="1" applyBorder="1" applyAlignment="1">
      <alignment horizontal="left" vertical="top" wrapText="1"/>
    </xf>
    <xf numFmtId="3" fontId="1" fillId="0" borderId="17" xfId="0" applyNumberFormat="1" applyFont="1" applyBorder="1" applyAlignment="1">
      <alignment horizontal="left" vertical="top" wrapText="1"/>
    </xf>
    <xf numFmtId="3" fontId="1" fillId="0" borderId="0" xfId="0" applyNumberFormat="1" applyFont="1" applyBorder="1" applyAlignment="1">
      <alignment horizontal="left" vertical="top" wrapText="1"/>
    </xf>
    <xf numFmtId="3" fontId="4" fillId="4" borderId="39" xfId="0" applyNumberFormat="1" applyFont="1" applyFill="1" applyBorder="1" applyAlignment="1">
      <alignment horizontal="center" vertical="top" wrapText="1"/>
    </xf>
    <xf numFmtId="3" fontId="4" fillId="4" borderId="60" xfId="0" applyNumberFormat="1" applyFont="1" applyFill="1" applyBorder="1" applyAlignment="1">
      <alignment horizontal="center" vertical="top" wrapText="1"/>
    </xf>
    <xf numFmtId="3" fontId="4" fillId="4" borderId="37" xfId="0" applyNumberFormat="1" applyFont="1" applyFill="1" applyBorder="1" applyAlignment="1">
      <alignment horizontal="center" vertical="top" wrapText="1"/>
    </xf>
    <xf numFmtId="3" fontId="4" fillId="4" borderId="41" xfId="0" applyNumberFormat="1" applyFont="1" applyFill="1" applyBorder="1" applyAlignment="1">
      <alignment horizontal="center" vertical="top" wrapText="1"/>
    </xf>
    <xf numFmtId="3" fontId="4" fillId="4" borderId="59" xfId="0" applyNumberFormat="1" applyFont="1" applyFill="1" applyBorder="1" applyAlignment="1">
      <alignment horizontal="center" vertical="top" wrapText="1"/>
    </xf>
    <xf numFmtId="3" fontId="4" fillId="0" borderId="28" xfId="0" applyNumberFormat="1" applyFont="1" applyFill="1" applyBorder="1" applyAlignment="1">
      <alignment horizontal="center" vertical="top" wrapText="1"/>
    </xf>
    <xf numFmtId="3" fontId="4" fillId="0" borderId="15" xfId="0" applyNumberFormat="1" applyFont="1" applyFill="1" applyBorder="1" applyAlignment="1">
      <alignment horizontal="center" vertical="top" wrapText="1"/>
    </xf>
    <xf numFmtId="3" fontId="1" fillId="4" borderId="17" xfId="0" applyNumberFormat="1" applyFont="1" applyFill="1" applyBorder="1" applyAlignment="1">
      <alignment horizontal="center" vertical="top" wrapText="1"/>
    </xf>
    <xf numFmtId="3" fontId="1" fillId="4" borderId="59" xfId="0" applyNumberFormat="1" applyFont="1" applyFill="1" applyBorder="1" applyAlignment="1">
      <alignment horizontal="center" vertical="top" wrapText="1"/>
    </xf>
    <xf numFmtId="3" fontId="1" fillId="4" borderId="42" xfId="0" applyNumberFormat="1" applyFont="1" applyFill="1" applyBorder="1" applyAlignment="1">
      <alignment horizontal="center" vertical="top" wrapText="1"/>
    </xf>
    <xf numFmtId="164" fontId="1" fillId="4" borderId="40" xfId="0" applyNumberFormat="1" applyFont="1" applyFill="1" applyBorder="1" applyAlignment="1">
      <alignment horizontal="center" vertical="top" wrapText="1"/>
    </xf>
    <xf numFmtId="3" fontId="4" fillId="3" borderId="10" xfId="0" applyNumberFormat="1" applyFont="1" applyFill="1" applyBorder="1" applyAlignment="1">
      <alignment horizontal="center" vertical="top" wrapText="1"/>
    </xf>
    <xf numFmtId="3" fontId="4" fillId="3" borderId="8" xfId="0" applyNumberFormat="1" applyFont="1" applyFill="1" applyBorder="1" applyAlignment="1">
      <alignment horizontal="center" vertical="top" wrapText="1"/>
    </xf>
    <xf numFmtId="3" fontId="1" fillId="0" borderId="31" xfId="0" applyNumberFormat="1" applyFont="1" applyBorder="1" applyAlignment="1">
      <alignment horizontal="center" vertical="top" wrapText="1"/>
    </xf>
    <xf numFmtId="3" fontId="1" fillId="0" borderId="21" xfId="0" applyNumberFormat="1" applyFont="1" applyBorder="1" applyAlignment="1">
      <alignment horizontal="center" vertical="top" wrapText="1"/>
    </xf>
    <xf numFmtId="3" fontId="1" fillId="0" borderId="73" xfId="0" applyNumberFormat="1" applyFont="1" applyBorder="1" applyAlignment="1">
      <alignment horizontal="center" vertical="center" wrapText="1"/>
    </xf>
    <xf numFmtId="164" fontId="4" fillId="0" borderId="22" xfId="0" applyNumberFormat="1" applyFont="1" applyBorder="1" applyAlignment="1">
      <alignment horizontal="center" vertical="top" textRotation="90" wrapText="1"/>
    </xf>
    <xf numFmtId="164" fontId="4" fillId="0" borderId="40" xfId="0" applyNumberFormat="1" applyFont="1" applyBorder="1" applyAlignment="1">
      <alignment horizontal="center" vertical="top" textRotation="90" wrapText="1"/>
    </xf>
    <xf numFmtId="164" fontId="4" fillId="0" borderId="20" xfId="0" applyNumberFormat="1" applyFont="1" applyBorder="1" applyAlignment="1">
      <alignment horizontal="center" vertical="top" textRotation="90" wrapText="1"/>
    </xf>
    <xf numFmtId="3" fontId="4" fillId="0" borderId="43" xfId="0" applyNumberFormat="1" applyFont="1" applyBorder="1" applyAlignment="1">
      <alignment horizontal="center" wrapText="1"/>
    </xf>
    <xf numFmtId="3" fontId="1" fillId="0" borderId="51" xfId="0" applyNumberFormat="1" applyFont="1" applyBorder="1" applyAlignment="1">
      <alignment horizontal="center" vertical="top" wrapText="1"/>
    </xf>
    <xf numFmtId="3" fontId="4" fillId="0" borderId="10" xfId="0" applyNumberFormat="1" applyFont="1" applyBorder="1" applyAlignment="1">
      <alignment horizontal="center" vertical="center" wrapText="1"/>
    </xf>
    <xf numFmtId="3" fontId="4" fillId="0" borderId="8" xfId="0" applyNumberFormat="1" applyFont="1" applyBorder="1" applyAlignment="1">
      <alignment horizontal="center" vertical="center" wrapText="1"/>
    </xf>
    <xf numFmtId="3" fontId="4" fillId="0" borderId="49" xfId="0" applyNumberFormat="1" applyFont="1" applyBorder="1" applyAlignment="1">
      <alignment horizontal="center" vertical="center" wrapText="1"/>
    </xf>
    <xf numFmtId="3" fontId="4" fillId="4" borderId="41" xfId="0" applyNumberFormat="1" applyFont="1" applyFill="1" applyBorder="1" applyAlignment="1">
      <alignment horizontal="left" vertical="top" wrapText="1"/>
    </xf>
    <xf numFmtId="3" fontId="1" fillId="4" borderId="7" xfId="0" applyNumberFormat="1" applyFont="1" applyFill="1" applyBorder="1" applyAlignment="1">
      <alignment horizontal="center" vertical="top" wrapText="1"/>
    </xf>
    <xf numFmtId="167" fontId="4" fillId="10" borderId="113" xfId="2" applyNumberFormat="1" applyFont="1" applyFill="1" applyBorder="1" applyAlignment="1">
      <alignment horizontal="left" vertical="top" wrapText="1"/>
    </xf>
    <xf numFmtId="167" fontId="4" fillId="10" borderId="110" xfId="2" applyNumberFormat="1" applyFont="1" applyFill="1" applyBorder="1" applyAlignment="1">
      <alignment horizontal="left" vertical="top" wrapText="1"/>
    </xf>
    <xf numFmtId="3" fontId="29" fillId="0" borderId="0" xfId="0" applyNumberFormat="1" applyFont="1" applyAlignment="1">
      <alignment horizontal="right" vertical="top" wrapText="1"/>
    </xf>
    <xf numFmtId="3" fontId="5" fillId="5" borderId="43" xfId="0" applyNumberFormat="1" applyFont="1" applyFill="1" applyBorder="1" applyAlignment="1">
      <alignment horizontal="right" vertical="top" wrapText="1"/>
    </xf>
    <xf numFmtId="3" fontId="5" fillId="5" borderId="79" xfId="0" applyNumberFormat="1" applyFont="1" applyFill="1" applyBorder="1" applyAlignment="1">
      <alignment horizontal="right" vertical="top" wrapText="1"/>
    </xf>
    <xf numFmtId="167" fontId="4" fillId="10" borderId="126" xfId="2" applyNumberFormat="1" applyFont="1" applyFill="1" applyBorder="1" applyAlignment="1">
      <alignment horizontal="left" vertical="top" wrapText="1"/>
    </xf>
    <xf numFmtId="167" fontId="4" fillId="10" borderId="17" xfId="2" applyNumberFormat="1" applyFont="1" applyFill="1" applyBorder="1" applyAlignment="1">
      <alignment horizontal="left" vertical="top" wrapText="1"/>
    </xf>
    <xf numFmtId="3" fontId="4" fillId="4" borderId="8" xfId="0" applyNumberFormat="1" applyFont="1" applyFill="1" applyBorder="1" applyAlignment="1">
      <alignment horizontal="center" vertical="top" wrapText="1"/>
    </xf>
    <xf numFmtId="0" fontId="1" fillId="4" borderId="61" xfId="0" applyFont="1" applyFill="1" applyBorder="1" applyAlignment="1">
      <alignment horizontal="left" vertical="top" wrapText="1"/>
    </xf>
    <xf numFmtId="164" fontId="2" fillId="4" borderId="59" xfId="0" applyNumberFormat="1" applyFont="1" applyFill="1" applyBorder="1" applyAlignment="1">
      <alignment horizontal="center" vertical="top"/>
    </xf>
    <xf numFmtId="164" fontId="2" fillId="4" borderId="42" xfId="0" applyNumberFormat="1" applyFont="1" applyFill="1" applyBorder="1" applyAlignment="1">
      <alignment horizontal="center" vertical="top"/>
    </xf>
    <xf numFmtId="164" fontId="2" fillId="4" borderId="28" xfId="0" applyNumberFormat="1" applyFont="1" applyFill="1" applyBorder="1" applyAlignment="1">
      <alignment horizontal="center" vertical="top"/>
    </xf>
    <xf numFmtId="164" fontId="2" fillId="4" borderId="15" xfId="0" applyNumberFormat="1" applyFont="1" applyFill="1" applyBorder="1" applyAlignment="1">
      <alignment horizontal="center" vertical="top"/>
    </xf>
    <xf numFmtId="3" fontId="15" fillId="4" borderId="18" xfId="0" applyNumberFormat="1" applyFont="1" applyFill="1" applyBorder="1" applyAlignment="1">
      <alignment horizontal="left" vertical="top" wrapText="1"/>
    </xf>
    <xf numFmtId="3" fontId="1" fillId="4" borderId="37" xfId="0" applyNumberFormat="1" applyFont="1" applyFill="1" applyBorder="1" applyAlignment="1">
      <alignment horizontal="center" vertical="top" wrapText="1"/>
    </xf>
    <xf numFmtId="3" fontId="1" fillId="4" borderId="41" xfId="0" applyNumberFormat="1" applyFont="1" applyFill="1" applyBorder="1" applyAlignment="1">
      <alignment horizontal="center" vertical="top" wrapText="1"/>
    </xf>
    <xf numFmtId="3" fontId="1" fillId="0" borderId="49" xfId="0" applyNumberFormat="1" applyFont="1" applyFill="1" applyBorder="1" applyAlignment="1">
      <alignment horizontal="center" vertical="top" wrapText="1"/>
    </xf>
    <xf numFmtId="3" fontId="4" fillId="3" borderId="49" xfId="0" applyNumberFormat="1" applyFont="1" applyFill="1" applyBorder="1" applyAlignment="1">
      <alignment horizontal="center" vertical="top" wrapText="1"/>
    </xf>
    <xf numFmtId="3" fontId="1" fillId="0" borderId="10" xfId="0" applyNumberFormat="1" applyFont="1" applyFill="1" applyBorder="1" applyAlignment="1">
      <alignment horizontal="center" vertical="top" wrapText="1"/>
    </xf>
    <xf numFmtId="3" fontId="1" fillId="4" borderId="6" xfId="0" applyNumberFormat="1" applyFont="1" applyFill="1" applyBorder="1" applyAlignment="1">
      <alignment horizontal="center" vertical="top" wrapText="1"/>
    </xf>
    <xf numFmtId="3" fontId="2" fillId="7" borderId="25" xfId="0" applyNumberFormat="1" applyFont="1" applyFill="1" applyBorder="1" applyAlignment="1">
      <alignment horizontal="right" vertical="top" wrapText="1"/>
    </xf>
    <xf numFmtId="3" fontId="1" fillId="3" borderId="74" xfId="0" applyNumberFormat="1" applyFont="1" applyFill="1" applyBorder="1" applyAlignment="1">
      <alignment horizontal="left" vertical="top" wrapText="1"/>
    </xf>
    <xf numFmtId="3" fontId="1" fillId="3" borderId="58" xfId="0" applyNumberFormat="1" applyFont="1" applyFill="1" applyBorder="1" applyAlignment="1">
      <alignment horizontal="left" vertical="top" wrapText="1"/>
    </xf>
    <xf numFmtId="3" fontId="1" fillId="3" borderId="73" xfId="0" applyNumberFormat="1" applyFont="1" applyFill="1" applyBorder="1" applyAlignment="1">
      <alignment horizontal="left" vertical="top" wrapText="1"/>
    </xf>
    <xf numFmtId="3" fontId="2" fillId="0" borderId="3" xfId="0" applyNumberFormat="1" applyFont="1" applyFill="1" applyBorder="1" applyAlignment="1">
      <alignment horizontal="center" wrapText="1"/>
    </xf>
    <xf numFmtId="0" fontId="32" fillId="0" borderId="165" xfId="0" applyFont="1" applyBorder="1" applyAlignment="1">
      <alignment horizontal="center" vertical="center"/>
    </xf>
    <xf numFmtId="0" fontId="11" fillId="0" borderId="170" xfId="0" applyFont="1" applyBorder="1" applyAlignment="1">
      <alignment horizontal="center" vertical="center" wrapText="1"/>
    </xf>
    <xf numFmtId="0" fontId="11" fillId="0" borderId="171" xfId="0" applyFont="1" applyBorder="1" applyAlignment="1">
      <alignment horizontal="center" vertical="center" wrapText="1"/>
    </xf>
    <xf numFmtId="0" fontId="8" fillId="0" borderId="172" xfId="0" applyFont="1" applyBorder="1" applyAlignment="1">
      <alignment horizontal="center" vertical="center" wrapText="1"/>
    </xf>
    <xf numFmtId="0" fontId="8" fillId="0" borderId="166" xfId="0" applyFont="1" applyBorder="1" applyAlignment="1">
      <alignment horizontal="center" vertical="center" wrapText="1"/>
    </xf>
    <xf numFmtId="0" fontId="8" fillId="0" borderId="172" xfId="0" applyFont="1" applyBorder="1" applyAlignment="1">
      <alignment vertical="center" wrapText="1"/>
    </xf>
    <xf numFmtId="0" fontId="8" fillId="0" borderId="166" xfId="0" applyFont="1" applyBorder="1" applyAlignment="1">
      <alignment vertical="center" wrapText="1"/>
    </xf>
    <xf numFmtId="0" fontId="31" fillId="0" borderId="172" xfId="0" applyFont="1" applyBorder="1" applyAlignment="1">
      <alignment vertical="center" wrapText="1"/>
    </xf>
    <xf numFmtId="0" fontId="31" fillId="0" borderId="166" xfId="0" applyFont="1" applyBorder="1" applyAlignment="1">
      <alignment vertical="center" wrapText="1"/>
    </xf>
    <xf numFmtId="0" fontId="11" fillId="0" borderId="0" xfId="0" applyFont="1" applyAlignment="1">
      <alignment horizontal="right"/>
    </xf>
    <xf numFmtId="0" fontId="8" fillId="0" borderId="10" xfId="0" applyFont="1" applyBorder="1" applyAlignment="1">
      <alignment horizontal="center" vertical="center" wrapText="1"/>
    </xf>
    <xf numFmtId="0" fontId="8" fillId="0" borderId="49" xfId="0" applyFont="1" applyBorder="1" applyAlignment="1">
      <alignment horizontal="center" vertical="center" wrapText="1"/>
    </xf>
    <xf numFmtId="0" fontId="8" fillId="0" borderId="10" xfId="0" applyFont="1" applyBorder="1" applyAlignment="1">
      <alignment horizontal="justify" vertical="center" wrapText="1"/>
    </xf>
    <xf numFmtId="0" fontId="8" fillId="0" borderId="49" xfId="0" applyFont="1" applyBorder="1" applyAlignment="1">
      <alignment horizontal="justify" vertical="center" wrapText="1"/>
    </xf>
    <xf numFmtId="165" fontId="8" fillId="0" borderId="10" xfId="0" applyNumberFormat="1" applyFont="1" applyBorder="1" applyAlignment="1">
      <alignment horizontal="center" vertical="center" wrapText="1"/>
    </xf>
    <xf numFmtId="165" fontId="8" fillId="0" borderId="49" xfId="0" applyNumberFormat="1" applyFont="1" applyBorder="1" applyAlignment="1">
      <alignment horizontal="center" vertical="center" wrapText="1"/>
    </xf>
    <xf numFmtId="0" fontId="8" fillId="0" borderId="10" xfId="0" applyFont="1" applyBorder="1" applyAlignment="1">
      <alignment horizontal="left" vertical="center" wrapText="1"/>
    </xf>
    <xf numFmtId="0" fontId="8" fillId="0" borderId="49" xfId="0" applyFont="1" applyBorder="1" applyAlignment="1">
      <alignment horizontal="left" vertical="center" wrapText="1"/>
    </xf>
    <xf numFmtId="4" fontId="4" fillId="4" borderId="0" xfId="0" applyNumberFormat="1" applyFont="1" applyFill="1" applyBorder="1" applyAlignment="1">
      <alignment horizontal="center" vertical="top"/>
    </xf>
    <xf numFmtId="4" fontId="4" fillId="4" borderId="18" xfId="0" applyNumberFormat="1" applyFont="1" applyFill="1" applyBorder="1" applyAlignment="1">
      <alignment horizontal="center" vertical="top"/>
    </xf>
    <xf numFmtId="3" fontId="25" fillId="4" borderId="17" xfId="0" applyNumberFormat="1" applyFont="1" applyFill="1" applyBorder="1" applyAlignment="1">
      <alignment horizontal="center" vertical="top" wrapText="1"/>
    </xf>
    <xf numFmtId="3" fontId="18" fillId="4" borderId="6" xfId="0" applyNumberFormat="1" applyFont="1" applyFill="1" applyBorder="1" applyAlignment="1">
      <alignment horizontal="left" vertical="top" wrapText="1"/>
    </xf>
    <xf numFmtId="3" fontId="18" fillId="4" borderId="8" xfId="0" applyNumberFormat="1" applyFont="1" applyFill="1" applyBorder="1" applyAlignment="1">
      <alignment horizontal="left" vertical="top" wrapText="1"/>
    </xf>
    <xf numFmtId="164" fontId="25" fillId="4" borderId="17" xfId="0" applyNumberFormat="1" applyFont="1" applyFill="1" applyBorder="1" applyAlignment="1">
      <alignment horizontal="center" vertical="top"/>
    </xf>
    <xf numFmtId="4" fontId="4" fillId="4" borderId="17" xfId="0" applyNumberFormat="1" applyFont="1" applyFill="1" applyBorder="1" applyAlignment="1">
      <alignment horizontal="center" vertical="top"/>
    </xf>
    <xf numFmtId="3" fontId="14" fillId="4" borderId="42" xfId="0" applyNumberFormat="1" applyFont="1" applyFill="1" applyBorder="1" applyAlignment="1">
      <alignment horizontal="left" vertical="top" wrapText="1"/>
    </xf>
    <xf numFmtId="164" fontId="25" fillId="4" borderId="18" xfId="0" applyNumberFormat="1" applyFont="1" applyFill="1" applyBorder="1" applyAlignment="1">
      <alignment horizontal="center" vertical="top"/>
    </xf>
  </cellXfs>
  <cellStyles count="3">
    <cellStyle name="Excel Built-in Normal" xfId="2"/>
    <cellStyle name="Įprastas" xfId="0" builtinId="0"/>
    <cellStyle name="Įprastas 2" xfId="1"/>
  </cellStyles>
  <dxfs count="0"/>
  <tableStyles count="0" defaultTableStyle="TableStyleMedium2" defaultPivotStyle="PivotStyleLight16"/>
  <colors>
    <mruColors>
      <color rgb="FFFFFF99"/>
      <color rgb="FFCCFFCC"/>
      <color rgb="FFCCFF99"/>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180975</xdr:colOff>
      <xdr:row>49</xdr:row>
      <xdr:rowOff>85725</xdr:rowOff>
    </xdr:to>
    <xdr:pic>
      <xdr:nvPicPr>
        <xdr:cNvPr id="2" name="Paveikslėlis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667375" cy="8020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180975</xdr:colOff>
      <xdr:row>49</xdr:row>
      <xdr:rowOff>85725</xdr:rowOff>
    </xdr:to>
    <xdr:pic>
      <xdr:nvPicPr>
        <xdr:cNvPr id="2" name="Paveikslėlis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667375" cy="8020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180975</xdr:colOff>
      <xdr:row>49</xdr:row>
      <xdr:rowOff>85725</xdr:rowOff>
    </xdr:to>
    <xdr:pic>
      <xdr:nvPicPr>
        <xdr:cNvPr id="2" name="Paveikslėlis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667375" cy="8020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275"/>
  <sheetViews>
    <sheetView topLeftCell="A220" workbookViewId="0">
      <selection activeCell="M227" sqref="M227"/>
    </sheetView>
  </sheetViews>
  <sheetFormatPr defaultRowHeight="12.75" x14ac:dyDescent="0.2"/>
  <cols>
    <col min="1" max="3" width="2.42578125" style="61" customWidth="1"/>
    <col min="4" max="4" width="32.5703125" style="39" customWidth="1"/>
    <col min="5" max="6" width="3" style="45" customWidth="1"/>
    <col min="7" max="7" width="9.7109375" style="91" customWidth="1"/>
    <col min="8" max="16" width="8.85546875" style="111" customWidth="1"/>
    <col min="17" max="17" width="23.5703125" style="39" customWidth="1"/>
    <col min="18" max="18" width="7" style="45" customWidth="1"/>
    <col min="19" max="20" width="6.42578125" style="976" customWidth="1"/>
    <col min="21" max="21" width="23.5703125" style="976" customWidth="1"/>
    <col min="22" max="22" width="11.140625" style="38" customWidth="1"/>
    <col min="23" max="16384" width="9.140625" style="38"/>
  </cols>
  <sheetData>
    <row r="1" spans="1:23" ht="28.5" customHeight="1" x14ac:dyDescent="0.2">
      <c r="Q1" s="2494" t="s">
        <v>108</v>
      </c>
      <c r="R1" s="2494"/>
      <c r="S1" s="2494"/>
      <c r="T1" s="2494"/>
      <c r="U1" s="2494"/>
    </row>
    <row r="2" spans="1:23" s="123" customFormat="1" ht="15.75" x14ac:dyDescent="0.2">
      <c r="A2" s="2495" t="s">
        <v>235</v>
      </c>
      <c r="B2" s="2495"/>
      <c r="C2" s="2495"/>
      <c r="D2" s="2495"/>
      <c r="E2" s="2495"/>
      <c r="F2" s="2495"/>
      <c r="G2" s="2495"/>
      <c r="H2" s="2495"/>
      <c r="I2" s="2495"/>
      <c r="J2" s="2495"/>
      <c r="K2" s="2495"/>
      <c r="L2" s="2495"/>
      <c r="M2" s="2495"/>
      <c r="N2" s="2495"/>
      <c r="O2" s="2495"/>
      <c r="P2" s="2495"/>
      <c r="Q2" s="2495"/>
      <c r="R2" s="2495"/>
      <c r="S2" s="2495"/>
      <c r="T2" s="2495"/>
      <c r="U2" s="2495"/>
    </row>
    <row r="3" spans="1:23" s="123" customFormat="1" ht="15.75" x14ac:dyDescent="0.2">
      <c r="A3" s="2496" t="s">
        <v>30</v>
      </c>
      <c r="B3" s="2496"/>
      <c r="C3" s="2496"/>
      <c r="D3" s="2496"/>
      <c r="E3" s="2496"/>
      <c r="F3" s="2496"/>
      <c r="G3" s="2496"/>
      <c r="H3" s="2496"/>
      <c r="I3" s="2496"/>
      <c r="J3" s="2496"/>
      <c r="K3" s="2496"/>
      <c r="L3" s="2496"/>
      <c r="M3" s="2496"/>
      <c r="N3" s="2496"/>
      <c r="O3" s="2496"/>
      <c r="P3" s="2496"/>
      <c r="Q3" s="2496"/>
      <c r="R3" s="2496"/>
      <c r="S3" s="2496"/>
      <c r="T3" s="2496"/>
      <c r="U3" s="2496"/>
    </row>
    <row r="4" spans="1:23" s="123" customFormat="1" ht="15.75" x14ac:dyDescent="0.2">
      <c r="A4" s="2497" t="s">
        <v>55</v>
      </c>
      <c r="B4" s="2497"/>
      <c r="C4" s="2497"/>
      <c r="D4" s="2497"/>
      <c r="E4" s="2497"/>
      <c r="F4" s="2497"/>
      <c r="G4" s="2497"/>
      <c r="H4" s="2497"/>
      <c r="I4" s="2497"/>
      <c r="J4" s="2497"/>
      <c r="K4" s="2497"/>
      <c r="L4" s="2497"/>
      <c r="M4" s="2497"/>
      <c r="N4" s="2497"/>
      <c r="O4" s="2497"/>
      <c r="P4" s="2497"/>
      <c r="Q4" s="2497"/>
      <c r="R4" s="2497"/>
      <c r="S4" s="2497"/>
      <c r="T4" s="2497"/>
      <c r="U4" s="2497"/>
    </row>
    <row r="5" spans="1:23" ht="20.25" customHeight="1" thickBot="1" x14ac:dyDescent="0.25">
      <c r="A5" s="90"/>
      <c r="B5" s="90"/>
      <c r="C5" s="2498" t="s">
        <v>76</v>
      </c>
      <c r="D5" s="2498"/>
      <c r="E5" s="2498"/>
      <c r="F5" s="2498"/>
      <c r="G5" s="2498"/>
      <c r="H5" s="2498"/>
      <c r="I5" s="2498"/>
      <c r="J5" s="2498"/>
      <c r="K5" s="2498"/>
      <c r="L5" s="2498"/>
      <c r="M5" s="2498"/>
      <c r="N5" s="2498"/>
      <c r="O5" s="2498"/>
      <c r="P5" s="2498"/>
      <c r="Q5" s="2498"/>
      <c r="R5" s="2498"/>
      <c r="S5" s="2498"/>
      <c r="T5" s="2498"/>
      <c r="U5" s="2498"/>
    </row>
    <row r="6" spans="1:23" ht="24" customHeight="1" x14ac:dyDescent="0.2">
      <c r="A6" s="2499" t="s">
        <v>8</v>
      </c>
      <c r="B6" s="2502" t="s">
        <v>9</v>
      </c>
      <c r="C6" s="2505" t="s">
        <v>10</v>
      </c>
      <c r="D6" s="2508" t="s">
        <v>122</v>
      </c>
      <c r="E6" s="2511" t="s">
        <v>11</v>
      </c>
      <c r="F6" s="2491" t="s">
        <v>12</v>
      </c>
      <c r="G6" s="2486" t="s">
        <v>13</v>
      </c>
      <c r="H6" s="2483" t="s">
        <v>123</v>
      </c>
      <c r="I6" s="2477" t="s">
        <v>257</v>
      </c>
      <c r="J6" s="2480" t="s">
        <v>109</v>
      </c>
      <c r="K6" s="2483" t="s">
        <v>79</v>
      </c>
      <c r="L6" s="2477" t="s">
        <v>261</v>
      </c>
      <c r="M6" s="2480" t="s">
        <v>109</v>
      </c>
      <c r="N6" s="2483" t="s">
        <v>124</v>
      </c>
      <c r="O6" s="2477" t="s">
        <v>262</v>
      </c>
      <c r="P6" s="2486" t="s">
        <v>109</v>
      </c>
      <c r="Q6" s="2489" t="s">
        <v>125</v>
      </c>
      <c r="R6" s="2490"/>
      <c r="S6" s="2490"/>
      <c r="T6" s="2490"/>
      <c r="U6" s="2514" t="s">
        <v>260</v>
      </c>
    </row>
    <row r="7" spans="1:23" ht="15.75" customHeight="1" x14ac:dyDescent="0.2">
      <c r="A7" s="2500"/>
      <c r="B7" s="2503"/>
      <c r="C7" s="2506"/>
      <c r="D7" s="2509"/>
      <c r="E7" s="2512"/>
      <c r="F7" s="2492"/>
      <c r="G7" s="2487"/>
      <c r="H7" s="2484"/>
      <c r="I7" s="2478"/>
      <c r="J7" s="2481"/>
      <c r="K7" s="2484"/>
      <c r="L7" s="2478"/>
      <c r="M7" s="2481"/>
      <c r="N7" s="2484"/>
      <c r="O7" s="2478"/>
      <c r="P7" s="2487"/>
      <c r="Q7" s="2517" t="s">
        <v>23</v>
      </c>
      <c r="R7" s="2519" t="s">
        <v>59</v>
      </c>
      <c r="S7" s="2520"/>
      <c r="T7" s="2520"/>
      <c r="U7" s="2515"/>
    </row>
    <row r="8" spans="1:23" ht="91.5" customHeight="1" thickBot="1" x14ac:dyDescent="0.25">
      <c r="A8" s="2501"/>
      <c r="B8" s="2504"/>
      <c r="C8" s="2507"/>
      <c r="D8" s="2510"/>
      <c r="E8" s="2513"/>
      <c r="F8" s="2493"/>
      <c r="G8" s="2488"/>
      <c r="H8" s="2485"/>
      <c r="I8" s="2479"/>
      <c r="J8" s="2482"/>
      <c r="K8" s="2485"/>
      <c r="L8" s="2479"/>
      <c r="M8" s="2482"/>
      <c r="N8" s="2485"/>
      <c r="O8" s="2479"/>
      <c r="P8" s="2488"/>
      <c r="Q8" s="2518"/>
      <c r="R8" s="362" t="s">
        <v>60</v>
      </c>
      <c r="S8" s="362" t="s">
        <v>82</v>
      </c>
      <c r="T8" s="362" t="s">
        <v>121</v>
      </c>
      <c r="U8" s="2516"/>
    </row>
    <row r="9" spans="1:23" ht="13.5" thickBot="1" x14ac:dyDescent="0.25">
      <c r="A9" s="2468" t="s">
        <v>67</v>
      </c>
      <c r="B9" s="2469"/>
      <c r="C9" s="2469"/>
      <c r="D9" s="2469"/>
      <c r="E9" s="2469"/>
      <c r="F9" s="2469"/>
      <c r="G9" s="2469"/>
      <c r="H9" s="2469"/>
      <c r="I9" s="2469"/>
      <c r="J9" s="2469"/>
      <c r="K9" s="2469"/>
      <c r="L9" s="2469"/>
      <c r="M9" s="2469"/>
      <c r="N9" s="2469"/>
      <c r="O9" s="2469"/>
      <c r="P9" s="2469"/>
      <c r="Q9" s="2469"/>
      <c r="R9" s="2469"/>
      <c r="S9" s="2469"/>
      <c r="T9" s="2469"/>
      <c r="U9" s="2470"/>
    </row>
    <row r="10" spans="1:23" s="52" customFormat="1" ht="12.75" customHeight="1" thickBot="1" x14ac:dyDescent="0.25">
      <c r="A10" s="2471" t="s">
        <v>31</v>
      </c>
      <c r="B10" s="2472"/>
      <c r="C10" s="2472"/>
      <c r="D10" s="2472"/>
      <c r="E10" s="2472"/>
      <c r="F10" s="2472"/>
      <c r="G10" s="2472"/>
      <c r="H10" s="2472"/>
      <c r="I10" s="2472"/>
      <c r="J10" s="2472"/>
      <c r="K10" s="2472"/>
      <c r="L10" s="2472"/>
      <c r="M10" s="2472"/>
      <c r="N10" s="2472"/>
      <c r="O10" s="2472"/>
      <c r="P10" s="2472"/>
      <c r="Q10" s="2472"/>
      <c r="R10" s="2472"/>
      <c r="S10" s="2472"/>
      <c r="T10" s="2472"/>
      <c r="U10" s="2473"/>
      <c r="V10" s="224"/>
    </row>
    <row r="11" spans="1:23" s="52" customFormat="1" ht="13.5" thickBot="1" x14ac:dyDescent="0.25">
      <c r="A11" s="560" t="s">
        <v>14</v>
      </c>
      <c r="B11" s="2474" t="s">
        <v>36</v>
      </c>
      <c r="C11" s="2475"/>
      <c r="D11" s="2475"/>
      <c r="E11" s="2475"/>
      <c r="F11" s="2475"/>
      <c r="G11" s="2475"/>
      <c r="H11" s="2475"/>
      <c r="I11" s="2475"/>
      <c r="J11" s="2475"/>
      <c r="K11" s="2475"/>
      <c r="L11" s="2475"/>
      <c r="M11" s="2475"/>
      <c r="N11" s="2475"/>
      <c r="O11" s="2475"/>
      <c r="P11" s="2475"/>
      <c r="Q11" s="2475"/>
      <c r="R11" s="2475"/>
      <c r="S11" s="2475"/>
      <c r="T11" s="2475"/>
      <c r="U11" s="2476"/>
    </row>
    <row r="12" spans="1:23" s="52" customFormat="1" ht="13.5" thickBot="1" x14ac:dyDescent="0.25">
      <c r="A12" s="563" t="s">
        <v>14</v>
      </c>
      <c r="B12" s="7" t="s">
        <v>14</v>
      </c>
      <c r="C12" s="2453" t="s">
        <v>72</v>
      </c>
      <c r="D12" s="2454"/>
      <c r="E12" s="2454"/>
      <c r="F12" s="2454"/>
      <c r="G12" s="2455"/>
      <c r="H12" s="2455"/>
      <c r="I12" s="2455"/>
      <c r="J12" s="2455"/>
      <c r="K12" s="2455"/>
      <c r="L12" s="2455"/>
      <c r="M12" s="2455"/>
      <c r="N12" s="2455"/>
      <c r="O12" s="2455"/>
      <c r="P12" s="2455"/>
      <c r="Q12" s="2455"/>
      <c r="R12" s="2455"/>
      <c r="S12" s="2455"/>
      <c r="T12" s="2455"/>
      <c r="U12" s="2456"/>
    </row>
    <row r="13" spans="1:23" s="52" customFormat="1" ht="12.75" customHeight="1" x14ac:dyDescent="0.2">
      <c r="A13" s="564" t="s">
        <v>14</v>
      </c>
      <c r="B13" s="3" t="s">
        <v>14</v>
      </c>
      <c r="C13" s="2457" t="s">
        <v>14</v>
      </c>
      <c r="D13" s="2458" t="s">
        <v>45</v>
      </c>
      <c r="E13" s="2460" t="s">
        <v>240</v>
      </c>
      <c r="F13" s="2461">
        <v>2</v>
      </c>
      <c r="G13" s="848" t="s">
        <v>15</v>
      </c>
      <c r="H13" s="661">
        <f>29261.8+9</f>
        <v>29270.799999999999</v>
      </c>
      <c r="I13" s="883">
        <f>29261.8+9+55+1.3-19.7+36.2+4.4+1.7</f>
        <v>29349.7</v>
      </c>
      <c r="J13" s="884">
        <f>+I13-H13</f>
        <v>78.900000000001455</v>
      </c>
      <c r="K13" s="661">
        <v>29317.599999999999</v>
      </c>
      <c r="L13" s="652">
        <v>29317.599999999999</v>
      </c>
      <c r="M13" s="653">
        <f>+L13-K13</f>
        <v>0</v>
      </c>
      <c r="N13" s="657">
        <v>29311.5</v>
      </c>
      <c r="O13" s="652">
        <v>29311.5</v>
      </c>
      <c r="P13" s="653">
        <f>+O13-N13</f>
        <v>0</v>
      </c>
      <c r="Q13" s="453"/>
      <c r="R13" s="476"/>
      <c r="S13" s="200"/>
      <c r="T13" s="382"/>
      <c r="U13" s="2462" t="s">
        <v>294</v>
      </c>
    </row>
    <row r="14" spans="1:23" s="52" customFormat="1" x14ac:dyDescent="0.2">
      <c r="A14" s="565"/>
      <c r="B14" s="5"/>
      <c r="C14" s="2433"/>
      <c r="D14" s="2459"/>
      <c r="E14" s="2443"/>
      <c r="F14" s="2446"/>
      <c r="G14" s="78" t="s">
        <v>18</v>
      </c>
      <c r="H14" s="662">
        <v>36475.699999999997</v>
      </c>
      <c r="I14" s="380">
        <v>36475.699999999997</v>
      </c>
      <c r="J14" s="620"/>
      <c r="K14" s="662">
        <v>35492</v>
      </c>
      <c r="L14" s="380">
        <v>35492</v>
      </c>
      <c r="M14" s="620">
        <f>+L14-K14</f>
        <v>0</v>
      </c>
      <c r="N14" s="658">
        <v>35492</v>
      </c>
      <c r="O14" s="380">
        <v>35492</v>
      </c>
      <c r="P14" s="620">
        <f>+O14-N14</f>
        <v>0</v>
      </c>
      <c r="Q14" s="980"/>
      <c r="R14" s="211"/>
      <c r="S14" s="201"/>
      <c r="T14" s="376"/>
      <c r="U14" s="2463"/>
    </row>
    <row r="15" spans="1:23" s="52" customFormat="1" x14ac:dyDescent="0.2">
      <c r="A15" s="565"/>
      <c r="B15" s="5"/>
      <c r="C15" s="915"/>
      <c r="D15" s="727"/>
      <c r="E15" s="447"/>
      <c r="F15" s="922"/>
      <c r="G15" s="78" t="s">
        <v>18</v>
      </c>
      <c r="H15" s="662">
        <v>132.1</v>
      </c>
      <c r="I15" s="380">
        <v>132.1</v>
      </c>
      <c r="J15" s="620"/>
      <c r="K15" s="613"/>
      <c r="L15" s="380"/>
      <c r="M15" s="620"/>
      <c r="N15" s="527"/>
      <c r="O15" s="380"/>
      <c r="P15" s="620"/>
      <c r="Q15" s="980"/>
      <c r="R15" s="211"/>
      <c r="S15" s="201"/>
      <c r="T15" s="376"/>
      <c r="U15" s="2463"/>
    </row>
    <row r="16" spans="1:23" s="52" customFormat="1" ht="14.25" customHeight="1" x14ac:dyDescent="0.2">
      <c r="A16" s="565"/>
      <c r="B16" s="926"/>
      <c r="C16" s="13"/>
      <c r="D16" s="63"/>
      <c r="E16" s="447"/>
      <c r="F16" s="922"/>
      <c r="G16" s="849" t="s">
        <v>44</v>
      </c>
      <c r="H16" s="662">
        <v>5503.7</v>
      </c>
      <c r="I16" s="380">
        <v>5503.7</v>
      </c>
      <c r="J16" s="620"/>
      <c r="K16" s="613">
        <v>5509</v>
      </c>
      <c r="L16" s="380">
        <v>5509</v>
      </c>
      <c r="M16" s="620"/>
      <c r="N16" s="527">
        <v>5509</v>
      </c>
      <c r="O16" s="380">
        <v>5509</v>
      </c>
      <c r="P16" s="620"/>
      <c r="Q16" s="225"/>
      <c r="R16" s="77"/>
      <c r="S16" s="76"/>
      <c r="T16" s="255"/>
      <c r="U16" s="2463"/>
      <c r="V16" s="298"/>
      <c r="W16" s="224"/>
    </row>
    <row r="17" spans="1:28" s="52" customFormat="1" ht="14.25" customHeight="1" x14ac:dyDescent="0.2">
      <c r="A17" s="565"/>
      <c r="B17" s="926"/>
      <c r="C17" s="13"/>
      <c r="D17" s="63"/>
      <c r="E17" s="447"/>
      <c r="F17" s="922"/>
      <c r="G17" s="855" t="s">
        <v>66</v>
      </c>
      <c r="H17" s="662">
        <v>593.70000000000005</v>
      </c>
      <c r="I17" s="380">
        <v>593.70000000000005</v>
      </c>
      <c r="J17" s="620"/>
      <c r="K17" s="613"/>
      <c r="L17" s="380"/>
      <c r="M17" s="620"/>
      <c r="N17" s="527"/>
      <c r="O17" s="380"/>
      <c r="P17" s="620"/>
      <c r="Q17" s="225"/>
      <c r="R17" s="77"/>
      <c r="S17" s="76"/>
      <c r="T17" s="255"/>
      <c r="U17" s="2463"/>
      <c r="V17" s="992" t="s">
        <v>297</v>
      </c>
      <c r="W17" s="992"/>
      <c r="X17" s="993"/>
      <c r="Y17" s="993"/>
      <c r="Z17" s="993"/>
      <c r="AA17" s="993"/>
      <c r="AB17" s="993"/>
    </row>
    <row r="18" spans="1:28" s="52" customFormat="1" ht="15" customHeight="1" x14ac:dyDescent="0.2">
      <c r="A18" s="565"/>
      <c r="B18" s="5"/>
      <c r="C18" s="13"/>
      <c r="D18" s="63"/>
      <c r="E18" s="447"/>
      <c r="F18" s="922"/>
      <c r="G18" s="850" t="s">
        <v>226</v>
      </c>
      <c r="H18" s="662">
        <v>43.3</v>
      </c>
      <c r="I18" s="380">
        <v>43.3</v>
      </c>
      <c r="J18" s="620"/>
      <c r="K18" s="613">
        <v>7.7</v>
      </c>
      <c r="L18" s="380">
        <v>7.7</v>
      </c>
      <c r="M18" s="620"/>
      <c r="N18" s="527"/>
      <c r="O18" s="380"/>
      <c r="P18" s="620"/>
      <c r="Q18" s="225"/>
      <c r="R18" s="77"/>
      <c r="S18" s="76"/>
      <c r="T18" s="255"/>
      <c r="U18" s="2463"/>
      <c r="V18" s="989" t="s">
        <v>308</v>
      </c>
      <c r="W18" s="990"/>
      <c r="X18" s="991"/>
      <c r="Y18" s="991"/>
      <c r="Z18" s="991"/>
      <c r="AA18" s="991"/>
      <c r="AB18" s="991"/>
    </row>
    <row r="19" spans="1:28" s="52" customFormat="1" ht="15.75" customHeight="1" x14ac:dyDescent="0.2">
      <c r="A19" s="565"/>
      <c r="B19" s="5"/>
      <c r="C19" s="13"/>
      <c r="D19" s="63"/>
      <c r="E19" s="433"/>
      <c r="F19" s="647"/>
      <c r="G19" s="850" t="s">
        <v>3</v>
      </c>
      <c r="H19" s="356">
        <v>3.8</v>
      </c>
      <c r="I19" s="307">
        <v>3.8</v>
      </c>
      <c r="J19" s="353"/>
      <c r="K19" s="221">
        <v>0.7</v>
      </c>
      <c r="L19" s="307">
        <v>0.7</v>
      </c>
      <c r="M19" s="353"/>
      <c r="N19" s="358"/>
      <c r="O19" s="307"/>
      <c r="P19" s="353"/>
      <c r="Q19" s="225"/>
      <c r="R19" s="77"/>
      <c r="S19" s="76"/>
      <c r="T19" s="255"/>
      <c r="U19" s="2463"/>
      <c r="V19" s="989"/>
      <c r="W19" s="990"/>
      <c r="X19" s="991"/>
      <c r="Y19" s="991"/>
      <c r="Z19" s="991"/>
      <c r="AA19" s="991"/>
      <c r="AB19" s="991"/>
    </row>
    <row r="20" spans="1:28" s="52" customFormat="1" ht="15" customHeight="1" x14ac:dyDescent="0.2">
      <c r="A20" s="565"/>
      <c r="B20" s="5"/>
      <c r="C20" s="13"/>
      <c r="D20" s="2450" t="s">
        <v>236</v>
      </c>
      <c r="E20" s="447"/>
      <c r="F20" s="922"/>
      <c r="G20" s="77"/>
      <c r="H20" s="852"/>
      <c r="I20" s="76"/>
      <c r="J20" s="255"/>
      <c r="K20" s="77"/>
      <c r="L20" s="76"/>
      <c r="M20" s="255"/>
      <c r="O20" s="76"/>
      <c r="P20" s="255"/>
      <c r="Q20" s="2465" t="s">
        <v>267</v>
      </c>
      <c r="R20" s="734">
        <v>19</v>
      </c>
      <c r="S20" s="731"/>
      <c r="T20" s="732"/>
      <c r="U20" s="2463"/>
      <c r="V20" s="298"/>
      <c r="W20" s="224"/>
    </row>
    <row r="21" spans="1:28" s="52" customFormat="1" ht="15" customHeight="1" x14ac:dyDescent="0.2">
      <c r="A21" s="565"/>
      <c r="B21" s="5"/>
      <c r="C21" s="13"/>
      <c r="D21" s="2451"/>
      <c r="E21" s="447"/>
      <c r="F21" s="922"/>
      <c r="G21" s="77"/>
      <c r="H21" s="852"/>
      <c r="I21" s="994"/>
      <c r="J21" s="995"/>
      <c r="K21" s="77"/>
      <c r="L21" s="76"/>
      <c r="M21" s="255"/>
      <c r="O21" s="76"/>
      <c r="P21" s="255"/>
      <c r="Q21" s="2464"/>
      <c r="R21" s="728"/>
      <c r="S21" s="729"/>
      <c r="T21" s="730"/>
      <c r="U21" s="2463"/>
      <c r="V21" s="298"/>
      <c r="W21" s="224"/>
    </row>
    <row r="22" spans="1:28" s="52" customFormat="1" ht="14.25" customHeight="1" x14ac:dyDescent="0.2">
      <c r="A22" s="565"/>
      <c r="B22" s="926"/>
      <c r="C22" s="13"/>
      <c r="D22" s="2450" t="s">
        <v>165</v>
      </c>
      <c r="E22" s="447"/>
      <c r="F22" s="922"/>
      <c r="G22" s="914" t="s">
        <v>94</v>
      </c>
      <c r="H22" s="683"/>
      <c r="I22" s="996">
        <v>1.7</v>
      </c>
      <c r="J22" s="997">
        <f>+I22-H22</f>
        <v>1.7</v>
      </c>
      <c r="K22" s="854"/>
      <c r="L22" s="813"/>
      <c r="M22" s="97"/>
      <c r="N22" s="938"/>
      <c r="O22" s="813"/>
      <c r="P22" s="97"/>
      <c r="Q22" s="2466" t="s">
        <v>131</v>
      </c>
      <c r="R22" s="227">
        <v>48</v>
      </c>
      <c r="S22" s="451">
        <v>48</v>
      </c>
      <c r="T22" s="280">
        <v>48</v>
      </c>
      <c r="U22" s="2463"/>
      <c r="V22" s="298"/>
      <c r="W22" s="224"/>
    </row>
    <row r="23" spans="1:28" s="52" customFormat="1" ht="15" customHeight="1" x14ac:dyDescent="0.2">
      <c r="A23" s="565"/>
      <c r="B23" s="5"/>
      <c r="C23" s="13"/>
      <c r="D23" s="2451"/>
      <c r="E23" s="447"/>
      <c r="F23" s="922"/>
      <c r="G23" s="211"/>
      <c r="H23" s="854"/>
      <c r="I23" s="998"/>
      <c r="J23" s="999"/>
      <c r="K23" s="854"/>
      <c r="L23" s="813"/>
      <c r="M23" s="97"/>
      <c r="N23" s="938"/>
      <c r="O23" s="813"/>
      <c r="P23" s="97"/>
      <c r="Q23" s="2448"/>
      <c r="R23" s="475"/>
      <c r="S23" s="439"/>
      <c r="T23" s="454"/>
      <c r="U23" s="2463"/>
      <c r="V23" s="298"/>
    </row>
    <row r="24" spans="1:28" s="52" customFormat="1" ht="17.25" customHeight="1" x14ac:dyDescent="0.2">
      <c r="A24" s="565"/>
      <c r="B24" s="5"/>
      <c r="C24" s="13"/>
      <c r="D24" s="2452"/>
      <c r="E24" s="447"/>
      <c r="F24" s="922"/>
      <c r="G24" s="928"/>
      <c r="H24" s="854"/>
      <c r="I24" s="998"/>
      <c r="J24" s="999"/>
      <c r="K24" s="854"/>
      <c r="L24" s="813"/>
      <c r="M24" s="97"/>
      <c r="N24" s="938"/>
      <c r="O24" s="813"/>
      <c r="P24" s="97"/>
      <c r="Q24" s="449" t="s">
        <v>132</v>
      </c>
      <c r="R24" s="484">
        <v>8051</v>
      </c>
      <c r="S24" s="42">
        <v>8100</v>
      </c>
      <c r="T24" s="931">
        <v>8100</v>
      </c>
      <c r="U24" s="2463"/>
      <c r="V24" s="299"/>
    </row>
    <row r="25" spans="1:28" s="52" customFormat="1" ht="15.75" customHeight="1" x14ac:dyDescent="0.2">
      <c r="A25" s="565"/>
      <c r="B25" s="5"/>
      <c r="C25" s="13"/>
      <c r="D25" s="2451" t="s">
        <v>166</v>
      </c>
      <c r="E25" s="447"/>
      <c r="F25" s="922"/>
      <c r="G25" s="211"/>
      <c r="H25" s="854"/>
      <c r="I25" s="998"/>
      <c r="J25" s="999"/>
      <c r="K25" s="854"/>
      <c r="L25" s="813"/>
      <c r="M25" s="97"/>
      <c r="N25" s="938"/>
      <c r="O25" s="813"/>
      <c r="P25" s="97"/>
      <c r="Q25" s="2448" t="s">
        <v>131</v>
      </c>
      <c r="R25" s="482">
        <v>7</v>
      </c>
      <c r="S25" s="172">
        <v>7</v>
      </c>
      <c r="T25" s="59">
        <v>7</v>
      </c>
      <c r="U25" s="2463"/>
    </row>
    <row r="26" spans="1:28" s="52" customFormat="1" ht="14.25" customHeight="1" x14ac:dyDescent="0.2">
      <c r="A26" s="565"/>
      <c r="B26" s="926"/>
      <c r="C26" s="13"/>
      <c r="D26" s="2451"/>
      <c r="E26" s="447"/>
      <c r="F26" s="922"/>
      <c r="G26" s="211"/>
      <c r="H26" s="854"/>
      <c r="I26" s="998"/>
      <c r="J26" s="999"/>
      <c r="K26" s="246"/>
      <c r="L26" s="247"/>
      <c r="M26" s="195"/>
      <c r="N26" s="226"/>
      <c r="O26" s="247"/>
      <c r="P26" s="195"/>
      <c r="Q26" s="2448"/>
      <c r="R26" s="478"/>
      <c r="S26" s="174"/>
      <c r="T26" s="158"/>
      <c r="U26" s="2463"/>
    </row>
    <row r="27" spans="1:28" s="52" customFormat="1" ht="15" customHeight="1" thickBot="1" x14ac:dyDescent="0.25">
      <c r="A27" s="565"/>
      <c r="B27" s="5"/>
      <c r="C27" s="13"/>
      <c r="D27" s="2467"/>
      <c r="E27" s="447"/>
      <c r="F27" s="922"/>
      <c r="G27" s="211"/>
      <c r="H27" s="854"/>
      <c r="I27" s="998"/>
      <c r="J27" s="999"/>
      <c r="K27" s="854"/>
      <c r="L27" s="813"/>
      <c r="M27" s="97"/>
      <c r="N27" s="938"/>
      <c r="O27" s="813"/>
      <c r="P27" s="97"/>
      <c r="Q27" s="474" t="s">
        <v>132</v>
      </c>
      <c r="R27" s="477">
        <v>301</v>
      </c>
      <c r="S27" s="383">
        <v>301</v>
      </c>
      <c r="T27" s="461">
        <v>301</v>
      </c>
      <c r="U27" s="2463"/>
    </row>
    <row r="28" spans="1:28" s="52" customFormat="1" ht="12.75" customHeight="1" x14ac:dyDescent="0.2">
      <c r="A28" s="2390"/>
      <c r="B28" s="5"/>
      <c r="C28" s="2437"/>
      <c r="D28" s="2438" t="s">
        <v>74</v>
      </c>
      <c r="E28" s="2441"/>
      <c r="F28" s="2444"/>
      <c r="G28" s="928"/>
      <c r="H28" s="854"/>
      <c r="I28" s="998"/>
      <c r="J28" s="999"/>
      <c r="K28" s="854"/>
      <c r="L28" s="813"/>
      <c r="M28" s="97"/>
      <c r="N28" s="938"/>
      <c r="O28" s="813"/>
      <c r="P28" s="97"/>
      <c r="Q28" s="2447" t="s">
        <v>131</v>
      </c>
      <c r="R28" s="459">
        <v>4</v>
      </c>
      <c r="S28" s="547">
        <v>4</v>
      </c>
      <c r="T28" s="548">
        <v>4</v>
      </c>
      <c r="U28" s="2463"/>
    </row>
    <row r="29" spans="1:28" s="52" customFormat="1" ht="15.75" customHeight="1" x14ac:dyDescent="0.2">
      <c r="A29" s="2390"/>
      <c r="B29" s="5"/>
      <c r="C29" s="2437"/>
      <c r="D29" s="2439"/>
      <c r="E29" s="2442"/>
      <c r="F29" s="2445"/>
      <c r="G29" s="928"/>
      <c r="H29" s="854"/>
      <c r="I29" s="998"/>
      <c r="J29" s="999"/>
      <c r="K29" s="854"/>
      <c r="L29" s="813"/>
      <c r="M29" s="97"/>
      <c r="N29" s="938"/>
      <c r="O29" s="813"/>
      <c r="P29" s="97"/>
      <c r="Q29" s="2448"/>
      <c r="R29" s="928"/>
      <c r="S29" s="930"/>
      <c r="T29" s="932"/>
      <c r="U29" s="2463"/>
    </row>
    <row r="30" spans="1:28" s="52" customFormat="1" ht="15.75" customHeight="1" x14ac:dyDescent="0.2">
      <c r="A30" s="2390"/>
      <c r="B30" s="5"/>
      <c r="C30" s="2433"/>
      <c r="D30" s="2439"/>
      <c r="E30" s="2442"/>
      <c r="F30" s="2445"/>
      <c r="G30" s="928"/>
      <c r="H30" s="854"/>
      <c r="I30" s="998"/>
      <c r="J30" s="999"/>
      <c r="K30" s="854"/>
      <c r="L30" s="813"/>
      <c r="M30" s="97"/>
      <c r="N30" s="938"/>
      <c r="O30" s="813"/>
      <c r="P30" s="97"/>
      <c r="Q30" s="473" t="s">
        <v>132</v>
      </c>
      <c r="R30" s="479">
        <v>1319</v>
      </c>
      <c r="S30" s="26">
        <v>1320</v>
      </c>
      <c r="T30" s="27">
        <v>1320</v>
      </c>
      <c r="U30" s="2463"/>
    </row>
    <row r="31" spans="1:28" s="52" customFormat="1" ht="15.75" customHeight="1" thickBot="1" x14ac:dyDescent="0.25">
      <c r="A31" s="2390"/>
      <c r="B31" s="5"/>
      <c r="C31" s="2433"/>
      <c r="D31" s="2440"/>
      <c r="E31" s="2443"/>
      <c r="F31" s="2446"/>
      <c r="G31" s="928"/>
      <c r="H31" s="854"/>
      <c r="I31" s="998"/>
      <c r="J31" s="999"/>
      <c r="K31" s="854"/>
      <c r="L31" s="813"/>
      <c r="M31" s="97"/>
      <c r="N31" s="938"/>
      <c r="O31" s="813"/>
      <c r="P31" s="97"/>
      <c r="Q31" s="549" t="s">
        <v>175</v>
      </c>
      <c r="R31" s="550">
        <v>925</v>
      </c>
      <c r="S31" s="551">
        <v>925</v>
      </c>
      <c r="T31" s="461">
        <v>925</v>
      </c>
      <c r="U31" s="2463"/>
    </row>
    <row r="32" spans="1:28" s="52" customFormat="1" ht="30" customHeight="1" x14ac:dyDescent="0.2">
      <c r="A32" s="566"/>
      <c r="B32" s="5"/>
      <c r="C32" s="915"/>
      <c r="D32" s="916" t="s">
        <v>176</v>
      </c>
      <c r="E32" s="447"/>
      <c r="F32" s="922"/>
      <c r="G32" s="928"/>
      <c r="H32" s="434"/>
      <c r="I32" s="998"/>
      <c r="J32" s="999"/>
      <c r="K32" s="854"/>
      <c r="L32" s="813"/>
      <c r="M32" s="97"/>
      <c r="N32" s="938"/>
      <c r="O32" s="813"/>
      <c r="P32" s="97"/>
      <c r="Q32" s="733" t="s">
        <v>267</v>
      </c>
      <c r="R32" s="928">
        <v>26</v>
      </c>
      <c r="S32" s="930"/>
      <c r="T32" s="932"/>
      <c r="U32" s="2463"/>
    </row>
    <row r="33" spans="1:25" s="52" customFormat="1" ht="15.75" customHeight="1" x14ac:dyDescent="0.2">
      <c r="A33" s="566"/>
      <c r="B33" s="926"/>
      <c r="C33" s="915"/>
      <c r="D33" s="2450" t="s">
        <v>167</v>
      </c>
      <c r="E33" s="447"/>
      <c r="F33" s="585"/>
      <c r="G33" s="520" t="s">
        <v>94</v>
      </c>
      <c r="H33" s="856"/>
      <c r="I33" s="1000">
        <v>55</v>
      </c>
      <c r="J33" s="1001">
        <f>+I33-H33</f>
        <v>55</v>
      </c>
      <c r="K33" s="854"/>
      <c r="L33" s="813"/>
      <c r="M33" s="97"/>
      <c r="N33" s="938"/>
      <c r="O33" s="813"/>
      <c r="P33" s="97"/>
      <c r="Q33" s="473" t="s">
        <v>131</v>
      </c>
      <c r="R33" s="480">
        <v>32</v>
      </c>
      <c r="S33" s="136">
        <v>32</v>
      </c>
      <c r="T33" s="130">
        <v>32</v>
      </c>
      <c r="U33" s="2463"/>
    </row>
    <row r="34" spans="1:25" s="52" customFormat="1" ht="28.5" customHeight="1" x14ac:dyDescent="0.2">
      <c r="A34" s="566"/>
      <c r="B34" s="926"/>
      <c r="C34" s="915"/>
      <c r="D34" s="2451"/>
      <c r="E34" s="447"/>
      <c r="F34" s="585"/>
      <c r="G34" s="928"/>
      <c r="H34" s="434"/>
      <c r="I34" s="998"/>
      <c r="J34" s="999"/>
      <c r="K34" s="854"/>
      <c r="L34" s="813"/>
      <c r="M34" s="97"/>
      <c r="N34" s="938"/>
      <c r="O34" s="813"/>
      <c r="P34" s="97"/>
      <c r="Q34" s="449" t="s">
        <v>133</v>
      </c>
      <c r="R34" s="194">
        <v>17438</v>
      </c>
      <c r="S34" s="141">
        <v>17450</v>
      </c>
      <c r="T34" s="59">
        <v>17450</v>
      </c>
      <c r="U34" s="2463"/>
    </row>
    <row r="35" spans="1:25" s="52" customFormat="1" ht="21.75" customHeight="1" x14ac:dyDescent="0.2">
      <c r="A35" s="566"/>
      <c r="B35" s="926"/>
      <c r="C35" s="915"/>
      <c r="D35" s="2450" t="s">
        <v>168</v>
      </c>
      <c r="E35" s="447"/>
      <c r="F35" s="585"/>
      <c r="G35" s="928"/>
      <c r="H35" s="434"/>
      <c r="I35" s="998"/>
      <c r="J35" s="999"/>
      <c r="K35" s="854"/>
      <c r="L35" s="813"/>
      <c r="M35" s="97"/>
      <c r="N35" s="938"/>
      <c r="O35" s="813"/>
      <c r="P35" s="97"/>
      <c r="Q35" s="473" t="s">
        <v>131</v>
      </c>
      <c r="R35" s="480">
        <v>5</v>
      </c>
      <c r="S35" s="136">
        <v>5</v>
      </c>
      <c r="T35" s="130">
        <v>5</v>
      </c>
      <c r="U35" s="2463"/>
    </row>
    <row r="36" spans="1:25" s="52" customFormat="1" ht="21.75" customHeight="1" thickBot="1" x14ac:dyDescent="0.25">
      <c r="A36" s="566"/>
      <c r="B36" s="926"/>
      <c r="C36" s="915"/>
      <c r="D36" s="2451"/>
      <c r="E36" s="447"/>
      <c r="F36" s="585"/>
      <c r="G36" s="928"/>
      <c r="H36" s="434"/>
      <c r="I36" s="998"/>
      <c r="J36" s="999"/>
      <c r="K36" s="854"/>
      <c r="L36" s="813"/>
      <c r="M36" s="97"/>
      <c r="N36" s="938"/>
      <c r="O36" s="813"/>
      <c r="P36" s="97"/>
      <c r="Q36" s="474" t="s">
        <v>132</v>
      </c>
      <c r="R36" s="481">
        <v>989</v>
      </c>
      <c r="S36" s="385">
        <v>990</v>
      </c>
      <c r="T36" s="133">
        <v>990</v>
      </c>
      <c r="U36" s="2463"/>
    </row>
    <row r="37" spans="1:25" s="52" customFormat="1" ht="21.75" customHeight="1" x14ac:dyDescent="0.2">
      <c r="A37" s="566"/>
      <c r="B37" s="926"/>
      <c r="C37" s="915"/>
      <c r="D37" s="2297" t="s">
        <v>272</v>
      </c>
      <c r="E37" s="142"/>
      <c r="F37" s="295"/>
      <c r="G37" s="740"/>
      <c r="H37" s="437"/>
      <c r="I37" s="1002"/>
      <c r="J37" s="1003"/>
      <c r="K37" s="339"/>
      <c r="L37" s="737"/>
      <c r="M37" s="132"/>
      <c r="N37" s="160"/>
      <c r="O37" s="737"/>
      <c r="P37" s="132"/>
      <c r="Q37" s="442" t="s">
        <v>131</v>
      </c>
      <c r="R37" s="459">
        <v>31</v>
      </c>
      <c r="S37" s="386">
        <v>31</v>
      </c>
      <c r="T37" s="387">
        <v>31</v>
      </c>
      <c r="U37" s="2463"/>
    </row>
    <row r="38" spans="1:25" s="152" customFormat="1" ht="27.75" customHeight="1" x14ac:dyDescent="0.2">
      <c r="A38" s="565"/>
      <c r="B38" s="926"/>
      <c r="C38" s="921"/>
      <c r="D38" s="2355"/>
      <c r="E38" s="436"/>
      <c r="F38" s="942"/>
      <c r="G38" s="739"/>
      <c r="H38" s="857"/>
      <c r="I38" s="1004"/>
      <c r="J38" s="1005"/>
      <c r="K38" s="323"/>
      <c r="L38" s="435"/>
      <c r="M38" s="245"/>
      <c r="N38" s="288"/>
      <c r="O38" s="435"/>
      <c r="P38" s="245"/>
      <c r="Q38" s="925" t="s">
        <v>273</v>
      </c>
      <c r="R38" s="482">
        <v>2050</v>
      </c>
      <c r="S38" s="58">
        <v>2050</v>
      </c>
      <c r="T38" s="59">
        <v>2050</v>
      </c>
      <c r="U38" s="2464"/>
    </row>
    <row r="39" spans="1:25" s="52" customFormat="1" ht="18" customHeight="1" x14ac:dyDescent="0.2">
      <c r="A39" s="566"/>
      <c r="B39" s="926"/>
      <c r="C39" s="915"/>
      <c r="D39" s="2450" t="s">
        <v>134</v>
      </c>
      <c r="E39" s="447"/>
      <c r="F39" s="585"/>
      <c r="G39" s="928"/>
      <c r="H39" s="434"/>
      <c r="I39" s="998"/>
      <c r="J39" s="999"/>
      <c r="K39" s="854"/>
      <c r="L39" s="813"/>
      <c r="M39" s="97"/>
      <c r="N39" s="938"/>
      <c r="O39" s="813"/>
      <c r="P39" s="97"/>
      <c r="Q39" s="924" t="s">
        <v>133</v>
      </c>
      <c r="R39" s="483" t="s">
        <v>135</v>
      </c>
      <c r="S39" s="440"/>
      <c r="T39" s="455"/>
      <c r="U39" s="455"/>
      <c r="V39" s="224"/>
    </row>
    <row r="40" spans="1:25" s="52" customFormat="1" ht="13.5" customHeight="1" x14ac:dyDescent="0.2">
      <c r="A40" s="566"/>
      <c r="B40" s="926"/>
      <c r="C40" s="725"/>
      <c r="D40" s="2452"/>
      <c r="E40" s="433"/>
      <c r="F40" s="585"/>
      <c r="G40" s="928"/>
      <c r="H40" s="434"/>
      <c r="I40" s="998"/>
      <c r="J40" s="999"/>
      <c r="K40" s="246"/>
      <c r="L40" s="247"/>
      <c r="M40" s="195"/>
      <c r="N40" s="226"/>
      <c r="O40" s="247"/>
      <c r="P40" s="195"/>
      <c r="Q40" s="441"/>
      <c r="R40" s="467"/>
      <c r="S40" s="143"/>
      <c r="T40" s="158"/>
      <c r="U40" s="158"/>
    </row>
    <row r="41" spans="1:25" s="52" customFormat="1" ht="16.5" customHeight="1" x14ac:dyDescent="0.2">
      <c r="A41" s="2390"/>
      <c r="B41" s="2432"/>
      <c r="C41" s="2433"/>
      <c r="D41" s="2451" t="s">
        <v>164</v>
      </c>
      <c r="E41" s="2449"/>
      <c r="F41" s="2412"/>
      <c r="G41" s="211"/>
      <c r="H41" s="854"/>
      <c r="I41" s="998"/>
      <c r="J41" s="999"/>
      <c r="K41" s="854"/>
      <c r="L41" s="813"/>
      <c r="M41" s="97"/>
      <c r="N41" s="938"/>
      <c r="O41" s="813"/>
      <c r="P41" s="97"/>
      <c r="Q41" s="441" t="s">
        <v>131</v>
      </c>
      <c r="R41" s="227">
        <v>6</v>
      </c>
      <c r="S41" s="139">
        <v>6</v>
      </c>
      <c r="T41" s="171">
        <v>6</v>
      </c>
      <c r="U41" s="171"/>
    </row>
    <row r="42" spans="1:25" s="52" customFormat="1" ht="15.75" customHeight="1" x14ac:dyDescent="0.2">
      <c r="A42" s="2390"/>
      <c r="B42" s="2432"/>
      <c r="C42" s="2433"/>
      <c r="D42" s="2451"/>
      <c r="E42" s="2449"/>
      <c r="F42" s="2412"/>
      <c r="G42" s="849"/>
      <c r="H42" s="854"/>
      <c r="I42" s="998"/>
      <c r="J42" s="999"/>
      <c r="K42" s="854"/>
      <c r="L42" s="813"/>
      <c r="M42" s="97"/>
      <c r="N42" s="938"/>
      <c r="O42" s="813"/>
      <c r="P42" s="97"/>
      <c r="Q42" s="473" t="s">
        <v>132</v>
      </c>
      <c r="R42" s="479">
        <v>5430</v>
      </c>
      <c r="S42" s="26">
        <v>5430</v>
      </c>
      <c r="T42" s="27">
        <v>5430</v>
      </c>
      <c r="U42" s="27"/>
      <c r="W42" s="2436"/>
      <c r="X42" s="2436"/>
      <c r="Y42" s="2436"/>
    </row>
    <row r="43" spans="1:25" s="52" customFormat="1" ht="15.75" customHeight="1" x14ac:dyDescent="0.2">
      <c r="A43" s="2390"/>
      <c r="B43" s="2432"/>
      <c r="C43" s="2433"/>
      <c r="D43" s="2451"/>
      <c r="E43" s="2449"/>
      <c r="F43" s="2412"/>
      <c r="G43" s="849"/>
      <c r="H43" s="854"/>
      <c r="I43" s="998"/>
      <c r="J43" s="999"/>
      <c r="K43" s="854"/>
      <c r="L43" s="813"/>
      <c r="M43" s="97"/>
      <c r="N43" s="938"/>
      <c r="O43" s="813"/>
      <c r="P43" s="97"/>
      <c r="Q43" s="2420" t="s">
        <v>224</v>
      </c>
      <c r="R43" s="927">
        <v>90</v>
      </c>
      <c r="S43" s="929">
        <v>90</v>
      </c>
      <c r="T43" s="59">
        <v>90</v>
      </c>
      <c r="U43" s="931"/>
      <c r="W43" s="2436"/>
      <c r="X43" s="2436"/>
      <c r="Y43" s="2436"/>
    </row>
    <row r="44" spans="1:25" s="52" customFormat="1" ht="15.75" customHeight="1" x14ac:dyDescent="0.2">
      <c r="A44" s="2390"/>
      <c r="B44" s="2432"/>
      <c r="C44" s="2433"/>
      <c r="D44" s="2452"/>
      <c r="E44" s="2449"/>
      <c r="F44" s="2412"/>
      <c r="G44" s="849"/>
      <c r="H44" s="854"/>
      <c r="I44" s="998"/>
      <c r="J44" s="999"/>
      <c r="K44" s="854"/>
      <c r="L44" s="813"/>
      <c r="M44" s="97"/>
      <c r="N44" s="938"/>
      <c r="O44" s="813"/>
      <c r="P44" s="97"/>
      <c r="Q44" s="2421"/>
      <c r="R44" s="928"/>
      <c r="S44" s="930"/>
      <c r="T44" s="932"/>
      <c r="U44" s="932"/>
      <c r="W44" s="923"/>
      <c r="X44" s="923"/>
      <c r="Y44" s="923"/>
    </row>
    <row r="45" spans="1:25" s="52" customFormat="1" ht="12.75" customHeight="1" x14ac:dyDescent="0.2">
      <c r="A45" s="2390"/>
      <c r="B45" s="2432"/>
      <c r="C45" s="2433"/>
      <c r="D45" s="2434" t="s">
        <v>51</v>
      </c>
      <c r="E45" s="2416"/>
      <c r="F45" s="2412"/>
      <c r="G45" s="211"/>
      <c r="H45" s="854"/>
      <c r="I45" s="998"/>
      <c r="J45" s="999"/>
      <c r="K45" s="854"/>
      <c r="L45" s="813"/>
      <c r="M45" s="97"/>
      <c r="N45" s="938"/>
      <c r="O45" s="813"/>
      <c r="P45" s="97"/>
      <c r="Q45" s="2420" t="s">
        <v>136</v>
      </c>
      <c r="R45" s="2422">
        <v>5450</v>
      </c>
      <c r="S45" s="2424">
        <v>5450</v>
      </c>
      <c r="T45" s="2409">
        <v>5450</v>
      </c>
      <c r="U45" s="931"/>
    </row>
    <row r="46" spans="1:25" s="52" customFormat="1" x14ac:dyDescent="0.2">
      <c r="A46" s="2390"/>
      <c r="B46" s="2432"/>
      <c r="C46" s="2433"/>
      <c r="D46" s="2435"/>
      <c r="E46" s="2416"/>
      <c r="F46" s="2412"/>
      <c r="G46" s="849"/>
      <c r="H46" s="854"/>
      <c r="I46" s="998"/>
      <c r="J46" s="999"/>
      <c r="K46" s="854"/>
      <c r="L46" s="813"/>
      <c r="M46" s="97"/>
      <c r="N46" s="938"/>
      <c r="O46" s="813"/>
      <c r="P46" s="97"/>
      <c r="Q46" s="2421"/>
      <c r="R46" s="2423"/>
      <c r="S46" s="2425"/>
      <c r="T46" s="2410"/>
      <c r="U46" s="932"/>
    </row>
    <row r="47" spans="1:25" s="52" customFormat="1" x14ac:dyDescent="0.2">
      <c r="A47" s="2390"/>
      <c r="B47" s="2432"/>
      <c r="C47" s="2433"/>
      <c r="D47" s="2435"/>
      <c r="E47" s="2416"/>
      <c r="F47" s="2412"/>
      <c r="G47" s="849"/>
      <c r="H47" s="854"/>
      <c r="I47" s="998"/>
      <c r="J47" s="999"/>
      <c r="K47" s="854"/>
      <c r="L47" s="813"/>
      <c r="M47" s="97"/>
      <c r="N47" s="938"/>
      <c r="O47" s="813"/>
      <c r="P47" s="97"/>
      <c r="Q47" s="2421"/>
      <c r="R47" s="2423"/>
      <c r="S47" s="2425"/>
      <c r="T47" s="2411"/>
      <c r="U47" s="932"/>
    </row>
    <row r="48" spans="1:25" s="52" customFormat="1" ht="14.25" customHeight="1" x14ac:dyDescent="0.2">
      <c r="A48" s="920"/>
      <c r="B48" s="926"/>
      <c r="C48" s="915"/>
      <c r="D48" s="2359" t="s">
        <v>137</v>
      </c>
      <c r="E48" s="934"/>
      <c r="F48" s="922"/>
      <c r="G48" s="849"/>
      <c r="H48" s="854"/>
      <c r="I48" s="998"/>
      <c r="J48" s="999"/>
      <c r="K48" s="854"/>
      <c r="L48" s="813"/>
      <c r="M48" s="97"/>
      <c r="N48" s="938"/>
      <c r="O48" s="813"/>
      <c r="P48" s="97"/>
      <c r="Q48" s="924" t="s">
        <v>87</v>
      </c>
      <c r="R48" s="484">
        <v>85</v>
      </c>
      <c r="S48" s="30">
        <v>100</v>
      </c>
      <c r="T48" s="931"/>
      <c r="U48" s="931"/>
    </row>
    <row r="49" spans="1:21" s="52" customFormat="1" ht="14.25" customHeight="1" x14ac:dyDescent="0.2">
      <c r="A49" s="920"/>
      <c r="B49" s="926"/>
      <c r="C49" s="915"/>
      <c r="D49" s="2293"/>
      <c r="E49" s="934"/>
      <c r="F49" s="922"/>
      <c r="G49" s="849"/>
      <c r="H49" s="854"/>
      <c r="I49" s="998"/>
      <c r="J49" s="999"/>
      <c r="K49" s="854"/>
      <c r="L49" s="813"/>
      <c r="M49" s="97"/>
      <c r="N49" s="938"/>
      <c r="O49" s="813"/>
      <c r="P49" s="97"/>
      <c r="Q49" s="925"/>
      <c r="R49" s="485"/>
      <c r="S49" s="19"/>
      <c r="T49" s="932"/>
      <c r="U49" s="932"/>
    </row>
    <row r="50" spans="1:21" s="52" customFormat="1" ht="14.25" customHeight="1" x14ac:dyDescent="0.2">
      <c r="A50" s="920"/>
      <c r="B50" s="926"/>
      <c r="C50" s="915"/>
      <c r="D50" s="2426"/>
      <c r="E50" s="934"/>
      <c r="F50" s="922"/>
      <c r="G50" s="849"/>
      <c r="H50" s="854"/>
      <c r="I50" s="998"/>
      <c r="J50" s="999"/>
      <c r="K50" s="854"/>
      <c r="L50" s="813"/>
      <c r="M50" s="97"/>
      <c r="N50" s="938"/>
      <c r="O50" s="813"/>
      <c r="P50" s="97"/>
      <c r="Q50" s="925"/>
      <c r="R50" s="485"/>
      <c r="S50" s="19"/>
      <c r="T50" s="932"/>
      <c r="U50" s="932"/>
    </row>
    <row r="51" spans="1:21" s="52" customFormat="1" ht="12.75" customHeight="1" x14ac:dyDescent="0.2">
      <c r="A51" s="567"/>
      <c r="B51" s="5"/>
      <c r="C51" s="13"/>
      <c r="D51" s="2427" t="s">
        <v>177</v>
      </c>
      <c r="E51" s="2428"/>
      <c r="F51" s="2430"/>
      <c r="G51" s="211"/>
      <c r="H51" s="853"/>
      <c r="I51" s="1006"/>
      <c r="J51" s="1007"/>
      <c r="K51" s="854"/>
      <c r="L51" s="813"/>
      <c r="M51" s="97"/>
      <c r="N51" s="938"/>
      <c r="O51" s="813"/>
      <c r="P51" s="97"/>
      <c r="Q51" s="2420" t="s">
        <v>136</v>
      </c>
      <c r="R51" s="482">
        <v>152</v>
      </c>
      <c r="S51" s="58">
        <v>160</v>
      </c>
      <c r="T51" s="59">
        <v>160</v>
      </c>
      <c r="U51" s="59"/>
    </row>
    <row r="52" spans="1:21" s="52" customFormat="1" ht="14.25" customHeight="1" x14ac:dyDescent="0.2">
      <c r="A52" s="567"/>
      <c r="B52" s="5"/>
      <c r="C52" s="13"/>
      <c r="D52" s="2426"/>
      <c r="E52" s="2429"/>
      <c r="F52" s="2431"/>
      <c r="G52" s="849"/>
      <c r="H52" s="955"/>
      <c r="I52" s="1008"/>
      <c r="J52" s="1009"/>
      <c r="K52" s="854"/>
      <c r="L52" s="813"/>
      <c r="M52" s="97"/>
      <c r="N52" s="938"/>
      <c r="O52" s="813"/>
      <c r="P52" s="97"/>
      <c r="Q52" s="2421"/>
      <c r="R52" s="486"/>
      <c r="S52" s="311"/>
      <c r="T52" s="312"/>
      <c r="U52" s="312"/>
    </row>
    <row r="53" spans="1:21" s="52" customFormat="1" ht="17.25" customHeight="1" x14ac:dyDescent="0.2">
      <c r="A53" s="567"/>
      <c r="B53" s="5"/>
      <c r="C53" s="13"/>
      <c r="D53" s="2359" t="s">
        <v>178</v>
      </c>
      <c r="E53" s="2416"/>
      <c r="F53" s="2412"/>
      <c r="G53" s="211"/>
      <c r="H53" s="955"/>
      <c r="I53" s="1008"/>
      <c r="J53" s="1009"/>
      <c r="K53" s="854"/>
      <c r="L53" s="813"/>
      <c r="M53" s="97"/>
      <c r="N53" s="938"/>
      <c r="O53" s="813"/>
      <c r="P53" s="97"/>
      <c r="Q53" s="473" t="s">
        <v>138</v>
      </c>
      <c r="R53" s="480">
        <v>695</v>
      </c>
      <c r="S53" s="136">
        <v>695</v>
      </c>
      <c r="T53" s="130">
        <v>695</v>
      </c>
      <c r="U53" s="130"/>
    </row>
    <row r="54" spans="1:21" ht="30.75" customHeight="1" x14ac:dyDescent="0.2">
      <c r="A54" s="567"/>
      <c r="B54" s="5"/>
      <c r="C54" s="13"/>
      <c r="D54" s="2293"/>
      <c r="E54" s="2416"/>
      <c r="F54" s="2412"/>
      <c r="G54" s="211"/>
      <c r="H54" s="955"/>
      <c r="I54" s="1008"/>
      <c r="J54" s="1009"/>
      <c r="K54" s="854"/>
      <c r="L54" s="813"/>
      <c r="M54" s="97"/>
      <c r="N54" s="938"/>
      <c r="O54" s="813"/>
      <c r="P54" s="97"/>
      <c r="Q54" s="924" t="s">
        <v>139</v>
      </c>
      <c r="R54" s="482">
        <v>15000</v>
      </c>
      <c r="S54" s="58">
        <v>15000</v>
      </c>
      <c r="T54" s="59">
        <v>15000</v>
      </c>
      <c r="U54" s="59"/>
    </row>
    <row r="55" spans="1:21" ht="21" customHeight="1" x14ac:dyDescent="0.2">
      <c r="A55" s="567"/>
      <c r="B55" s="5"/>
      <c r="C55" s="13"/>
      <c r="D55" s="2297" t="s">
        <v>140</v>
      </c>
      <c r="E55" s="934"/>
      <c r="F55" s="230"/>
      <c r="G55" s="851"/>
      <c r="H55" s="955"/>
      <c r="I55" s="1008"/>
      <c r="J55" s="1009"/>
      <c r="K55" s="854"/>
      <c r="L55" s="813"/>
      <c r="M55" s="97"/>
      <c r="N55" s="938"/>
      <c r="O55" s="813"/>
      <c r="P55" s="97"/>
      <c r="Q55" s="473" t="s">
        <v>141</v>
      </c>
      <c r="R55" s="480">
        <v>168</v>
      </c>
      <c r="S55" s="136">
        <v>168</v>
      </c>
      <c r="T55" s="130">
        <v>168</v>
      </c>
      <c r="U55" s="130"/>
    </row>
    <row r="56" spans="1:21" ht="21" customHeight="1" x14ac:dyDescent="0.2">
      <c r="A56" s="567"/>
      <c r="B56" s="5"/>
      <c r="C56" s="12"/>
      <c r="D56" s="2355"/>
      <c r="E56" s="724"/>
      <c r="F56" s="230"/>
      <c r="G56" s="851"/>
      <c r="H56" s="955"/>
      <c r="I56" s="1008"/>
      <c r="J56" s="1009"/>
      <c r="K56" s="854"/>
      <c r="L56" s="813"/>
      <c r="M56" s="97"/>
      <c r="N56" s="938"/>
      <c r="O56" s="813"/>
      <c r="P56" s="97"/>
      <c r="Q56" s="441" t="s">
        <v>142</v>
      </c>
      <c r="R56" s="467">
        <v>16</v>
      </c>
      <c r="S56" s="143">
        <v>16</v>
      </c>
      <c r="T56" s="158">
        <v>16</v>
      </c>
      <c r="U56" s="158"/>
    </row>
    <row r="57" spans="1:21" ht="42" customHeight="1" x14ac:dyDescent="0.2">
      <c r="A57" s="565"/>
      <c r="B57" s="5"/>
      <c r="C57" s="13"/>
      <c r="D57" s="933" t="s">
        <v>241</v>
      </c>
      <c r="E57" s="934"/>
      <c r="F57" s="230"/>
      <c r="G57" s="851"/>
      <c r="H57" s="246"/>
      <c r="I57" s="1010"/>
      <c r="J57" s="1011"/>
      <c r="K57" s="246"/>
      <c r="L57" s="247"/>
      <c r="M57" s="195"/>
      <c r="N57" s="226"/>
      <c r="O57" s="247"/>
      <c r="P57" s="195"/>
      <c r="Q57" s="918"/>
      <c r="R57" s="467"/>
      <c r="S57" s="143"/>
      <c r="T57" s="158"/>
      <c r="U57" s="158"/>
    </row>
    <row r="58" spans="1:21" ht="54" customHeight="1" x14ac:dyDescent="0.2">
      <c r="A58" s="565"/>
      <c r="B58" s="5"/>
      <c r="C58" s="13"/>
      <c r="D58" s="2336" t="s">
        <v>143</v>
      </c>
      <c r="E58" s="934"/>
      <c r="F58" s="230"/>
      <c r="G58" s="2418" t="s">
        <v>94</v>
      </c>
      <c r="H58" s="2395"/>
      <c r="I58" s="2397">
        <v>1.3</v>
      </c>
      <c r="J58" s="1012">
        <f>+I58-H58</f>
        <v>1.3</v>
      </c>
      <c r="K58" s="2399"/>
      <c r="L58" s="2401"/>
      <c r="M58" s="897"/>
      <c r="N58" s="2407"/>
      <c r="O58" s="2401"/>
      <c r="P58" s="897"/>
      <c r="Q58" s="473" t="s">
        <v>131</v>
      </c>
      <c r="R58" s="480">
        <v>1</v>
      </c>
      <c r="S58" s="136">
        <v>1</v>
      </c>
      <c r="T58" s="130">
        <v>1</v>
      </c>
      <c r="U58" s="2405" t="s">
        <v>295</v>
      </c>
    </row>
    <row r="59" spans="1:21" ht="78.75" customHeight="1" x14ac:dyDescent="0.2">
      <c r="A59" s="565"/>
      <c r="B59" s="5"/>
      <c r="C59" s="13"/>
      <c r="D59" s="2417"/>
      <c r="E59" s="934"/>
      <c r="F59" s="230"/>
      <c r="G59" s="2419"/>
      <c r="H59" s="2396"/>
      <c r="I59" s="2398"/>
      <c r="J59" s="1013"/>
      <c r="K59" s="2400"/>
      <c r="L59" s="2402"/>
      <c r="M59" s="895"/>
      <c r="N59" s="2408"/>
      <c r="O59" s="2402"/>
      <c r="P59" s="895"/>
      <c r="Q59" s="919" t="s">
        <v>133</v>
      </c>
      <c r="R59" s="885" t="s">
        <v>283</v>
      </c>
      <c r="S59" s="987">
        <v>25</v>
      </c>
      <c r="T59" s="988">
        <v>25</v>
      </c>
      <c r="U59" s="2406"/>
    </row>
    <row r="60" spans="1:21" ht="170.25" customHeight="1" x14ac:dyDescent="0.2">
      <c r="A60" s="565"/>
      <c r="B60" s="5"/>
      <c r="C60" s="13"/>
      <c r="D60" s="984" t="s">
        <v>144</v>
      </c>
      <c r="E60" s="724"/>
      <c r="F60" s="229"/>
      <c r="G60" s="2413" t="s">
        <v>94</v>
      </c>
      <c r="H60" s="888">
        <v>35</v>
      </c>
      <c r="I60" s="996">
        <v>15.3</v>
      </c>
      <c r="J60" s="997">
        <f>+I60-H60</f>
        <v>-19.7</v>
      </c>
      <c r="K60" s="854"/>
      <c r="L60" s="813"/>
      <c r="M60" s="97"/>
      <c r="N60" s="938"/>
      <c r="O60" s="813"/>
      <c r="P60" s="97"/>
      <c r="Q60" s="924" t="s">
        <v>131</v>
      </c>
      <c r="R60" s="194">
        <v>2</v>
      </c>
      <c r="S60" s="141"/>
      <c r="T60" s="59"/>
      <c r="U60" s="887" t="s">
        <v>296</v>
      </c>
    </row>
    <row r="61" spans="1:21" ht="44.25" customHeight="1" thickBot="1" x14ac:dyDescent="0.25">
      <c r="A61" s="565"/>
      <c r="B61" s="5"/>
      <c r="C61" s="13"/>
      <c r="D61" s="528" t="s">
        <v>179</v>
      </c>
      <c r="E61" s="447"/>
      <c r="F61" s="230"/>
      <c r="G61" s="2413"/>
      <c r="H61" s="854"/>
      <c r="I61" s="998"/>
      <c r="J61" s="999"/>
      <c r="K61" s="854"/>
      <c r="L61" s="813"/>
      <c r="M61" s="97"/>
      <c r="N61" s="938"/>
      <c r="O61" s="813"/>
      <c r="P61" s="97"/>
      <c r="Q61" s="924" t="s">
        <v>133</v>
      </c>
      <c r="R61" s="194"/>
      <c r="S61" s="141">
        <v>120</v>
      </c>
      <c r="T61" s="59">
        <v>170</v>
      </c>
      <c r="U61" s="59"/>
    </row>
    <row r="62" spans="1:21" ht="18" customHeight="1" x14ac:dyDescent="0.2">
      <c r="A62" s="568"/>
      <c r="B62" s="87"/>
      <c r="C62" s="9"/>
      <c r="D62" s="2361" t="s">
        <v>69</v>
      </c>
      <c r="E62" s="2414" t="s">
        <v>46</v>
      </c>
      <c r="F62" s="922"/>
      <c r="G62" s="211"/>
      <c r="H62" s="854"/>
      <c r="I62" s="998"/>
      <c r="J62" s="999"/>
      <c r="K62" s="854"/>
      <c r="L62" s="813"/>
      <c r="M62" s="97"/>
      <c r="N62" s="938"/>
      <c r="O62" s="813"/>
      <c r="P62" s="97"/>
      <c r="Q62" s="442" t="s">
        <v>131</v>
      </c>
      <c r="R62" s="487">
        <v>4</v>
      </c>
      <c r="S62" s="388">
        <v>4</v>
      </c>
      <c r="T62" s="387">
        <v>4</v>
      </c>
      <c r="U62" s="387"/>
    </row>
    <row r="63" spans="1:21" ht="18" customHeight="1" x14ac:dyDescent="0.2">
      <c r="A63" s="568"/>
      <c r="B63" s="87"/>
      <c r="C63" s="9"/>
      <c r="D63" s="2355"/>
      <c r="E63" s="2415"/>
      <c r="F63" s="922"/>
      <c r="G63" s="211"/>
      <c r="H63" s="854"/>
      <c r="I63" s="998"/>
      <c r="J63" s="999"/>
      <c r="K63" s="854"/>
      <c r="L63" s="813"/>
      <c r="M63" s="97"/>
      <c r="N63" s="938"/>
      <c r="O63" s="813"/>
      <c r="P63" s="97"/>
      <c r="Q63" s="918" t="s">
        <v>133</v>
      </c>
      <c r="R63" s="467">
        <v>57</v>
      </c>
      <c r="S63" s="143">
        <v>60</v>
      </c>
      <c r="T63" s="158">
        <v>60</v>
      </c>
      <c r="U63" s="158"/>
    </row>
    <row r="64" spans="1:21" ht="18" customHeight="1" x14ac:dyDescent="0.2">
      <c r="A64" s="569"/>
      <c r="B64" s="974"/>
      <c r="C64" s="944"/>
      <c r="D64" s="2336" t="s">
        <v>88</v>
      </c>
      <c r="E64" s="524"/>
      <c r="F64" s="747"/>
      <c r="G64" s="890" t="s">
        <v>94</v>
      </c>
      <c r="H64" s="888">
        <v>537.6</v>
      </c>
      <c r="I64" s="996">
        <f>537.6+36.2</f>
        <v>573.80000000000007</v>
      </c>
      <c r="J64" s="1014">
        <f>+I64-H64</f>
        <v>36.200000000000045</v>
      </c>
      <c r="K64" s="955"/>
      <c r="L64" s="978"/>
      <c r="M64" s="99"/>
      <c r="N64" s="94"/>
      <c r="O64" s="978"/>
      <c r="P64" s="99"/>
      <c r="Q64" s="384" t="s">
        <v>131</v>
      </c>
      <c r="R64" s="399">
        <v>90</v>
      </c>
      <c r="S64" s="228">
        <v>90</v>
      </c>
      <c r="T64" s="27">
        <v>90</v>
      </c>
      <c r="U64" s="27"/>
    </row>
    <row r="65" spans="1:26" ht="29.25" customHeight="1" x14ac:dyDescent="0.2">
      <c r="A65" s="569"/>
      <c r="B65" s="974"/>
      <c r="C65" s="944"/>
      <c r="D65" s="2356"/>
      <c r="E65" s="525"/>
      <c r="F65" s="747"/>
      <c r="G65" s="21"/>
      <c r="H65" s="955"/>
      <c r="I65" s="1008"/>
      <c r="J65" s="1009"/>
      <c r="K65" s="955"/>
      <c r="L65" s="978"/>
      <c r="M65" s="99"/>
      <c r="N65" s="94"/>
      <c r="O65" s="978"/>
      <c r="P65" s="99"/>
      <c r="Q65" s="135" t="s">
        <v>225</v>
      </c>
      <c r="R65" s="337"/>
      <c r="S65" s="120">
        <v>2010</v>
      </c>
      <c r="T65" s="983"/>
      <c r="U65" s="983"/>
    </row>
    <row r="66" spans="1:26" ht="92.25" customHeight="1" x14ac:dyDescent="0.2">
      <c r="A66" s="569"/>
      <c r="B66" s="974"/>
      <c r="C66" s="944"/>
      <c r="D66" s="917"/>
      <c r="E66" s="525"/>
      <c r="F66" s="747"/>
      <c r="G66" s="21"/>
      <c r="H66" s="955"/>
      <c r="I66" s="1008"/>
      <c r="J66" s="1009"/>
      <c r="K66" s="955"/>
      <c r="L66" s="978"/>
      <c r="M66" s="99"/>
      <c r="N66" s="938"/>
      <c r="O66" s="813"/>
      <c r="P66" s="97"/>
      <c r="Q66" s="384" t="s">
        <v>180</v>
      </c>
      <c r="R66" s="891" t="s">
        <v>284</v>
      </c>
      <c r="S66" s="370">
        <v>448</v>
      </c>
      <c r="T66" s="371">
        <v>448</v>
      </c>
      <c r="U66" s="893" t="s">
        <v>286</v>
      </c>
    </row>
    <row r="67" spans="1:26" ht="149.25" customHeight="1" x14ac:dyDescent="0.2">
      <c r="A67" s="569"/>
      <c r="B67" s="974"/>
      <c r="C67" s="944"/>
      <c r="D67" s="936"/>
      <c r="E67" s="941"/>
      <c r="F67" s="942"/>
      <c r="G67" s="890" t="s">
        <v>94</v>
      </c>
      <c r="H67" s="888">
        <v>58.7</v>
      </c>
      <c r="I67" s="996">
        <f>58.7+4.4</f>
        <v>63.1</v>
      </c>
      <c r="J67" s="1014">
        <f>+I67-H67</f>
        <v>4.3999999999999986</v>
      </c>
      <c r="K67" s="955"/>
      <c r="L67" s="978"/>
      <c r="M67" s="99"/>
      <c r="N67" s="938"/>
      <c r="O67" s="813"/>
      <c r="P67" s="97"/>
      <c r="Q67" s="135" t="s">
        <v>145</v>
      </c>
      <c r="R67" s="892" t="s">
        <v>285</v>
      </c>
      <c r="S67" s="129">
        <v>9</v>
      </c>
      <c r="T67" s="118"/>
      <c r="U67" s="894" t="s">
        <v>287</v>
      </c>
    </row>
    <row r="68" spans="1:26" ht="16.5" customHeight="1" x14ac:dyDescent="0.2">
      <c r="A68" s="569"/>
      <c r="B68" s="974"/>
      <c r="C68" s="944"/>
      <c r="D68" s="403" t="s">
        <v>58</v>
      </c>
      <c r="E68" s="941"/>
      <c r="F68" s="942"/>
      <c r="G68" s="213"/>
      <c r="H68" s="955"/>
      <c r="I68" s="1008"/>
      <c r="J68" s="1009"/>
      <c r="K68" s="955"/>
      <c r="L68" s="978"/>
      <c r="M68" s="99"/>
      <c r="N68" s="94"/>
      <c r="O68" s="978"/>
      <c r="P68" s="99"/>
      <c r="Q68" s="956" t="s">
        <v>146</v>
      </c>
      <c r="R68" s="35">
        <v>17</v>
      </c>
      <c r="S68" s="591">
        <v>17</v>
      </c>
      <c r="T68" s="593">
        <v>17</v>
      </c>
      <c r="U68" s="593"/>
    </row>
    <row r="69" spans="1:26" ht="16.5" customHeight="1" x14ac:dyDescent="0.2">
      <c r="A69" s="569"/>
      <c r="B69" s="974"/>
      <c r="C69" s="69"/>
      <c r="D69" s="403" t="s">
        <v>120</v>
      </c>
      <c r="E69" s="84"/>
      <c r="F69" s="951"/>
      <c r="G69" s="213"/>
      <c r="H69" s="955"/>
      <c r="I69" s="1008"/>
      <c r="J69" s="1009"/>
      <c r="K69" s="955"/>
      <c r="L69" s="978"/>
      <c r="M69" s="99"/>
      <c r="N69" s="94"/>
      <c r="O69" s="978"/>
      <c r="P69" s="99"/>
      <c r="Q69" s="384" t="s">
        <v>132</v>
      </c>
      <c r="R69" s="399">
        <v>1168</v>
      </c>
      <c r="S69" s="228">
        <v>1168</v>
      </c>
      <c r="T69" s="41">
        <v>1168</v>
      </c>
      <c r="U69" s="27"/>
    </row>
    <row r="70" spans="1:26" ht="21" customHeight="1" x14ac:dyDescent="0.2">
      <c r="A70" s="569"/>
      <c r="B70" s="974"/>
      <c r="C70" s="9"/>
      <c r="D70" s="2354" t="s">
        <v>181</v>
      </c>
      <c r="E70" s="235"/>
      <c r="F70" s="951"/>
      <c r="G70" s="213"/>
      <c r="H70" s="955"/>
      <c r="I70" s="1008"/>
      <c r="J70" s="1009"/>
      <c r="K70" s="955"/>
      <c r="L70" s="978"/>
      <c r="M70" s="99"/>
      <c r="N70" s="94"/>
      <c r="O70" s="978"/>
      <c r="P70" s="99"/>
      <c r="Q70" s="135" t="s">
        <v>131</v>
      </c>
      <c r="R70" s="629">
        <v>1</v>
      </c>
      <c r="S70" s="630">
        <v>1</v>
      </c>
      <c r="T70" s="631">
        <v>1</v>
      </c>
      <c r="U70" s="556"/>
    </row>
    <row r="71" spans="1:26" s="52" customFormat="1" ht="21" customHeight="1" x14ac:dyDescent="0.2">
      <c r="A71" s="569"/>
      <c r="B71" s="974"/>
      <c r="C71" s="9"/>
      <c r="D71" s="2355"/>
      <c r="E71" s="235"/>
      <c r="F71" s="951"/>
      <c r="G71" s="213"/>
      <c r="H71" s="955"/>
      <c r="I71" s="1008"/>
      <c r="J71" s="1009"/>
      <c r="K71" s="955"/>
      <c r="L71" s="978"/>
      <c r="M71" s="99"/>
      <c r="N71" s="94"/>
      <c r="O71" s="978"/>
      <c r="P71" s="99"/>
      <c r="Q71" s="384" t="s">
        <v>132</v>
      </c>
      <c r="R71" s="488">
        <v>26</v>
      </c>
      <c r="S71" s="389">
        <v>26</v>
      </c>
      <c r="T71" s="456">
        <v>26</v>
      </c>
      <c r="U71" s="609"/>
      <c r="W71" s="299"/>
    </row>
    <row r="72" spans="1:26" ht="30" customHeight="1" x14ac:dyDescent="0.2">
      <c r="A72" s="570"/>
      <c r="B72" s="974"/>
      <c r="C72" s="944"/>
      <c r="D72" s="313" t="s">
        <v>147</v>
      </c>
      <c r="E72" s="941"/>
      <c r="F72" s="942"/>
      <c r="G72" s="824"/>
      <c r="H72" s="646"/>
      <c r="I72" s="1015"/>
      <c r="J72" s="1016"/>
      <c r="K72" s="646"/>
      <c r="L72" s="642"/>
      <c r="M72" s="122"/>
      <c r="N72" s="125"/>
      <c r="O72" s="642"/>
      <c r="P72" s="122"/>
      <c r="Q72" s="127" t="s">
        <v>131</v>
      </c>
      <c r="R72" s="928">
        <v>92</v>
      </c>
      <c r="S72" s="930">
        <v>92</v>
      </c>
      <c r="T72" s="932">
        <v>92</v>
      </c>
      <c r="U72" s="932"/>
    </row>
    <row r="73" spans="1:26" s="52" customFormat="1" ht="16.5" customHeight="1" x14ac:dyDescent="0.2">
      <c r="A73" s="565"/>
      <c r="B73" s="5"/>
      <c r="C73" s="523"/>
      <c r="D73" s="2297" t="s">
        <v>116</v>
      </c>
      <c r="E73" s="526"/>
      <c r="F73" s="400">
        <v>1</v>
      </c>
      <c r="G73" s="399" t="s">
        <v>15</v>
      </c>
      <c r="H73" s="327">
        <v>9</v>
      </c>
      <c r="I73" s="676">
        <v>9</v>
      </c>
      <c r="J73" s="286"/>
      <c r="K73" s="327"/>
      <c r="L73" s="676"/>
      <c r="M73" s="286"/>
      <c r="N73" s="173"/>
      <c r="O73" s="676"/>
      <c r="P73" s="286"/>
      <c r="Q73" s="2299" t="s">
        <v>234</v>
      </c>
      <c r="R73" s="484">
        <v>34</v>
      </c>
      <c r="S73" s="30"/>
      <c r="T73" s="529"/>
      <c r="U73" s="529"/>
    </row>
    <row r="74" spans="1:26" ht="16.5" customHeight="1" thickBot="1" x14ac:dyDescent="0.25">
      <c r="A74" s="571"/>
      <c r="B74" s="15"/>
      <c r="C74" s="8"/>
      <c r="D74" s="2298"/>
      <c r="E74" s="2403" t="s">
        <v>54</v>
      </c>
      <c r="F74" s="2403"/>
      <c r="G74" s="2404"/>
      <c r="H74" s="469">
        <f>SUM(H13:H73)-H37-H38-H33-H58-H60-H64-H67-H22</f>
        <v>72032.100000000006</v>
      </c>
      <c r="I74" s="249">
        <f t="shared" ref="I74:J74" si="0">SUM(I13:I73)-I37-I38-I33-I58-I60-I64-I67-I22</f>
        <v>72111</v>
      </c>
      <c r="J74" s="612">
        <f t="shared" si="0"/>
        <v>78.900000000001469</v>
      </c>
      <c r="K74" s="469">
        <f t="shared" ref="K74:P74" si="1">SUM(K13:K73)-K37-K38</f>
        <v>70327</v>
      </c>
      <c r="L74" s="249">
        <f t="shared" si="1"/>
        <v>70327</v>
      </c>
      <c r="M74" s="612">
        <f t="shared" si="1"/>
        <v>0</v>
      </c>
      <c r="N74" s="469">
        <f t="shared" si="1"/>
        <v>70312.5</v>
      </c>
      <c r="O74" s="249">
        <f t="shared" si="1"/>
        <v>70312.5</v>
      </c>
      <c r="P74" s="612">
        <f t="shared" si="1"/>
        <v>0</v>
      </c>
      <c r="Q74" s="2300"/>
      <c r="R74" s="489"/>
      <c r="S74" s="166"/>
      <c r="T74" s="167"/>
      <c r="U74" s="167"/>
    </row>
    <row r="75" spans="1:26" ht="32.25" customHeight="1" x14ac:dyDescent="0.2">
      <c r="A75" s="572" t="s">
        <v>14</v>
      </c>
      <c r="B75" s="957" t="s">
        <v>14</v>
      </c>
      <c r="C75" s="943" t="s">
        <v>17</v>
      </c>
      <c r="D75" s="964" t="s">
        <v>89</v>
      </c>
      <c r="E75" s="948"/>
      <c r="F75" s="47">
        <v>2</v>
      </c>
      <c r="G75" s="31"/>
      <c r="H75" s="144"/>
      <c r="I75" s="250"/>
      <c r="J75" s="144"/>
      <c r="K75" s="93"/>
      <c r="L75" s="250"/>
      <c r="M75" s="100"/>
      <c r="N75" s="144"/>
      <c r="O75" s="250"/>
      <c r="P75" s="100"/>
      <c r="Q75" s="336"/>
      <c r="R75" s="214"/>
      <c r="S75" s="409"/>
      <c r="T75" s="410"/>
      <c r="U75" s="410"/>
    </row>
    <row r="76" spans="1:26" ht="40.5" customHeight="1" x14ac:dyDescent="0.2">
      <c r="A76" s="569"/>
      <c r="B76" s="974"/>
      <c r="C76" s="944"/>
      <c r="D76" s="199" t="s">
        <v>90</v>
      </c>
      <c r="E76" s="941"/>
      <c r="F76" s="942"/>
      <c r="G76" s="163" t="s">
        <v>18</v>
      </c>
      <c r="H76" s="677">
        <v>207.3</v>
      </c>
      <c r="I76" s="677">
        <v>207.3</v>
      </c>
      <c r="J76" s="287"/>
      <c r="K76" s="552">
        <v>207.3</v>
      </c>
      <c r="L76" s="677">
        <v>207.3</v>
      </c>
      <c r="M76" s="115">
        <f>+L76-K76</f>
        <v>0</v>
      </c>
      <c r="N76" s="640">
        <v>207.3</v>
      </c>
      <c r="O76" s="677">
        <v>207.3</v>
      </c>
      <c r="P76" s="115">
        <f>+O76-N76</f>
        <v>0</v>
      </c>
      <c r="Q76" s="384" t="s">
        <v>132</v>
      </c>
      <c r="R76" s="490">
        <v>2570</v>
      </c>
      <c r="S76" s="404">
        <v>2570</v>
      </c>
      <c r="T76" s="405">
        <v>2570</v>
      </c>
      <c r="U76" s="405"/>
      <c r="Z76" s="38" t="s">
        <v>81</v>
      </c>
    </row>
    <row r="77" spans="1:26" s="52" customFormat="1" ht="16.5" customHeight="1" x14ac:dyDescent="0.2">
      <c r="A77" s="570"/>
      <c r="B77" s="974"/>
      <c r="C77" s="944"/>
      <c r="D77" s="2317" t="s">
        <v>149</v>
      </c>
      <c r="E77" s="941"/>
      <c r="F77" s="951"/>
      <c r="G77" s="597" t="s">
        <v>15</v>
      </c>
      <c r="H77" s="737">
        <v>232.6</v>
      </c>
      <c r="I77" s="737">
        <v>232.6</v>
      </c>
      <c r="J77" s="160"/>
      <c r="K77" s="663">
        <v>178</v>
      </c>
      <c r="L77" s="614">
        <v>178</v>
      </c>
      <c r="M77" s="530"/>
      <c r="N77" s="659">
        <v>122</v>
      </c>
      <c r="O77" s="614">
        <v>122</v>
      </c>
      <c r="P77" s="530"/>
      <c r="Q77" s="127" t="s">
        <v>138</v>
      </c>
      <c r="R77" s="21">
        <v>190</v>
      </c>
      <c r="S77" s="590">
        <v>190</v>
      </c>
      <c r="T77" s="592">
        <v>190</v>
      </c>
      <c r="U77" s="592"/>
      <c r="V77" s="298"/>
      <c r="W77" s="298"/>
      <c r="X77" s="298"/>
    </row>
    <row r="78" spans="1:26" s="52" customFormat="1" ht="43.5" customHeight="1" x14ac:dyDescent="0.2">
      <c r="A78" s="569"/>
      <c r="B78" s="974"/>
      <c r="C78" s="944"/>
      <c r="D78" s="2318"/>
      <c r="E78" s="941"/>
      <c r="F78" s="951"/>
      <c r="G78" s="596"/>
      <c r="H78" s="978"/>
      <c r="I78" s="978"/>
      <c r="J78" s="94"/>
      <c r="K78" s="738"/>
      <c r="L78" s="978"/>
      <c r="M78" s="99"/>
      <c r="N78" s="411"/>
      <c r="O78" s="978"/>
      <c r="P78" s="99"/>
      <c r="Q78" s="384" t="s">
        <v>182</v>
      </c>
      <c r="R78" s="70">
        <v>30</v>
      </c>
      <c r="S78" s="140"/>
      <c r="T78" s="41"/>
      <c r="U78" s="41"/>
      <c r="V78" s="298"/>
      <c r="W78" s="224"/>
      <c r="X78" s="224"/>
    </row>
    <row r="79" spans="1:26" s="52" customFormat="1" ht="29.25" customHeight="1" x14ac:dyDescent="0.2">
      <c r="A79" s="569"/>
      <c r="B79" s="974"/>
      <c r="C79" s="944"/>
      <c r="D79" s="940" t="s">
        <v>150</v>
      </c>
      <c r="E79" s="941"/>
      <c r="F79" s="951"/>
      <c r="G79" s="748"/>
      <c r="H79" s="978"/>
      <c r="I79" s="978"/>
      <c r="J79" s="94"/>
      <c r="K79" s="738"/>
      <c r="L79" s="978"/>
      <c r="M79" s="99"/>
      <c r="N79" s="411"/>
      <c r="O79" s="978"/>
      <c r="P79" s="99"/>
      <c r="Q79" s="128" t="s">
        <v>183</v>
      </c>
      <c r="R79" s="215">
        <v>2000</v>
      </c>
      <c r="S79" s="140"/>
      <c r="T79" s="41"/>
      <c r="U79" s="41"/>
      <c r="V79" s="299"/>
    </row>
    <row r="80" spans="1:26" s="52" customFormat="1" ht="18" customHeight="1" x14ac:dyDescent="0.2">
      <c r="A80" s="569"/>
      <c r="B80" s="974"/>
      <c r="C80" s="944"/>
      <c r="D80" s="2318" t="s">
        <v>57</v>
      </c>
      <c r="E80" s="2386"/>
      <c r="F80" s="2387"/>
      <c r="G80" s="18"/>
      <c r="H80" s="2388"/>
      <c r="I80" s="2388"/>
      <c r="J80" s="94"/>
      <c r="K80" s="738"/>
      <c r="L80" s="978"/>
      <c r="M80" s="99"/>
      <c r="N80" s="411"/>
      <c r="O80" s="978"/>
      <c r="P80" s="99"/>
      <c r="Q80" s="384" t="s">
        <v>184</v>
      </c>
      <c r="R80" s="471">
        <v>40</v>
      </c>
      <c r="S80" s="370">
        <v>40</v>
      </c>
      <c r="T80" s="371">
        <v>40</v>
      </c>
      <c r="U80" s="371"/>
      <c r="V80" s="299"/>
    </row>
    <row r="81" spans="1:22" s="52" customFormat="1" ht="15.75" customHeight="1" x14ac:dyDescent="0.2">
      <c r="A81" s="569"/>
      <c r="B81" s="974"/>
      <c r="C81" s="944"/>
      <c r="D81" s="2318"/>
      <c r="E81" s="2386"/>
      <c r="F81" s="2342"/>
      <c r="G81" s="18"/>
      <c r="H81" s="2388"/>
      <c r="I81" s="2388"/>
      <c r="J81" s="94"/>
      <c r="K81" s="738"/>
      <c r="L81" s="978"/>
      <c r="M81" s="99"/>
      <c r="N81" s="411"/>
      <c r="O81" s="978"/>
      <c r="P81" s="99"/>
      <c r="Q81" s="135" t="s">
        <v>183</v>
      </c>
      <c r="R81" s="471">
        <v>3000</v>
      </c>
      <c r="S81" s="370">
        <v>3000</v>
      </c>
      <c r="T81" s="371">
        <v>3000</v>
      </c>
      <c r="U81" s="371"/>
      <c r="V81" s="299"/>
    </row>
    <row r="82" spans="1:22" s="52" customFormat="1" ht="31.5" customHeight="1" x14ac:dyDescent="0.2">
      <c r="A82" s="566"/>
      <c r="B82" s="974"/>
      <c r="C82" s="944"/>
      <c r="D82" s="168" t="s">
        <v>151</v>
      </c>
      <c r="E82" s="941"/>
      <c r="F82" s="951"/>
      <c r="G82" s="596"/>
      <c r="H82" s="978"/>
      <c r="I82" s="978"/>
      <c r="J82" s="94"/>
      <c r="K82" s="738"/>
      <c r="L82" s="978"/>
      <c r="M82" s="99"/>
      <c r="N82" s="411"/>
      <c r="O82" s="978"/>
      <c r="P82" s="99"/>
      <c r="Q82" s="128" t="s">
        <v>183</v>
      </c>
      <c r="R82" s="215">
        <v>4500</v>
      </c>
      <c r="S82" s="164">
        <v>4500</v>
      </c>
      <c r="T82" s="79">
        <v>4500</v>
      </c>
      <c r="U82" s="79"/>
      <c r="V82" s="299"/>
    </row>
    <row r="83" spans="1:22" ht="41.25" customHeight="1" x14ac:dyDescent="0.2">
      <c r="A83" s="566"/>
      <c r="B83" s="974"/>
      <c r="C83" s="944"/>
      <c r="D83" s="74" t="s">
        <v>96</v>
      </c>
      <c r="E83" s="941"/>
      <c r="F83" s="951"/>
      <c r="G83" s="198"/>
      <c r="H83" s="642"/>
      <c r="I83" s="642"/>
      <c r="J83" s="125"/>
      <c r="K83" s="645"/>
      <c r="L83" s="642"/>
      <c r="M83" s="122"/>
      <c r="N83" s="641"/>
      <c r="O83" s="642"/>
      <c r="P83" s="122"/>
      <c r="Q83" s="384" t="s">
        <v>184</v>
      </c>
      <c r="R83" s="471">
        <v>20</v>
      </c>
      <c r="S83" s="370">
        <v>20</v>
      </c>
      <c r="T83" s="371"/>
      <c r="U83" s="371"/>
      <c r="V83" s="80"/>
    </row>
    <row r="84" spans="1:22" ht="15.75" customHeight="1" x14ac:dyDescent="0.2">
      <c r="A84" s="566"/>
      <c r="B84" s="974"/>
      <c r="C84" s="944"/>
      <c r="D84" s="2317" t="s">
        <v>77</v>
      </c>
      <c r="E84" s="941"/>
      <c r="F84" s="951"/>
      <c r="G84" s="597" t="s">
        <v>113</v>
      </c>
      <c r="H84" s="677">
        <v>653.20000000000005</v>
      </c>
      <c r="I84" s="677">
        <v>653.20000000000005</v>
      </c>
      <c r="J84" s="287"/>
      <c r="K84" s="552">
        <v>654.20000000000005</v>
      </c>
      <c r="L84" s="677">
        <v>654.20000000000005</v>
      </c>
      <c r="M84" s="115">
        <f>+L84-K84</f>
        <v>0</v>
      </c>
      <c r="N84" s="640">
        <v>654.20000000000005</v>
      </c>
      <c r="O84" s="677">
        <v>654.20000000000005</v>
      </c>
      <c r="P84" s="115">
        <f>+O84-N84</f>
        <v>0</v>
      </c>
      <c r="Q84" s="2313" t="s">
        <v>184</v>
      </c>
      <c r="R84" s="215">
        <v>100</v>
      </c>
      <c r="S84" s="164">
        <v>100</v>
      </c>
      <c r="T84" s="79">
        <v>100</v>
      </c>
      <c r="U84" s="2299"/>
      <c r="V84" s="80"/>
    </row>
    <row r="85" spans="1:22" ht="15.75" customHeight="1" x14ac:dyDescent="0.2">
      <c r="A85" s="566"/>
      <c r="B85" s="974"/>
      <c r="C85" s="944"/>
      <c r="D85" s="2331"/>
      <c r="E85" s="941"/>
      <c r="F85" s="951"/>
      <c r="G85" s="198"/>
      <c r="H85" s="642"/>
      <c r="I85" s="642"/>
      <c r="J85" s="125"/>
      <c r="K85" s="645"/>
      <c r="L85" s="642"/>
      <c r="M85" s="122"/>
      <c r="N85" s="641"/>
      <c r="O85" s="642"/>
      <c r="P85" s="122"/>
      <c r="Q85" s="2314"/>
      <c r="R85" s="217"/>
      <c r="S85" s="129"/>
      <c r="T85" s="118"/>
      <c r="U85" s="2315"/>
      <c r="V85" s="80"/>
    </row>
    <row r="86" spans="1:22" ht="15.75" customHeight="1" thickBot="1" x14ac:dyDescent="0.25">
      <c r="A86" s="573"/>
      <c r="B86" s="958"/>
      <c r="C86" s="945"/>
      <c r="D86" s="2306"/>
      <c r="E86" s="949"/>
      <c r="F86" s="952"/>
      <c r="G86" s="32" t="s">
        <v>16</v>
      </c>
      <c r="H86" s="104">
        <f>SUM(H75:H84)</f>
        <v>1093.0999999999999</v>
      </c>
      <c r="I86" s="252">
        <f>SUM(I75:I85)</f>
        <v>1093.0999999999999</v>
      </c>
      <c r="J86" s="284">
        <f t="shared" ref="J86:P86" si="2">SUM(J75:J85)</f>
        <v>0</v>
      </c>
      <c r="K86" s="343">
        <f>SUM(K75:K85)</f>
        <v>1039.5</v>
      </c>
      <c r="L86" s="252">
        <f>SUM(L75:L85)</f>
        <v>1039.5</v>
      </c>
      <c r="M86" s="308">
        <f t="shared" si="2"/>
        <v>0</v>
      </c>
      <c r="N86" s="628">
        <f>SUM(N75:N85)</f>
        <v>983.5</v>
      </c>
      <c r="O86" s="252">
        <f t="shared" si="2"/>
        <v>983.5</v>
      </c>
      <c r="P86" s="252">
        <f t="shared" si="2"/>
        <v>0</v>
      </c>
      <c r="Q86" s="457" t="s">
        <v>132</v>
      </c>
      <c r="R86" s="491">
        <v>5000</v>
      </c>
      <c r="S86" s="169">
        <v>5000</v>
      </c>
      <c r="T86" s="170">
        <v>5000</v>
      </c>
      <c r="U86" s="2300"/>
    </row>
    <row r="87" spans="1:22" ht="29.25" customHeight="1" x14ac:dyDescent="0.2">
      <c r="A87" s="572" t="s">
        <v>14</v>
      </c>
      <c r="B87" s="957" t="s">
        <v>14</v>
      </c>
      <c r="C87" s="943" t="s">
        <v>19</v>
      </c>
      <c r="D87" s="946" t="s">
        <v>68</v>
      </c>
      <c r="E87" s="941"/>
      <c r="F87" s="747">
        <v>1</v>
      </c>
      <c r="G87" s="29" t="s">
        <v>15</v>
      </c>
      <c r="H87" s="94">
        <v>3.9</v>
      </c>
      <c r="I87" s="978">
        <v>3.9</v>
      </c>
      <c r="J87" s="94"/>
      <c r="K87" s="955">
        <v>3.9</v>
      </c>
      <c r="L87" s="978">
        <v>3.9</v>
      </c>
      <c r="M87" s="99"/>
      <c r="N87" s="94">
        <v>3.9</v>
      </c>
      <c r="O87" s="978">
        <v>3.9</v>
      </c>
      <c r="P87" s="99"/>
      <c r="Q87" s="336" t="s">
        <v>152</v>
      </c>
      <c r="R87" s="214">
        <v>10</v>
      </c>
      <c r="S87" s="409">
        <v>10</v>
      </c>
      <c r="T87" s="410">
        <v>10</v>
      </c>
      <c r="U87" s="410"/>
    </row>
    <row r="88" spans="1:22" ht="18" customHeight="1" thickBot="1" x14ac:dyDescent="0.25">
      <c r="A88" s="973"/>
      <c r="B88" s="15"/>
      <c r="C88" s="945"/>
      <c r="D88" s="458"/>
      <c r="E88" s="949"/>
      <c r="F88" s="960"/>
      <c r="G88" s="32" t="s">
        <v>16</v>
      </c>
      <c r="H88" s="104">
        <f t="shared" ref="H88:L88" si="3">H87</f>
        <v>3.9</v>
      </c>
      <c r="I88" s="252">
        <f t="shared" si="3"/>
        <v>3.9</v>
      </c>
      <c r="J88" s="104"/>
      <c r="K88" s="103">
        <f t="shared" si="3"/>
        <v>3.9</v>
      </c>
      <c r="L88" s="252">
        <f t="shared" si="3"/>
        <v>3.9</v>
      </c>
      <c r="M88" s="107"/>
      <c r="N88" s="104">
        <f t="shared" ref="N88:O88" si="4">N87</f>
        <v>3.9</v>
      </c>
      <c r="O88" s="252">
        <f t="shared" si="4"/>
        <v>3.9</v>
      </c>
      <c r="P88" s="107"/>
      <c r="Q88" s="128" t="s">
        <v>133</v>
      </c>
      <c r="R88" s="71">
        <v>860</v>
      </c>
      <c r="S88" s="138">
        <v>860</v>
      </c>
      <c r="T88" s="239">
        <v>860</v>
      </c>
      <c r="U88" s="239"/>
    </row>
    <row r="89" spans="1:22" ht="18" customHeight="1" x14ac:dyDescent="0.2">
      <c r="A89" s="563" t="s">
        <v>14</v>
      </c>
      <c r="B89" s="2393" t="s">
        <v>14</v>
      </c>
      <c r="C89" s="2378" t="s">
        <v>21</v>
      </c>
      <c r="D89" s="2305" t="s">
        <v>163</v>
      </c>
      <c r="E89" s="2380"/>
      <c r="F89" s="2382">
        <v>2</v>
      </c>
      <c r="G89" s="595" t="s">
        <v>15</v>
      </c>
      <c r="H89" s="94">
        <v>17.8</v>
      </c>
      <c r="I89" s="978">
        <v>17.8</v>
      </c>
      <c r="J89" s="94"/>
      <c r="K89" s="955">
        <v>17.8</v>
      </c>
      <c r="L89" s="978">
        <v>17.8</v>
      </c>
      <c r="M89" s="99"/>
      <c r="N89" s="94">
        <v>17.8</v>
      </c>
      <c r="O89" s="978">
        <v>17.8</v>
      </c>
      <c r="P89" s="99"/>
      <c r="Q89" s="2311" t="s">
        <v>185</v>
      </c>
      <c r="R89" s="634">
        <v>39</v>
      </c>
      <c r="S89" s="635">
        <v>39</v>
      </c>
      <c r="T89" s="636">
        <v>39</v>
      </c>
      <c r="U89" s="636"/>
    </row>
    <row r="90" spans="1:22" ht="16.5" customHeight="1" thickBot="1" x14ac:dyDescent="0.25">
      <c r="A90" s="573"/>
      <c r="B90" s="2394"/>
      <c r="C90" s="2379"/>
      <c r="D90" s="2306"/>
      <c r="E90" s="2381"/>
      <c r="F90" s="2383"/>
      <c r="G90" s="32" t="s">
        <v>16</v>
      </c>
      <c r="H90" s="104">
        <f t="shared" ref="H90:K90" si="5">SUM(H89)</f>
        <v>17.8</v>
      </c>
      <c r="I90" s="252">
        <f t="shared" ref="I90" si="6">SUM(I89)</f>
        <v>17.8</v>
      </c>
      <c r="J90" s="104"/>
      <c r="K90" s="103">
        <f t="shared" si="5"/>
        <v>17.8</v>
      </c>
      <c r="L90" s="252">
        <f t="shared" ref="L90" si="7">SUM(L89)</f>
        <v>17.8</v>
      </c>
      <c r="M90" s="107"/>
      <c r="N90" s="104">
        <f t="shared" ref="N90:O90" si="8">SUM(N89)</f>
        <v>17.8</v>
      </c>
      <c r="O90" s="252">
        <f t="shared" si="8"/>
        <v>17.8</v>
      </c>
      <c r="P90" s="107"/>
      <c r="Q90" s="2312"/>
      <c r="R90" s="492"/>
      <c r="S90" s="398"/>
      <c r="T90" s="178"/>
      <c r="U90" s="178"/>
    </row>
    <row r="91" spans="1:22" ht="18" customHeight="1" x14ac:dyDescent="0.2">
      <c r="A91" s="2376" t="s">
        <v>14</v>
      </c>
      <c r="B91" s="957" t="s">
        <v>14</v>
      </c>
      <c r="C91" s="2378" t="s">
        <v>22</v>
      </c>
      <c r="D91" s="2305" t="s">
        <v>153</v>
      </c>
      <c r="E91" s="2380" t="s">
        <v>48</v>
      </c>
      <c r="F91" s="2382">
        <v>2</v>
      </c>
      <c r="G91" s="595" t="s">
        <v>15</v>
      </c>
      <c r="H91" s="92">
        <v>26.2</v>
      </c>
      <c r="I91" s="257">
        <v>26.2</v>
      </c>
      <c r="J91" s="92"/>
      <c r="K91" s="153">
        <v>26.2</v>
      </c>
      <c r="L91" s="257">
        <v>26.2</v>
      </c>
      <c r="M91" s="106"/>
      <c r="N91" s="92">
        <v>26.2</v>
      </c>
      <c r="O91" s="257">
        <v>26.2</v>
      </c>
      <c r="P91" s="106"/>
      <c r="Q91" s="244" t="s">
        <v>131</v>
      </c>
      <c r="R91" s="493">
        <v>68</v>
      </c>
      <c r="S91" s="408">
        <v>68</v>
      </c>
      <c r="T91" s="290">
        <v>68</v>
      </c>
      <c r="U91" s="290"/>
    </row>
    <row r="92" spans="1:22" ht="39" customHeight="1" x14ac:dyDescent="0.2">
      <c r="A92" s="2390"/>
      <c r="B92" s="974"/>
      <c r="C92" s="2391"/>
      <c r="D92" s="2331"/>
      <c r="E92" s="2386"/>
      <c r="F92" s="2392"/>
      <c r="G92" s="88" t="s">
        <v>110</v>
      </c>
      <c r="H92" s="326">
        <v>107.4</v>
      </c>
      <c r="I92" s="258">
        <v>107.4</v>
      </c>
      <c r="J92" s="326"/>
      <c r="K92" s="154"/>
      <c r="L92" s="258"/>
      <c r="M92" s="96"/>
      <c r="N92" s="326"/>
      <c r="O92" s="258"/>
      <c r="P92" s="96"/>
      <c r="Q92" s="2313" t="s">
        <v>99</v>
      </c>
      <c r="R92" s="21">
        <v>7560</v>
      </c>
      <c r="S92" s="590">
        <v>7560</v>
      </c>
      <c r="T92" s="592">
        <v>7560</v>
      </c>
      <c r="U92" s="592"/>
    </row>
    <row r="93" spans="1:22" ht="13.5" thickBot="1" x14ac:dyDescent="0.25">
      <c r="A93" s="2377"/>
      <c r="B93" s="958"/>
      <c r="C93" s="2379"/>
      <c r="D93" s="2306"/>
      <c r="E93" s="2381"/>
      <c r="F93" s="2383"/>
      <c r="G93" s="32" t="s">
        <v>16</v>
      </c>
      <c r="H93" s="104">
        <f t="shared" ref="H93:L93" si="9">SUM(H91:H92)</f>
        <v>133.6</v>
      </c>
      <c r="I93" s="252">
        <f t="shared" si="9"/>
        <v>133.6</v>
      </c>
      <c r="J93" s="104"/>
      <c r="K93" s="103">
        <f t="shared" si="9"/>
        <v>26.2</v>
      </c>
      <c r="L93" s="252">
        <f t="shared" si="9"/>
        <v>26.2</v>
      </c>
      <c r="M93" s="107"/>
      <c r="N93" s="104">
        <f t="shared" ref="N93:O93" si="10">SUM(N91:N92)</f>
        <v>26.2</v>
      </c>
      <c r="O93" s="252">
        <f t="shared" si="10"/>
        <v>26.2</v>
      </c>
      <c r="P93" s="107"/>
      <c r="Q93" s="2312"/>
      <c r="R93" s="494"/>
      <c r="S93" s="318"/>
      <c r="T93" s="156"/>
      <c r="U93" s="156"/>
    </row>
    <row r="94" spans="1:22" ht="28.5" customHeight="1" x14ac:dyDescent="0.2">
      <c r="A94" s="2376" t="s">
        <v>14</v>
      </c>
      <c r="B94" s="957" t="s">
        <v>14</v>
      </c>
      <c r="C94" s="2378" t="s">
        <v>106</v>
      </c>
      <c r="D94" s="2286" t="s">
        <v>186</v>
      </c>
      <c r="E94" s="2380"/>
      <c r="F94" s="2384">
        <v>1</v>
      </c>
      <c r="G94" s="596" t="s">
        <v>15</v>
      </c>
      <c r="H94" s="94">
        <v>35</v>
      </c>
      <c r="I94" s="898">
        <v>26.7</v>
      </c>
      <c r="J94" s="899">
        <f>+I94-H94</f>
        <v>-8.3000000000000007</v>
      </c>
      <c r="K94" s="955">
        <v>5</v>
      </c>
      <c r="L94" s="978">
        <v>5</v>
      </c>
      <c r="M94" s="99"/>
      <c r="N94" s="94">
        <v>5</v>
      </c>
      <c r="O94" s="978">
        <v>5</v>
      </c>
      <c r="P94" s="99"/>
      <c r="Q94" s="135" t="s">
        <v>187</v>
      </c>
      <c r="R94" s="35">
        <v>1</v>
      </c>
      <c r="S94" s="591"/>
      <c r="T94" s="593"/>
      <c r="U94" s="2389" t="s">
        <v>298</v>
      </c>
    </row>
    <row r="95" spans="1:22" ht="28.5" customHeight="1" thickBot="1" x14ac:dyDescent="0.25">
      <c r="A95" s="2377"/>
      <c r="B95" s="958"/>
      <c r="C95" s="2379"/>
      <c r="D95" s="2288"/>
      <c r="E95" s="2381"/>
      <c r="F95" s="2385"/>
      <c r="G95" s="32" t="s">
        <v>16</v>
      </c>
      <c r="H95" s="104">
        <f>H94</f>
        <v>35</v>
      </c>
      <c r="I95" s="252">
        <f>I94</f>
        <v>26.7</v>
      </c>
      <c r="J95" s="252">
        <f>J94</f>
        <v>-8.3000000000000007</v>
      </c>
      <c r="K95" s="103">
        <f>+K94</f>
        <v>5</v>
      </c>
      <c r="L95" s="252">
        <f>+L94</f>
        <v>5</v>
      </c>
      <c r="M95" s="107"/>
      <c r="N95" s="104">
        <f>+N94</f>
        <v>5</v>
      </c>
      <c r="O95" s="252">
        <f>+O94</f>
        <v>5</v>
      </c>
      <c r="P95" s="107"/>
      <c r="Q95" s="177" t="s">
        <v>188</v>
      </c>
      <c r="R95" s="494">
        <v>1</v>
      </c>
      <c r="S95" s="318">
        <v>1</v>
      </c>
      <c r="T95" s="156">
        <v>1</v>
      </c>
      <c r="U95" s="2300"/>
    </row>
    <row r="96" spans="1:22" ht="18.75" customHeight="1" x14ac:dyDescent="0.2">
      <c r="A96" s="2376" t="s">
        <v>14</v>
      </c>
      <c r="B96" s="957" t="s">
        <v>14</v>
      </c>
      <c r="C96" s="2378" t="s">
        <v>107</v>
      </c>
      <c r="D96" s="2305" t="s">
        <v>172</v>
      </c>
      <c r="E96" s="2380"/>
      <c r="F96" s="2382">
        <v>2</v>
      </c>
      <c r="G96" s="595" t="s">
        <v>15</v>
      </c>
      <c r="H96" s="94">
        <v>16</v>
      </c>
      <c r="I96" s="978">
        <v>16</v>
      </c>
      <c r="J96" s="94"/>
      <c r="K96" s="105">
        <v>16</v>
      </c>
      <c r="L96" s="248">
        <v>16</v>
      </c>
      <c r="M96" s="95"/>
      <c r="N96" s="108">
        <v>16</v>
      </c>
      <c r="O96" s="248">
        <v>16</v>
      </c>
      <c r="P96" s="95"/>
      <c r="Q96" s="2311" t="s">
        <v>131</v>
      </c>
      <c r="R96" s="214">
        <v>89</v>
      </c>
      <c r="S96" s="409">
        <v>89</v>
      </c>
      <c r="T96" s="410">
        <v>89</v>
      </c>
      <c r="U96" s="410"/>
    </row>
    <row r="97" spans="1:23" ht="16.5" customHeight="1" thickBot="1" x14ac:dyDescent="0.25">
      <c r="A97" s="2377"/>
      <c r="B97" s="958"/>
      <c r="C97" s="2379"/>
      <c r="D97" s="2306"/>
      <c r="E97" s="2381"/>
      <c r="F97" s="2383"/>
      <c r="G97" s="32" t="s">
        <v>16</v>
      </c>
      <c r="H97" s="104">
        <f>H96</f>
        <v>16</v>
      </c>
      <c r="I97" s="252">
        <f>I96</f>
        <v>16</v>
      </c>
      <c r="J97" s="104"/>
      <c r="K97" s="103">
        <f>SUM(K96)</f>
        <v>16</v>
      </c>
      <c r="L97" s="252">
        <f>SUM(L96)</f>
        <v>16</v>
      </c>
      <c r="M97" s="107"/>
      <c r="N97" s="104">
        <f>SUM(N96)</f>
        <v>16</v>
      </c>
      <c r="O97" s="252">
        <f>SUM(O96)</f>
        <v>16</v>
      </c>
      <c r="P97" s="107"/>
      <c r="Q97" s="2312"/>
      <c r="R97" s="494"/>
      <c r="S97" s="318"/>
      <c r="T97" s="156"/>
      <c r="U97" s="156"/>
    </row>
    <row r="98" spans="1:23" ht="13.5" thickBot="1" x14ac:dyDescent="0.25">
      <c r="A98" s="561" t="s">
        <v>14</v>
      </c>
      <c r="B98" s="2" t="s">
        <v>14</v>
      </c>
      <c r="C98" s="2282" t="s">
        <v>20</v>
      </c>
      <c r="D98" s="2282"/>
      <c r="E98" s="2282"/>
      <c r="F98" s="2282"/>
      <c r="G98" s="2322"/>
      <c r="H98" s="109">
        <f>H93+H90+H88+H86+H74+H95+H97</f>
        <v>73331.5</v>
      </c>
      <c r="I98" s="254">
        <f>I93+I90+I88+I86+I74+I95+I97</f>
        <v>73402.099999999991</v>
      </c>
      <c r="J98" s="655">
        <f>J93+J90+J88+J86+J74+J95+J97</f>
        <v>70.600000000001472</v>
      </c>
      <c r="K98" s="109">
        <f t="shared" ref="K98" si="11">K93+K90+K88+K86+K74+K95+K97</f>
        <v>71435.399999999994</v>
      </c>
      <c r="L98" s="254">
        <f>L93+L90+L88+L86+L74+L95+L97</f>
        <v>71435.399999999994</v>
      </c>
      <c r="M98" s="310">
        <f t="shared" ref="M98:P98" si="12">M93+M90+M88+M86+M74+M95+M97</f>
        <v>0</v>
      </c>
      <c r="N98" s="320">
        <f t="shared" si="12"/>
        <v>71364.899999999994</v>
      </c>
      <c r="O98" s="254">
        <f t="shared" si="12"/>
        <v>71364.899999999994</v>
      </c>
      <c r="P98" s="254">
        <f t="shared" si="12"/>
        <v>0</v>
      </c>
      <c r="Q98" s="968"/>
      <c r="R98" s="2284"/>
      <c r="S98" s="2284"/>
      <c r="T98" s="2284"/>
      <c r="U98" s="2285"/>
    </row>
    <row r="99" spans="1:23" ht="15.75" customHeight="1" thickBot="1" x14ac:dyDescent="0.25">
      <c r="A99" s="561" t="s">
        <v>14</v>
      </c>
      <c r="B99" s="2371" t="s">
        <v>6</v>
      </c>
      <c r="C99" s="2262"/>
      <c r="D99" s="2262"/>
      <c r="E99" s="2262"/>
      <c r="F99" s="2262"/>
      <c r="G99" s="2262"/>
      <c r="H99" s="562">
        <f t="shared" ref="H99:P99" si="13">H98</f>
        <v>73331.5</v>
      </c>
      <c r="I99" s="599">
        <f t="shared" si="13"/>
        <v>73402.099999999991</v>
      </c>
      <c r="J99" s="656">
        <f t="shared" si="13"/>
        <v>70.600000000001472</v>
      </c>
      <c r="K99" s="562">
        <f t="shared" si="13"/>
        <v>71435.399999999994</v>
      </c>
      <c r="L99" s="599">
        <f t="shared" si="13"/>
        <v>71435.399999999994</v>
      </c>
      <c r="M99" s="664">
        <f t="shared" si="13"/>
        <v>0</v>
      </c>
      <c r="N99" s="660">
        <f t="shared" si="13"/>
        <v>71364.899999999994</v>
      </c>
      <c r="O99" s="599">
        <f t="shared" si="13"/>
        <v>71364.899999999994</v>
      </c>
      <c r="P99" s="599">
        <f t="shared" si="13"/>
        <v>0</v>
      </c>
      <c r="Q99" s="2263"/>
      <c r="R99" s="2264"/>
      <c r="S99" s="2264"/>
      <c r="T99" s="2264"/>
      <c r="U99" s="2265"/>
    </row>
    <row r="100" spans="1:23" ht="15.75" customHeight="1" thickBot="1" x14ac:dyDescent="0.25">
      <c r="A100" s="972" t="s">
        <v>17</v>
      </c>
      <c r="B100" s="2372" t="s">
        <v>37</v>
      </c>
      <c r="C100" s="2373"/>
      <c r="D100" s="2373"/>
      <c r="E100" s="2373"/>
      <c r="F100" s="2373"/>
      <c r="G100" s="2373"/>
      <c r="H100" s="2373"/>
      <c r="I100" s="2373"/>
      <c r="J100" s="2373"/>
      <c r="K100" s="2373"/>
      <c r="L100" s="2373"/>
      <c r="M100" s="2373"/>
      <c r="N100" s="2373"/>
      <c r="O100" s="2373"/>
      <c r="P100" s="2373"/>
      <c r="Q100" s="2373"/>
      <c r="R100" s="2373"/>
      <c r="S100" s="2373"/>
      <c r="T100" s="2373"/>
      <c r="U100" s="2374"/>
    </row>
    <row r="101" spans="1:23" ht="15.75" customHeight="1" thickBot="1" x14ac:dyDescent="0.25">
      <c r="A101" s="574" t="s">
        <v>17</v>
      </c>
      <c r="B101" s="4" t="s">
        <v>14</v>
      </c>
      <c r="C101" s="2375" t="s">
        <v>33</v>
      </c>
      <c r="D101" s="2323"/>
      <c r="E101" s="2323"/>
      <c r="F101" s="2323"/>
      <c r="G101" s="2323"/>
      <c r="H101" s="2323"/>
      <c r="I101" s="2323"/>
      <c r="J101" s="2323"/>
      <c r="K101" s="2323"/>
      <c r="L101" s="2323"/>
      <c r="M101" s="2323"/>
      <c r="N101" s="2323"/>
      <c r="O101" s="2323"/>
      <c r="P101" s="2323"/>
      <c r="Q101" s="2323"/>
      <c r="R101" s="2323"/>
      <c r="S101" s="2323"/>
      <c r="T101" s="2323"/>
      <c r="U101" s="2324"/>
    </row>
    <row r="102" spans="1:23" ht="15" customHeight="1" x14ac:dyDescent="0.2">
      <c r="A102" s="572" t="s">
        <v>17</v>
      </c>
      <c r="B102" s="957" t="s">
        <v>14</v>
      </c>
      <c r="C102" s="643" t="s">
        <v>14</v>
      </c>
      <c r="D102" s="2346" t="s">
        <v>189</v>
      </c>
      <c r="E102" s="282" t="s">
        <v>2</v>
      </c>
      <c r="F102" s="942">
        <v>5</v>
      </c>
      <c r="G102" s="710" t="s">
        <v>15</v>
      </c>
      <c r="H102" s="348">
        <f>948.2+18.8</f>
        <v>967</v>
      </c>
      <c r="I102" s="900">
        <f>948.2+18.8-619</f>
        <v>348</v>
      </c>
      <c r="J102" s="901">
        <f>+I102-H102</f>
        <v>-619</v>
      </c>
      <c r="K102" s="350">
        <f>5474.7+595.5-2900</f>
        <v>3170.2</v>
      </c>
      <c r="L102" s="350">
        <f>5474.7+595.5-2900</f>
        <v>3170.2</v>
      </c>
      <c r="M102" s="341"/>
      <c r="N102" s="250">
        <v>3668.3</v>
      </c>
      <c r="O102" s="900">
        <f>3668.3+619</f>
        <v>4287.3</v>
      </c>
      <c r="P102" s="901">
        <f>+O102-N102</f>
        <v>619</v>
      </c>
      <c r="Q102" s="214"/>
      <c r="R102" s="742"/>
      <c r="S102" s="409"/>
      <c r="T102" s="410"/>
      <c r="U102" s="2348"/>
      <c r="V102" s="110"/>
      <c r="W102" s="110"/>
    </row>
    <row r="103" spans="1:23" ht="15" customHeight="1" x14ac:dyDescent="0.2">
      <c r="A103" s="570"/>
      <c r="B103" s="974"/>
      <c r="C103" s="746"/>
      <c r="D103" s="2347"/>
      <c r="E103" s="282"/>
      <c r="F103" s="942"/>
      <c r="G103" s="472" t="s">
        <v>113</v>
      </c>
      <c r="H103" s="365">
        <v>425.5</v>
      </c>
      <c r="I103" s="676">
        <v>425.5</v>
      </c>
      <c r="J103" s="286"/>
      <c r="K103" s="676">
        <v>524.9</v>
      </c>
      <c r="L103" s="676">
        <v>524.9</v>
      </c>
      <c r="M103" s="286"/>
      <c r="N103" s="676">
        <v>77.400000000000006</v>
      </c>
      <c r="O103" s="676">
        <v>77.400000000000006</v>
      </c>
      <c r="P103" s="286"/>
      <c r="Q103" s="21"/>
      <c r="R103" s="504"/>
      <c r="S103" s="590"/>
      <c r="T103" s="592"/>
      <c r="U103" s="2277"/>
      <c r="V103" s="110"/>
      <c r="W103" s="110"/>
    </row>
    <row r="104" spans="1:23" ht="15" customHeight="1" x14ac:dyDescent="0.2">
      <c r="A104" s="570"/>
      <c r="B104" s="974"/>
      <c r="C104" s="746"/>
      <c r="D104" s="2347"/>
      <c r="E104" s="281"/>
      <c r="F104" s="282"/>
      <c r="G104" s="472" t="s">
        <v>110</v>
      </c>
      <c r="H104" s="291">
        <f>193.4-18.8</f>
        <v>174.6</v>
      </c>
      <c r="I104" s="904">
        <f>193.4-18.8-28.6-43.5</f>
        <v>102.5</v>
      </c>
      <c r="J104" s="905">
        <f>+I104-H104</f>
        <v>-72.099999999999994</v>
      </c>
      <c r="K104" s="258">
        <f>SUMIF(G110:G133,"sb(l)'",K110:K133)</f>
        <v>0</v>
      </c>
      <c r="L104" s="258">
        <f>SUMIF(H110:H133,"sb(l)'",L110:L133)</f>
        <v>0</v>
      </c>
      <c r="M104" s="96"/>
      <c r="N104" s="258">
        <f>SUMIF(D110:D133,"sb(l)'",N110:N133)</f>
        <v>0</v>
      </c>
      <c r="O104" s="904">
        <v>43.5</v>
      </c>
      <c r="P104" s="905">
        <f>+O104-N104</f>
        <v>43.5</v>
      </c>
      <c r="Q104" s="21"/>
      <c r="R104" s="504"/>
      <c r="S104" s="590"/>
      <c r="T104" s="592"/>
      <c r="U104" s="2277"/>
      <c r="V104" s="110"/>
    </row>
    <row r="105" spans="1:23" ht="15" customHeight="1" x14ac:dyDescent="0.2">
      <c r="A105" s="570"/>
      <c r="B105" s="974"/>
      <c r="C105" s="944"/>
      <c r="D105" s="965"/>
      <c r="E105" s="281"/>
      <c r="F105" s="282"/>
      <c r="G105" s="472" t="s">
        <v>4</v>
      </c>
      <c r="H105" s="342">
        <v>297.5</v>
      </c>
      <c r="I105" s="248">
        <v>297.5</v>
      </c>
      <c r="J105" s="95"/>
      <c r="K105" s="248">
        <v>0</v>
      </c>
      <c r="L105" s="248">
        <v>0</v>
      </c>
      <c r="M105" s="95"/>
      <c r="N105" s="248">
        <v>403.9</v>
      </c>
      <c r="O105" s="248">
        <v>403.9</v>
      </c>
      <c r="P105" s="95"/>
      <c r="Q105" s="21"/>
      <c r="R105" s="504"/>
      <c r="S105" s="590"/>
      <c r="T105" s="592"/>
      <c r="U105" s="2277"/>
      <c r="V105" s="110"/>
    </row>
    <row r="106" spans="1:23" ht="15" customHeight="1" x14ac:dyDescent="0.2">
      <c r="A106" s="570"/>
      <c r="B106" s="974"/>
      <c r="C106" s="944"/>
      <c r="D106" s="965"/>
      <c r="E106" s="281"/>
      <c r="F106" s="282"/>
      <c r="G106" s="472" t="s">
        <v>18</v>
      </c>
      <c r="H106" s="258">
        <v>165.6</v>
      </c>
      <c r="I106" s="258">
        <v>165.6</v>
      </c>
      <c r="J106" s="96"/>
      <c r="K106" s="258">
        <f>263.9-217.5</f>
        <v>46.399999999999977</v>
      </c>
      <c r="L106" s="258">
        <f>263.9-217.5</f>
        <v>46.399999999999977</v>
      </c>
      <c r="M106" s="858"/>
      <c r="N106" s="258">
        <f>1515.2-1290.9</f>
        <v>224.29999999999995</v>
      </c>
      <c r="O106" s="258">
        <f>1515.2-1290.9</f>
        <v>224.29999999999995</v>
      </c>
      <c r="P106" s="96"/>
      <c r="Q106" s="21"/>
      <c r="R106" s="504"/>
      <c r="S106" s="590"/>
      <c r="T106" s="592"/>
      <c r="U106" s="2277"/>
      <c r="V106" s="110"/>
    </row>
    <row r="107" spans="1:23" ht="15" customHeight="1" x14ac:dyDescent="0.2">
      <c r="A107" s="570"/>
      <c r="B107" s="974"/>
      <c r="C107" s="944"/>
      <c r="D107" s="965"/>
      <c r="E107" s="281"/>
      <c r="F107" s="282"/>
      <c r="G107" s="283" t="s">
        <v>268</v>
      </c>
      <c r="H107" s="251"/>
      <c r="I107" s="251"/>
      <c r="J107" s="98"/>
      <c r="K107" s="258">
        <v>2900</v>
      </c>
      <c r="L107" s="258">
        <v>2900</v>
      </c>
      <c r="M107" s="96"/>
      <c r="N107" s="251"/>
      <c r="O107" s="251"/>
      <c r="P107" s="98"/>
      <c r="Q107" s="21"/>
      <c r="R107" s="504"/>
      <c r="S107" s="590"/>
      <c r="T107" s="592"/>
      <c r="U107" s="2277"/>
      <c r="V107" s="110"/>
    </row>
    <row r="108" spans="1:23" ht="15" customHeight="1" x14ac:dyDescent="0.2">
      <c r="A108" s="570"/>
      <c r="B108" s="974"/>
      <c r="C108" s="944"/>
      <c r="D108" s="965"/>
      <c r="E108" s="281"/>
      <c r="F108" s="282"/>
      <c r="G108" s="283" t="s">
        <v>3</v>
      </c>
      <c r="H108" s="251">
        <v>81.099999999999994</v>
      </c>
      <c r="I108" s="251">
        <v>81.099999999999994</v>
      </c>
      <c r="J108" s="859"/>
      <c r="K108" s="248">
        <v>446</v>
      </c>
      <c r="L108" s="248">
        <v>446</v>
      </c>
      <c r="M108" s="95"/>
      <c r="N108" s="251">
        <f>35.7+829.3</f>
        <v>865</v>
      </c>
      <c r="O108" s="251">
        <f>35.7+829.3</f>
        <v>865</v>
      </c>
      <c r="P108" s="98"/>
      <c r="Q108" s="21"/>
      <c r="R108" s="504"/>
      <c r="S108" s="590"/>
      <c r="T108" s="592"/>
      <c r="U108" s="2277"/>
      <c r="V108" s="110"/>
    </row>
    <row r="109" spans="1:23" ht="53.25" customHeight="1" x14ac:dyDescent="0.2">
      <c r="A109" s="570"/>
      <c r="B109" s="974"/>
      <c r="C109" s="944"/>
      <c r="D109" s="962" t="s">
        <v>191</v>
      </c>
      <c r="E109" s="281"/>
      <c r="F109" s="282"/>
      <c r="G109" s="693"/>
      <c r="H109" s="694"/>
      <c r="I109" s="694"/>
      <c r="J109" s="695"/>
      <c r="K109" s="694"/>
      <c r="L109" s="694"/>
      <c r="M109" s="695"/>
      <c r="N109" s="694"/>
      <c r="O109" s="694"/>
      <c r="P109" s="695"/>
      <c r="Q109" s="953" t="s">
        <v>56</v>
      </c>
      <c r="R109" s="501"/>
      <c r="S109" s="164">
        <v>1</v>
      </c>
      <c r="T109" s="79"/>
      <c r="U109" s="967"/>
    </row>
    <row r="110" spans="1:23" ht="27.75" customHeight="1" x14ac:dyDescent="0.2">
      <c r="A110" s="570"/>
      <c r="B110" s="974"/>
      <c r="C110" s="944"/>
      <c r="D110" s="2297" t="s">
        <v>228</v>
      </c>
      <c r="E110" s="281"/>
      <c r="F110" s="282"/>
      <c r="G110" s="693"/>
      <c r="H110" s="694"/>
      <c r="I110" s="694"/>
      <c r="J110" s="695"/>
      <c r="K110" s="694"/>
      <c r="L110" s="694"/>
      <c r="M110" s="695"/>
      <c r="N110" s="694"/>
      <c r="O110" s="694"/>
      <c r="P110" s="695"/>
      <c r="Q110" s="176" t="s">
        <v>115</v>
      </c>
      <c r="R110" s="471">
        <v>3</v>
      </c>
      <c r="S110" s="370">
        <v>2</v>
      </c>
      <c r="T110" s="371">
        <v>2</v>
      </c>
      <c r="U110" s="79"/>
    </row>
    <row r="111" spans="1:23" ht="27.75" customHeight="1" x14ac:dyDescent="0.2">
      <c r="A111" s="570"/>
      <c r="B111" s="974"/>
      <c r="C111" s="944"/>
      <c r="D111" s="2331"/>
      <c r="E111" s="961"/>
      <c r="F111" s="942"/>
      <c r="G111" s="680"/>
      <c r="H111" s="681"/>
      <c r="I111" s="681"/>
      <c r="J111" s="684"/>
      <c r="K111" s="411"/>
      <c r="L111" s="411"/>
      <c r="M111" s="684"/>
      <c r="N111" s="978"/>
      <c r="O111" s="978"/>
      <c r="P111" s="684"/>
      <c r="Q111" s="953" t="s">
        <v>192</v>
      </c>
      <c r="R111" s="215">
        <v>3</v>
      </c>
      <c r="S111" s="164">
        <v>2</v>
      </c>
      <c r="T111" s="79">
        <v>2</v>
      </c>
      <c r="U111" s="748"/>
    </row>
    <row r="112" spans="1:23" ht="27" customHeight="1" x14ac:dyDescent="0.2">
      <c r="A112" s="570"/>
      <c r="B112" s="974"/>
      <c r="C112" s="944"/>
      <c r="D112" s="2318"/>
      <c r="E112" s="961"/>
      <c r="F112" s="942"/>
      <c r="G112" s="713"/>
      <c r="H112" s="681"/>
      <c r="I112" s="681"/>
      <c r="J112" s="684"/>
      <c r="K112" s="411"/>
      <c r="L112" s="411"/>
      <c r="M112" s="684"/>
      <c r="N112" s="978"/>
      <c r="O112" s="978"/>
      <c r="P112" s="684"/>
      <c r="Q112" s="956"/>
      <c r="R112" s="217"/>
      <c r="S112" s="129"/>
      <c r="T112" s="118"/>
      <c r="U112" s="118"/>
    </row>
    <row r="113" spans="1:23" ht="36.75" customHeight="1" x14ac:dyDescent="0.2">
      <c r="A113" s="570"/>
      <c r="B113" s="974"/>
      <c r="C113" s="944"/>
      <c r="D113" s="2297" t="s">
        <v>274</v>
      </c>
      <c r="E113" s="413"/>
      <c r="F113" s="747"/>
      <c r="G113" s="712"/>
      <c r="H113" s="334"/>
      <c r="I113" s="334"/>
      <c r="J113" s="697"/>
      <c r="K113" s="334"/>
      <c r="L113" s="334"/>
      <c r="M113" s="697"/>
      <c r="N113" s="334"/>
      <c r="O113" s="334"/>
      <c r="P113" s="697"/>
      <c r="Q113" s="128" t="s">
        <v>193</v>
      </c>
      <c r="R113" s="519"/>
      <c r="S113" s="138">
        <v>1</v>
      </c>
      <c r="T113" s="41"/>
      <c r="U113" s="2299"/>
    </row>
    <row r="114" spans="1:23" ht="36.75" customHeight="1" x14ac:dyDescent="0.2">
      <c r="A114" s="570"/>
      <c r="B114" s="974"/>
      <c r="C114" s="944"/>
      <c r="D114" s="2354"/>
      <c r="E114" s="413"/>
      <c r="F114" s="747"/>
      <c r="G114" s="712"/>
      <c r="H114" s="334"/>
      <c r="I114" s="334"/>
      <c r="J114" s="697"/>
      <c r="K114" s="334"/>
      <c r="L114" s="334"/>
      <c r="M114" s="697"/>
      <c r="N114" s="334"/>
      <c r="O114" s="334"/>
      <c r="P114" s="697"/>
      <c r="Q114" s="953" t="s">
        <v>83</v>
      </c>
      <c r="R114" s="71"/>
      <c r="S114" s="17">
        <v>30</v>
      </c>
      <c r="T114" s="239">
        <v>100</v>
      </c>
      <c r="U114" s="2315"/>
    </row>
    <row r="115" spans="1:23" ht="32.25" customHeight="1" x14ac:dyDescent="0.2">
      <c r="A115" s="570"/>
      <c r="B115" s="974"/>
      <c r="C115" s="944"/>
      <c r="D115" s="2354"/>
      <c r="E115" s="413"/>
      <c r="F115" s="747"/>
      <c r="G115" s="713"/>
      <c r="H115" s="703"/>
      <c r="I115" s="703"/>
      <c r="J115" s="704"/>
      <c r="K115" s="703"/>
      <c r="L115" s="703"/>
      <c r="M115" s="704"/>
      <c r="N115" s="703"/>
      <c r="O115" s="703"/>
      <c r="P115" s="860"/>
      <c r="Q115" s="956"/>
      <c r="R115" s="35"/>
      <c r="S115" s="741"/>
      <c r="T115" s="861"/>
      <c r="U115" s="2316"/>
    </row>
    <row r="116" spans="1:23" ht="30" customHeight="1" x14ac:dyDescent="0.2">
      <c r="A116" s="570"/>
      <c r="B116" s="974"/>
      <c r="C116" s="944"/>
      <c r="D116" s="962" t="s">
        <v>190</v>
      </c>
      <c r="E116" s="961"/>
      <c r="F116" s="942"/>
      <c r="G116" s="685"/>
      <c r="H116" s="681"/>
      <c r="I116" s="681"/>
      <c r="J116" s="684"/>
      <c r="K116" s="681"/>
      <c r="L116" s="681"/>
      <c r="M116" s="684"/>
      <c r="N116" s="681"/>
      <c r="O116" s="681"/>
      <c r="P116" s="684"/>
      <c r="Q116" s="953"/>
      <c r="R116" s="503"/>
      <c r="S116" s="367"/>
      <c r="T116" s="368"/>
      <c r="U116" s="368"/>
    </row>
    <row r="117" spans="1:23" ht="35.25" customHeight="1" x14ac:dyDescent="0.2">
      <c r="A117" s="570"/>
      <c r="B117" s="974"/>
      <c r="C117" s="944"/>
      <c r="D117" s="2369" t="s">
        <v>173</v>
      </c>
      <c r="E117" s="961"/>
      <c r="F117" s="942"/>
      <c r="G117" s="686"/>
      <c r="H117" s="681"/>
      <c r="I117" s="681"/>
      <c r="J117" s="684"/>
      <c r="K117" s="681"/>
      <c r="L117" s="681"/>
      <c r="M117" s="684"/>
      <c r="N117" s="681"/>
      <c r="O117" s="681"/>
      <c r="P117" s="684"/>
      <c r="Q117" s="963" t="s">
        <v>83</v>
      </c>
      <c r="R117" s="504">
        <v>100</v>
      </c>
      <c r="S117" s="121"/>
      <c r="T117" s="82"/>
      <c r="U117" s="82"/>
    </row>
    <row r="118" spans="1:23" ht="35.25" customHeight="1" x14ac:dyDescent="0.2">
      <c r="A118" s="569"/>
      <c r="B118" s="974"/>
      <c r="C118" s="746"/>
      <c r="D118" s="2370"/>
      <c r="E118" s="961"/>
      <c r="F118" s="942"/>
      <c r="G118" s="686"/>
      <c r="H118" s="681"/>
      <c r="I118" s="681"/>
      <c r="J118" s="684"/>
      <c r="K118" s="681"/>
      <c r="L118" s="681"/>
      <c r="M118" s="684"/>
      <c r="N118" s="681"/>
      <c r="O118" s="681"/>
      <c r="P118" s="684"/>
      <c r="Q118" s="176" t="s">
        <v>128</v>
      </c>
      <c r="R118" s="502">
        <v>100</v>
      </c>
      <c r="S118" s="982"/>
      <c r="T118" s="83"/>
      <c r="U118" s="83"/>
    </row>
    <row r="119" spans="1:23" ht="28.5" customHeight="1" x14ac:dyDescent="0.2">
      <c r="A119" s="569"/>
      <c r="B119" s="974"/>
      <c r="C119" s="944"/>
      <c r="D119" s="2297" t="s">
        <v>275</v>
      </c>
      <c r="E119" s="413"/>
      <c r="F119" s="747"/>
      <c r="G119" s="714"/>
      <c r="H119" s="706"/>
      <c r="I119" s="706"/>
      <c r="J119" s="705"/>
      <c r="K119" s="706"/>
      <c r="L119" s="706"/>
      <c r="M119" s="705"/>
      <c r="N119" s="334"/>
      <c r="O119" s="334"/>
      <c r="P119" s="705"/>
      <c r="Q119" s="452" t="s">
        <v>56</v>
      </c>
      <c r="R119" s="505"/>
      <c r="S119" s="590">
        <v>1</v>
      </c>
      <c r="T119" s="592"/>
      <c r="U119" s="2299"/>
    </row>
    <row r="120" spans="1:23" ht="20.25" customHeight="1" x14ac:dyDescent="0.2">
      <c r="A120" s="569"/>
      <c r="B120" s="974"/>
      <c r="C120" s="746"/>
      <c r="D120" s="2354"/>
      <c r="E120" s="413"/>
      <c r="F120" s="747"/>
      <c r="G120" s="714"/>
      <c r="H120" s="706"/>
      <c r="I120" s="706"/>
      <c r="J120" s="705"/>
      <c r="K120" s="706"/>
      <c r="L120" s="706"/>
      <c r="M120" s="705"/>
      <c r="N120" s="706"/>
      <c r="O120" s="706"/>
      <c r="P120" s="704"/>
      <c r="Q120" s="2365" t="s">
        <v>103</v>
      </c>
      <c r="R120" s="414"/>
      <c r="S120" s="138">
        <v>10</v>
      </c>
      <c r="T120" s="239">
        <v>100</v>
      </c>
      <c r="U120" s="2315"/>
    </row>
    <row r="121" spans="1:23" ht="20.25" customHeight="1" x14ac:dyDescent="0.2">
      <c r="A121" s="569"/>
      <c r="B121" s="974"/>
      <c r="C121" s="944"/>
      <c r="D121" s="2354"/>
      <c r="E121" s="413"/>
      <c r="F121" s="747"/>
      <c r="G121" s="717"/>
      <c r="H121" s="334"/>
      <c r="I121" s="334"/>
      <c r="J121" s="697"/>
      <c r="K121" s="702"/>
      <c r="L121" s="702"/>
      <c r="M121" s="705"/>
      <c r="N121" s="334"/>
      <c r="O121" s="334"/>
      <c r="P121" s="704"/>
      <c r="Q121" s="2366"/>
      <c r="R121" s="460"/>
      <c r="S121" s="741"/>
      <c r="T121" s="861"/>
      <c r="U121" s="2316"/>
    </row>
    <row r="122" spans="1:23" ht="39.75" customHeight="1" x14ac:dyDescent="0.2">
      <c r="A122" s="569"/>
      <c r="B122" s="974"/>
      <c r="C122" s="944"/>
      <c r="D122" s="906" t="s">
        <v>290</v>
      </c>
      <c r="E122" s="827"/>
      <c r="F122" s="828"/>
      <c r="G122" s="717" t="s">
        <v>94</v>
      </c>
      <c r="H122" s="334">
        <v>619</v>
      </c>
      <c r="I122" s="903">
        <v>0</v>
      </c>
      <c r="J122" s="896">
        <f>+I122-H122</f>
        <v>-619</v>
      </c>
      <c r="K122" s="708">
        <v>5790.3</v>
      </c>
      <c r="L122" s="708">
        <v>5790.3</v>
      </c>
      <c r="M122" s="697"/>
      <c r="N122" s="707">
        <v>4585.1000000000004</v>
      </c>
      <c r="O122" s="907">
        <f>4585.1+619</f>
        <v>5204.1000000000004</v>
      </c>
      <c r="P122" s="896">
        <f>+O122-N122</f>
        <v>619</v>
      </c>
      <c r="Q122" s="829" t="s">
        <v>161</v>
      </c>
      <c r="R122" s="830">
        <v>1</v>
      </c>
      <c r="S122" s="590"/>
      <c r="T122" s="592"/>
      <c r="U122" s="2367" t="s">
        <v>293</v>
      </c>
      <c r="V122" s="1017" t="s">
        <v>299</v>
      </c>
      <c r="W122" s="1017"/>
    </row>
    <row r="123" spans="1:23" ht="39.75" customHeight="1" x14ac:dyDescent="0.2">
      <c r="A123" s="569"/>
      <c r="B123" s="974"/>
      <c r="C123" s="944"/>
      <c r="D123" s="633"/>
      <c r="E123" s="822"/>
      <c r="F123" s="823"/>
      <c r="G123" s="714" t="s">
        <v>110</v>
      </c>
      <c r="H123" s="706">
        <v>81</v>
      </c>
      <c r="I123" s="907">
        <v>37.5</v>
      </c>
      <c r="J123" s="910">
        <f>+I123-H123</f>
        <v>-43.5</v>
      </c>
      <c r="K123" s="702"/>
      <c r="L123" s="702"/>
      <c r="M123" s="697"/>
      <c r="N123" s="334"/>
      <c r="O123" s="903">
        <v>43.5</v>
      </c>
      <c r="P123" s="896">
        <f>+O123-N123</f>
        <v>43.5</v>
      </c>
      <c r="Q123" s="496" t="s">
        <v>63</v>
      </c>
      <c r="R123" s="908" t="s">
        <v>291</v>
      </c>
      <c r="S123" s="909" t="s">
        <v>292</v>
      </c>
      <c r="T123" s="41">
        <v>100</v>
      </c>
      <c r="U123" s="2368"/>
    </row>
    <row r="124" spans="1:23" ht="40.5" customHeight="1" x14ac:dyDescent="0.2">
      <c r="A124" s="569"/>
      <c r="B124" s="974"/>
      <c r="C124" s="944"/>
      <c r="D124" s="2354" t="s">
        <v>276</v>
      </c>
      <c r="E124" s="413"/>
      <c r="F124" s="747"/>
      <c r="G124" s="686"/>
      <c r="H124" s="681"/>
      <c r="I124" s="681"/>
      <c r="J124" s="684"/>
      <c r="K124" s="334"/>
      <c r="L124" s="334"/>
      <c r="M124" s="697"/>
      <c r="N124" s="334"/>
      <c r="O124" s="334"/>
      <c r="P124" s="697"/>
      <c r="Q124" s="496" t="s">
        <v>265</v>
      </c>
      <c r="R124" s="670">
        <v>1</v>
      </c>
      <c r="S124" s="140"/>
      <c r="T124" s="41"/>
      <c r="U124" s="2299"/>
    </row>
    <row r="125" spans="1:23" ht="40.5" customHeight="1" x14ac:dyDescent="0.2">
      <c r="A125" s="569"/>
      <c r="B125" s="974"/>
      <c r="C125" s="9"/>
      <c r="D125" s="2354"/>
      <c r="E125" s="2341"/>
      <c r="F125" s="2342"/>
      <c r="G125" s="687"/>
      <c r="H125" s="681"/>
      <c r="I125" s="681"/>
      <c r="J125" s="684"/>
      <c r="K125" s="681"/>
      <c r="L125" s="681"/>
      <c r="M125" s="684"/>
      <c r="N125" s="681"/>
      <c r="O125" s="681"/>
      <c r="P125" s="684"/>
      <c r="Q125" s="473" t="s">
        <v>56</v>
      </c>
      <c r="R125" s="276"/>
      <c r="S125" s="137">
        <v>1</v>
      </c>
      <c r="T125" s="130"/>
      <c r="U125" s="2315"/>
    </row>
    <row r="126" spans="1:23" ht="38.25" customHeight="1" x14ac:dyDescent="0.2">
      <c r="A126" s="569"/>
      <c r="B126" s="974"/>
      <c r="C126" s="448"/>
      <c r="D126" s="2355"/>
      <c r="E126" s="2341"/>
      <c r="F126" s="2342"/>
      <c r="G126" s="315"/>
      <c r="H126" s="703"/>
      <c r="I126" s="703"/>
      <c r="J126" s="704"/>
      <c r="K126" s="703"/>
      <c r="L126" s="703"/>
      <c r="M126" s="704"/>
      <c r="N126" s="703"/>
      <c r="O126" s="703"/>
      <c r="P126" s="704"/>
      <c r="Q126" s="449" t="s">
        <v>129</v>
      </c>
      <c r="R126" s="482"/>
      <c r="S126" s="172"/>
      <c r="T126" s="59">
        <v>80</v>
      </c>
      <c r="U126" s="2316"/>
    </row>
    <row r="127" spans="1:23" ht="20.25" customHeight="1" x14ac:dyDescent="0.2">
      <c r="A127" s="570"/>
      <c r="B127" s="974"/>
      <c r="C127" s="69"/>
      <c r="D127" s="2336" t="s">
        <v>289</v>
      </c>
      <c r="E127" s="119"/>
      <c r="F127" s="922"/>
      <c r="G127" s="687" t="s">
        <v>117</v>
      </c>
      <c r="H127" s="681">
        <v>93.6</v>
      </c>
      <c r="I127" s="889">
        <f>93.6-28.6</f>
        <v>65</v>
      </c>
      <c r="J127" s="886">
        <f>+I127-H127</f>
        <v>-28.599999999999994</v>
      </c>
      <c r="K127" s="681"/>
      <c r="L127" s="681"/>
      <c r="M127" s="684"/>
      <c r="N127" s="681"/>
      <c r="O127" s="681"/>
      <c r="P127" s="684"/>
      <c r="Q127" s="449" t="s">
        <v>75</v>
      </c>
      <c r="R127" s="25">
        <v>1</v>
      </c>
      <c r="S127" s="157"/>
      <c r="T127" s="57"/>
      <c r="U127" s="2357" t="s">
        <v>300</v>
      </c>
    </row>
    <row r="128" spans="1:23" ht="42.75" customHeight="1" x14ac:dyDescent="0.2">
      <c r="A128" s="570"/>
      <c r="B128" s="974"/>
      <c r="C128" s="69"/>
      <c r="D128" s="2356"/>
      <c r="E128" s="119"/>
      <c r="F128" s="922"/>
      <c r="G128" s="687"/>
      <c r="H128" s="681"/>
      <c r="I128" s="681"/>
      <c r="J128" s="684"/>
      <c r="K128" s="681"/>
      <c r="L128" s="681"/>
      <c r="M128" s="684"/>
      <c r="N128" s="688"/>
      <c r="O128" s="688"/>
      <c r="P128" s="689"/>
      <c r="Q128" s="441"/>
      <c r="R128" s="424"/>
      <c r="S128" s="209"/>
      <c r="T128" s="210"/>
      <c r="U128" s="2358"/>
    </row>
    <row r="129" spans="1:24" s="80" customFormat="1" ht="30.75" customHeight="1" x14ac:dyDescent="0.2">
      <c r="A129" s="570"/>
      <c r="B129" s="974"/>
      <c r="C129" s="445"/>
      <c r="D129" s="2359" t="s">
        <v>243</v>
      </c>
      <c r="E129" s="340"/>
      <c r="F129" s="295"/>
      <c r="G129" s="686"/>
      <c r="H129" s="690"/>
      <c r="I129" s="690"/>
      <c r="J129" s="699"/>
      <c r="K129" s="691"/>
      <c r="L129" s="691"/>
      <c r="M129" s="692"/>
      <c r="N129" s="691"/>
      <c r="O129" s="691"/>
      <c r="P129" s="692"/>
      <c r="Q129" s="979" t="s">
        <v>62</v>
      </c>
      <c r="R129" s="544">
        <v>1</v>
      </c>
      <c r="S129" s="930"/>
      <c r="T129" s="932"/>
      <c r="U129" s="932"/>
      <c r="V129" s="298"/>
    </row>
    <row r="130" spans="1:24" s="80" customFormat="1" ht="17.25" customHeight="1" thickBot="1" x14ac:dyDescent="0.25">
      <c r="A130" s="570"/>
      <c r="B130" s="974"/>
      <c r="C130" s="445"/>
      <c r="D130" s="2360"/>
      <c r="E130" s="340"/>
      <c r="F130" s="295"/>
      <c r="G130" s="715"/>
      <c r="H130" s="700"/>
      <c r="I130" s="700"/>
      <c r="J130" s="701"/>
      <c r="K130" s="691"/>
      <c r="L130" s="691"/>
      <c r="M130" s="692"/>
      <c r="N130" s="691"/>
      <c r="O130" s="691"/>
      <c r="P130" s="692"/>
      <c r="Q130" s="924" t="s">
        <v>129</v>
      </c>
      <c r="R130" s="509">
        <v>100</v>
      </c>
      <c r="S130" s="929"/>
      <c r="T130" s="931"/>
      <c r="U130" s="931"/>
      <c r="V130" s="298"/>
    </row>
    <row r="131" spans="1:24" ht="36.75" customHeight="1" x14ac:dyDescent="0.2">
      <c r="A131" s="569"/>
      <c r="B131" s="974"/>
      <c r="C131" s="9"/>
      <c r="D131" s="2361" t="s">
        <v>238</v>
      </c>
      <c r="E131" s="423" t="s">
        <v>2</v>
      </c>
      <c r="F131" s="231">
        <v>6</v>
      </c>
      <c r="G131" s="317" t="s">
        <v>15</v>
      </c>
      <c r="H131" s="350">
        <f>2193.5</f>
        <v>2193.5</v>
      </c>
      <c r="I131" s="667">
        <f>2193.5-50</f>
        <v>2143.5</v>
      </c>
      <c r="J131" s="913">
        <f>+I131-H131</f>
        <v>-50</v>
      </c>
      <c r="K131" s="309">
        <v>2530.4</v>
      </c>
      <c r="L131" s="350">
        <v>2530.4</v>
      </c>
      <c r="M131" s="341"/>
      <c r="N131" s="832">
        <v>1972.9</v>
      </c>
      <c r="O131" s="350">
        <v>1972.9</v>
      </c>
      <c r="P131" s="341"/>
      <c r="Q131" s="499" t="s">
        <v>237</v>
      </c>
      <c r="R131" s="216">
        <v>7</v>
      </c>
      <c r="S131" s="531">
        <v>5</v>
      </c>
      <c r="T131" s="159">
        <v>5</v>
      </c>
      <c r="U131" s="159"/>
      <c r="V131" s="110"/>
      <c r="W131" s="110"/>
      <c r="X131" s="110"/>
    </row>
    <row r="132" spans="1:24" ht="44.25" customHeight="1" x14ac:dyDescent="0.2">
      <c r="A132" s="569"/>
      <c r="B132" s="974"/>
      <c r="C132" s="9"/>
      <c r="D132" s="2355"/>
      <c r="E132" s="119"/>
      <c r="F132" s="922"/>
      <c r="G132" s="862" t="s">
        <v>18</v>
      </c>
      <c r="H132" s="737">
        <v>50</v>
      </c>
      <c r="I132" s="737">
        <v>50</v>
      </c>
      <c r="J132" s="160"/>
      <c r="K132" s="736"/>
      <c r="L132" s="737"/>
      <c r="M132" s="132"/>
      <c r="N132" s="833"/>
      <c r="O132" s="737"/>
      <c r="P132" s="132"/>
      <c r="Q132" s="449" t="s">
        <v>216</v>
      </c>
      <c r="R132" s="25">
        <v>2</v>
      </c>
      <c r="S132" s="85">
        <v>2</v>
      </c>
      <c r="T132" s="60">
        <v>3</v>
      </c>
      <c r="U132" s="60"/>
      <c r="V132" s="110"/>
      <c r="W132" s="110"/>
      <c r="X132" s="110"/>
    </row>
    <row r="133" spans="1:24" ht="30.75" customHeight="1" x14ac:dyDescent="0.2">
      <c r="A133" s="570"/>
      <c r="B133" s="974"/>
      <c r="C133" s="62"/>
      <c r="D133" s="2362" t="s">
        <v>231</v>
      </c>
      <c r="E133" s="413"/>
      <c r="F133" s="747"/>
      <c r="G133" s="748"/>
      <c r="H133" s="978"/>
      <c r="I133" s="978"/>
      <c r="J133" s="94"/>
      <c r="K133" s="738"/>
      <c r="L133" s="978"/>
      <c r="M133" s="99"/>
      <c r="N133" s="411"/>
      <c r="O133" s="978"/>
      <c r="P133" s="99"/>
      <c r="Q133" s="415" t="s">
        <v>103</v>
      </c>
      <c r="R133" s="506" t="s">
        <v>84</v>
      </c>
      <c r="S133" s="416" t="s">
        <v>78</v>
      </c>
      <c r="T133" s="361"/>
      <c r="U133" s="610"/>
    </row>
    <row r="134" spans="1:24" ht="35.25" customHeight="1" x14ac:dyDescent="0.2">
      <c r="A134" s="570"/>
      <c r="B134" s="974"/>
      <c r="C134" s="62"/>
      <c r="D134" s="2347"/>
      <c r="E134" s="413"/>
      <c r="F134" s="747"/>
      <c r="G134" s="748"/>
      <c r="H134" s="978"/>
      <c r="I134" s="978"/>
      <c r="J134" s="94"/>
      <c r="K134" s="738"/>
      <c r="L134" s="978"/>
      <c r="M134" s="99"/>
      <c r="N134" s="411"/>
      <c r="O134" s="978"/>
      <c r="P134" s="99"/>
      <c r="Q134" s="278" t="s">
        <v>112</v>
      </c>
      <c r="R134" s="507" t="s">
        <v>78</v>
      </c>
      <c r="S134" s="417"/>
      <c r="T134" s="279"/>
      <c r="U134" s="611"/>
    </row>
    <row r="135" spans="1:24" ht="40.5" customHeight="1" x14ac:dyDescent="0.2">
      <c r="A135" s="570"/>
      <c r="B135" s="974"/>
      <c r="C135" s="62"/>
      <c r="D135" s="2297" t="s">
        <v>195</v>
      </c>
      <c r="E135" s="422"/>
      <c r="F135" s="295"/>
      <c r="G135" s="911" t="s">
        <v>94</v>
      </c>
      <c r="H135" s="889"/>
      <c r="I135" s="889"/>
      <c r="J135" s="912">
        <v>-50</v>
      </c>
      <c r="K135" s="434"/>
      <c r="L135" s="813"/>
      <c r="M135" s="97"/>
      <c r="N135" s="834"/>
      <c r="O135" s="813"/>
      <c r="P135" s="97"/>
      <c r="Q135" s="497" t="s">
        <v>119</v>
      </c>
      <c r="R135" s="508" t="s">
        <v>78</v>
      </c>
      <c r="S135" s="418"/>
      <c r="T135" s="419"/>
      <c r="U135" s="2363" t="s">
        <v>301</v>
      </c>
      <c r="V135" s="299"/>
    </row>
    <row r="136" spans="1:24" ht="51.75" customHeight="1" x14ac:dyDescent="0.2">
      <c r="A136" s="570"/>
      <c r="B136" s="974"/>
      <c r="C136" s="314"/>
      <c r="D136" s="2355"/>
      <c r="E136" s="422"/>
      <c r="F136" s="295"/>
      <c r="G136" s="639"/>
      <c r="H136" s="813"/>
      <c r="I136" s="813"/>
      <c r="J136" s="938"/>
      <c r="K136" s="434"/>
      <c r="L136" s="813"/>
      <c r="M136" s="97"/>
      <c r="N136" s="834"/>
      <c r="O136" s="813"/>
      <c r="P136" s="97"/>
      <c r="Q136" s="498"/>
      <c r="R136" s="557"/>
      <c r="S136" s="420"/>
      <c r="T136" s="421"/>
      <c r="U136" s="2364"/>
      <c r="V136" s="299"/>
    </row>
    <row r="137" spans="1:24" ht="31.5" customHeight="1" x14ac:dyDescent="0.2">
      <c r="A137" s="570"/>
      <c r="B137" s="974"/>
      <c r="C137" s="915"/>
      <c r="D137" s="2293" t="s">
        <v>196</v>
      </c>
      <c r="E137" s="340"/>
      <c r="F137" s="295"/>
      <c r="G137" s="639"/>
      <c r="H137" s="259"/>
      <c r="I137" s="259"/>
      <c r="J137" s="594"/>
      <c r="K137" s="665"/>
      <c r="L137" s="259"/>
      <c r="M137" s="543"/>
      <c r="N137" s="835"/>
      <c r="O137" s="259"/>
      <c r="P137" s="543"/>
      <c r="Q137" s="553" t="s">
        <v>161</v>
      </c>
      <c r="R137" s="554">
        <v>1</v>
      </c>
      <c r="S137" s="555"/>
      <c r="T137" s="556"/>
      <c r="U137" s="556"/>
      <c r="V137" s="52"/>
    </row>
    <row r="138" spans="1:24" ht="16.5" customHeight="1" x14ac:dyDescent="0.2">
      <c r="A138" s="570"/>
      <c r="B138" s="974"/>
      <c r="C138" s="915"/>
      <c r="D138" s="2293"/>
      <c r="E138" s="340"/>
      <c r="F138" s="295"/>
      <c r="G138" s="644"/>
      <c r="H138" s="468"/>
      <c r="I138" s="468"/>
      <c r="J138" s="600"/>
      <c r="K138" s="554"/>
      <c r="L138" s="378"/>
      <c r="M138" s="621"/>
      <c r="N138" s="836"/>
      <c r="O138" s="378"/>
      <c r="P138" s="621"/>
      <c r="Q138" s="2349" t="s">
        <v>162</v>
      </c>
      <c r="R138" s="509">
        <v>20</v>
      </c>
      <c r="S138" s="545">
        <v>60</v>
      </c>
      <c r="T138" s="546">
        <v>100</v>
      </c>
      <c r="U138" s="546"/>
      <c r="V138" s="52"/>
    </row>
    <row r="139" spans="1:24" ht="16.5" customHeight="1" thickBot="1" x14ac:dyDescent="0.25">
      <c r="A139" s="575"/>
      <c r="B139" s="958"/>
      <c r="C139" s="240"/>
      <c r="D139" s="542"/>
      <c r="E139" s="2351" t="s">
        <v>54</v>
      </c>
      <c r="F139" s="2352"/>
      <c r="G139" s="2353"/>
      <c r="H139" s="335">
        <f>+H131+H108+H106+H105+H104+H103+H102+H132</f>
        <v>4354.7999999999993</v>
      </c>
      <c r="I139" s="335">
        <f>+I131+I108+I106+I105+I104+I103+I102+I132</f>
        <v>3613.7</v>
      </c>
      <c r="J139" s="379">
        <f>+J131+J108+J106+J105+J104+J103+J102+J132</f>
        <v>-741.1</v>
      </c>
      <c r="K139" s="345">
        <f>+K131+K108+K106+K105+K104+K103+K102+K132+K107</f>
        <v>9617.9</v>
      </c>
      <c r="L139" s="335">
        <f>+L131+L108+L106+L105+L104+L103+L102+L132+L107</f>
        <v>9617.9</v>
      </c>
      <c r="M139" s="841">
        <f>+M131+M108+M106+M105+M104+M103+M102+M132+M107</f>
        <v>0</v>
      </c>
      <c r="N139" s="837">
        <f>+N131+N108+N106+N105+N104+N103+N102+N132</f>
        <v>7211.8</v>
      </c>
      <c r="O139" s="335">
        <f>+O131+O108+O106+O105+O104+O103+O102+O132</f>
        <v>7874.3</v>
      </c>
      <c r="P139" s="335">
        <f>+P131+P108+P106+P105+P104+P103+P102+P132</f>
        <v>662.5</v>
      </c>
      <c r="Q139" s="2350"/>
      <c r="R139" s="510"/>
      <c r="S139" s="360"/>
      <c r="T139" s="161"/>
      <c r="U139" s="161"/>
    </row>
    <row r="140" spans="1:24" ht="14.25" customHeight="1" x14ac:dyDescent="0.2">
      <c r="A140" s="572" t="s">
        <v>17</v>
      </c>
      <c r="B140" s="957" t="s">
        <v>14</v>
      </c>
      <c r="C140" s="649" t="s">
        <v>17</v>
      </c>
      <c r="D140" s="2292" t="s">
        <v>197</v>
      </c>
      <c r="E140" s="401" t="s">
        <v>2</v>
      </c>
      <c r="F140" s="56">
        <v>5</v>
      </c>
      <c r="G140" s="89" t="s">
        <v>15</v>
      </c>
      <c r="H140" s="300">
        <v>60.4</v>
      </c>
      <c r="I140" s="300">
        <v>60.4</v>
      </c>
      <c r="J140" s="126"/>
      <c r="K140" s="346">
        <v>588.29999999999995</v>
      </c>
      <c r="L140" s="300">
        <v>588.29999999999995</v>
      </c>
      <c r="M140" s="842"/>
      <c r="N140" s="863">
        <f>1085.8+171.1</f>
        <v>1256.8999999999999</v>
      </c>
      <c r="O140" s="300">
        <f>1085.8+171.1</f>
        <v>1256.8999999999999</v>
      </c>
      <c r="P140" s="842"/>
      <c r="Q140" s="459"/>
      <c r="R140" s="212"/>
      <c r="S140" s="146"/>
      <c r="T140" s="586"/>
      <c r="U140" s="586"/>
      <c r="V140" s="110"/>
      <c r="W140" s="110"/>
      <c r="X140" s="110"/>
    </row>
    <row r="141" spans="1:24" ht="14.25" customHeight="1" x14ac:dyDescent="0.2">
      <c r="A141" s="570"/>
      <c r="B141" s="974"/>
      <c r="C141" s="915"/>
      <c r="D141" s="2293"/>
      <c r="E141" s="433"/>
      <c r="F141" s="46"/>
      <c r="G141" s="937" t="s">
        <v>110</v>
      </c>
      <c r="H141" s="301">
        <f>32-5.7</f>
        <v>26.3</v>
      </c>
      <c r="I141" s="301">
        <f>32-5.7</f>
        <v>26.3</v>
      </c>
      <c r="J141" s="275"/>
      <c r="K141" s="347"/>
      <c r="L141" s="301"/>
      <c r="M141" s="274"/>
      <c r="N141" s="838"/>
      <c r="O141" s="301"/>
      <c r="P141" s="274"/>
      <c r="Q141" s="928"/>
      <c r="R141" s="213"/>
      <c r="S141" s="121"/>
      <c r="T141" s="82"/>
      <c r="U141" s="82"/>
    </row>
    <row r="142" spans="1:24" ht="14.25" customHeight="1" x14ac:dyDescent="0.2">
      <c r="A142" s="570"/>
      <c r="B142" s="974"/>
      <c r="C142" s="915"/>
      <c r="D142" s="2293"/>
      <c r="E142" s="433"/>
      <c r="F142" s="46"/>
      <c r="G142" s="289" t="s">
        <v>3</v>
      </c>
      <c r="H142" s="720"/>
      <c r="I142" s="720"/>
      <c r="J142" s="864"/>
      <c r="K142" s="721">
        <v>35.700000000000003</v>
      </c>
      <c r="L142" s="720">
        <v>35.700000000000003</v>
      </c>
      <c r="M142" s="722"/>
      <c r="N142" s="865">
        <v>35.700000000000003</v>
      </c>
      <c r="O142" s="720">
        <v>35.700000000000003</v>
      </c>
      <c r="P142" s="722"/>
      <c r="Q142" s="928"/>
      <c r="R142" s="213"/>
      <c r="S142" s="121"/>
      <c r="T142" s="82"/>
      <c r="U142" s="82"/>
    </row>
    <row r="143" spans="1:24" ht="14.25" customHeight="1" x14ac:dyDescent="0.2">
      <c r="A143" s="570"/>
      <c r="B143" s="974"/>
      <c r="C143" s="915"/>
      <c r="D143" s="2293"/>
      <c r="E143" s="433"/>
      <c r="F143" s="46"/>
      <c r="G143" s="673" t="s">
        <v>4</v>
      </c>
      <c r="H143" s="723"/>
      <c r="I143" s="723"/>
      <c r="J143" s="866"/>
      <c r="K143" s="674"/>
      <c r="L143" s="723"/>
      <c r="M143" s="867"/>
      <c r="N143" s="868">
        <v>403.9</v>
      </c>
      <c r="O143" s="723">
        <v>403.9</v>
      </c>
      <c r="P143" s="722"/>
      <c r="Q143" s="928"/>
      <c r="R143" s="213"/>
      <c r="S143" s="121"/>
      <c r="T143" s="82"/>
      <c r="U143" s="82"/>
    </row>
    <row r="144" spans="1:24" ht="14.25" customHeight="1" x14ac:dyDescent="0.2">
      <c r="A144" s="570"/>
      <c r="B144" s="974"/>
      <c r="C144" s="915"/>
      <c r="D144" s="2293"/>
      <c r="E144" s="433"/>
      <c r="F144" s="922"/>
      <c r="G144" s="597" t="s">
        <v>52</v>
      </c>
      <c r="H144" s="677">
        <v>125</v>
      </c>
      <c r="I144" s="677">
        <v>125</v>
      </c>
      <c r="J144" s="287"/>
      <c r="K144" s="552">
        <v>1300</v>
      </c>
      <c r="L144" s="677">
        <v>1300</v>
      </c>
      <c r="M144" s="115"/>
      <c r="N144" s="640">
        <v>1000</v>
      </c>
      <c r="O144" s="677">
        <v>1000</v>
      </c>
      <c r="P144" s="115"/>
      <c r="Q144" s="928"/>
      <c r="R144" s="213"/>
      <c r="S144" s="121"/>
      <c r="T144" s="82"/>
      <c r="U144" s="82"/>
    </row>
    <row r="145" spans="1:26" ht="45.75" customHeight="1" x14ac:dyDescent="0.2">
      <c r="A145" s="570"/>
      <c r="B145" s="974"/>
      <c r="C145" s="915"/>
      <c r="D145" s="2297" t="s">
        <v>244</v>
      </c>
      <c r="E145" s="340"/>
      <c r="F145" s="295"/>
      <c r="G145" s="712"/>
      <c r="H145" s="334"/>
      <c r="I145" s="334"/>
      <c r="J145" s="696"/>
      <c r="K145" s="437"/>
      <c r="L145" s="334"/>
      <c r="M145" s="697"/>
      <c r="N145" s="702"/>
      <c r="O145" s="334"/>
      <c r="P145" s="697"/>
      <c r="Q145" s="924" t="s">
        <v>56</v>
      </c>
      <c r="R145" s="927">
        <v>1</v>
      </c>
      <c r="S145" s="929"/>
      <c r="T145" s="931"/>
      <c r="U145" s="2344"/>
    </row>
    <row r="146" spans="1:26" ht="45.75" customHeight="1" x14ac:dyDescent="0.2">
      <c r="A146" s="570"/>
      <c r="B146" s="974"/>
      <c r="C146" s="915"/>
      <c r="D146" s="2354"/>
      <c r="E146" s="340"/>
      <c r="F146" s="295"/>
      <c r="G146" s="711"/>
      <c r="H146" s="706"/>
      <c r="I146" s="706"/>
      <c r="J146" s="709"/>
      <c r="K146" s="857"/>
      <c r="L146" s="706"/>
      <c r="M146" s="705"/>
      <c r="N146" s="708"/>
      <c r="O146" s="706"/>
      <c r="P146" s="705"/>
      <c r="Q146" s="925"/>
      <c r="R146" s="928"/>
      <c r="S146" s="930"/>
      <c r="T146" s="932"/>
      <c r="U146" s="2290"/>
    </row>
    <row r="147" spans="1:26" ht="57.75" customHeight="1" x14ac:dyDescent="0.2">
      <c r="A147" s="570"/>
      <c r="B147" s="974"/>
      <c r="C147" s="915"/>
      <c r="D147" s="2354"/>
      <c r="E147" s="340"/>
      <c r="F147" s="295"/>
      <c r="G147" s="679"/>
      <c r="H147" s="681"/>
      <c r="I147" s="681"/>
      <c r="J147" s="682"/>
      <c r="K147" s="683"/>
      <c r="L147" s="681"/>
      <c r="M147" s="684"/>
      <c r="N147" s="698"/>
      <c r="O147" s="681"/>
      <c r="P147" s="684"/>
      <c r="Q147" s="925"/>
      <c r="R147" s="928"/>
      <c r="S147" s="930"/>
      <c r="T147" s="932"/>
      <c r="U147" s="2290"/>
    </row>
    <row r="148" spans="1:26" ht="45.75" customHeight="1" x14ac:dyDescent="0.2">
      <c r="A148" s="570"/>
      <c r="B148" s="974"/>
      <c r="C148" s="915"/>
      <c r="D148" s="2355"/>
      <c r="E148" s="340"/>
      <c r="F148" s="295"/>
      <c r="G148" s="711"/>
      <c r="H148" s="719"/>
      <c r="I148" s="719"/>
      <c r="J148" s="831"/>
      <c r="K148" s="857"/>
      <c r="L148" s="706"/>
      <c r="M148" s="705"/>
      <c r="N148" s="708"/>
      <c r="O148" s="706"/>
      <c r="P148" s="705"/>
      <c r="Q148" s="918" t="s">
        <v>130</v>
      </c>
      <c r="R148" s="337"/>
      <c r="S148" s="120">
        <v>40</v>
      </c>
      <c r="T148" s="983">
        <v>100</v>
      </c>
      <c r="U148" s="2290"/>
    </row>
    <row r="149" spans="1:26" ht="26.25" customHeight="1" x14ac:dyDescent="0.2">
      <c r="A149" s="570"/>
      <c r="B149" s="974"/>
      <c r="C149" s="944"/>
      <c r="D149" s="528" t="s">
        <v>232</v>
      </c>
      <c r="E149" s="422"/>
      <c r="F149" s="295"/>
      <c r="G149" s="680"/>
      <c r="H149" s="334"/>
      <c r="I149" s="334"/>
      <c r="J149" s="696"/>
      <c r="K149" s="716"/>
      <c r="L149" s="334"/>
      <c r="M149" s="697"/>
      <c r="N149" s="696"/>
      <c r="O149" s="334"/>
      <c r="P149" s="697"/>
      <c r="Q149" s="473" t="s">
        <v>100</v>
      </c>
      <c r="R149" s="399">
        <v>5</v>
      </c>
      <c r="S149" s="228"/>
      <c r="T149" s="27"/>
      <c r="U149" s="2344"/>
      <c r="W149" s="24"/>
      <c r="X149" s="24"/>
      <c r="Y149" s="24"/>
    </row>
    <row r="150" spans="1:26" ht="26.25" customHeight="1" x14ac:dyDescent="0.2">
      <c r="A150" s="570"/>
      <c r="B150" s="974"/>
      <c r="C150" s="944"/>
      <c r="D150" s="463"/>
      <c r="E150" s="422"/>
      <c r="F150" s="930"/>
      <c r="G150" s="712"/>
      <c r="H150" s="334"/>
      <c r="I150" s="334"/>
      <c r="J150" s="696"/>
      <c r="K150" s="716"/>
      <c r="L150" s="334"/>
      <c r="M150" s="697"/>
      <c r="N150" s="696"/>
      <c r="O150" s="334"/>
      <c r="P150" s="697"/>
      <c r="Q150" s="925" t="s">
        <v>56</v>
      </c>
      <c r="R150" s="928"/>
      <c r="S150" s="930">
        <v>3</v>
      </c>
      <c r="T150" s="932">
        <v>5</v>
      </c>
      <c r="U150" s="2290"/>
      <c r="W150" s="24"/>
      <c r="X150" s="24"/>
      <c r="Y150" s="24"/>
    </row>
    <row r="151" spans="1:26" ht="26.25" customHeight="1" x14ac:dyDescent="0.2">
      <c r="A151" s="569"/>
      <c r="B151" s="974"/>
      <c r="C151" s="746"/>
      <c r="D151" s="633"/>
      <c r="E151" s="422"/>
      <c r="F151" s="930"/>
      <c r="G151" s="381"/>
      <c r="H151" s="678"/>
      <c r="I151" s="678"/>
      <c r="J151" s="125"/>
      <c r="K151" s="149"/>
      <c r="L151" s="678"/>
      <c r="M151" s="122"/>
      <c r="N151" s="839"/>
      <c r="O151" s="678"/>
      <c r="P151" s="869"/>
      <c r="Q151" s="918" t="s">
        <v>65</v>
      </c>
      <c r="R151" s="337"/>
      <c r="S151" s="120"/>
      <c r="T151" s="983">
        <v>10</v>
      </c>
      <c r="U151" s="2345"/>
      <c r="W151" s="24"/>
      <c r="X151" s="24"/>
      <c r="Y151" s="24"/>
    </row>
    <row r="152" spans="1:26" ht="28.5" customHeight="1" x14ac:dyDescent="0.2">
      <c r="A152" s="570"/>
      <c r="B152" s="974"/>
      <c r="C152" s="944"/>
      <c r="D152" s="124" t="s">
        <v>198</v>
      </c>
      <c r="E152" s="961"/>
      <c r="F152" s="942"/>
      <c r="G152" s="748"/>
      <c r="H152" s="978"/>
      <c r="I152" s="978"/>
      <c r="J152" s="94"/>
      <c r="K152" s="738"/>
      <c r="L152" s="978"/>
      <c r="M152" s="99"/>
      <c r="N152" s="94"/>
      <c r="O152" s="978"/>
      <c r="P152" s="99"/>
      <c r="Q152" s="500" t="s">
        <v>62</v>
      </c>
      <c r="R152" s="21"/>
      <c r="S152" s="589">
        <v>1</v>
      </c>
      <c r="T152" s="51"/>
      <c r="U152" s="592"/>
      <c r="V152" s="450"/>
    </row>
    <row r="153" spans="1:26" ht="30" customHeight="1" x14ac:dyDescent="0.2">
      <c r="A153" s="569"/>
      <c r="B153" s="974"/>
      <c r="C153" s="66"/>
      <c r="D153" s="124"/>
      <c r="E153" s="273"/>
      <c r="F153" s="131"/>
      <c r="G153" s="272"/>
      <c r="H153" s="978"/>
      <c r="I153" s="978"/>
      <c r="J153" s="94"/>
      <c r="K153" s="738"/>
      <c r="L153" s="978"/>
      <c r="M153" s="99"/>
      <c r="N153" s="94"/>
      <c r="O153" s="978"/>
      <c r="P153" s="99"/>
      <c r="Q153" s="500" t="s">
        <v>83</v>
      </c>
      <c r="R153" s="511"/>
      <c r="S153" s="589">
        <v>30</v>
      </c>
      <c r="T153" s="51">
        <v>100</v>
      </c>
      <c r="U153" s="592"/>
    </row>
    <row r="154" spans="1:26" ht="29.25" customHeight="1" x14ac:dyDescent="0.2">
      <c r="A154" s="569"/>
      <c r="B154" s="974"/>
      <c r="C154" s="944"/>
      <c r="D154" s="935" t="s">
        <v>174</v>
      </c>
      <c r="E154" s="747"/>
      <c r="F154" s="747"/>
      <c r="G154" s="748"/>
      <c r="H154" s="978"/>
      <c r="I154" s="978"/>
      <c r="J154" s="94"/>
      <c r="K154" s="738"/>
      <c r="L154" s="978"/>
      <c r="M154" s="99"/>
      <c r="N154" s="94"/>
      <c r="O154" s="978"/>
      <c r="P154" s="99"/>
      <c r="Q154" s="953" t="s">
        <v>62</v>
      </c>
      <c r="R154" s="71">
        <v>1</v>
      </c>
      <c r="S154" s="138"/>
      <c r="T154" s="239"/>
      <c r="U154" s="239"/>
    </row>
    <row r="155" spans="1:26" ht="18.75" customHeight="1" thickBot="1" x14ac:dyDescent="0.25">
      <c r="A155" s="575"/>
      <c r="B155" s="958"/>
      <c r="C155" s="945"/>
      <c r="D155" s="947"/>
      <c r="E155" s="2338" t="s">
        <v>54</v>
      </c>
      <c r="F155" s="2339"/>
      <c r="G155" s="2340"/>
      <c r="H155" s="249">
        <f t="shared" ref="H155" si="14">SUM(H140:H144)</f>
        <v>211.7</v>
      </c>
      <c r="I155" s="249">
        <f t="shared" ref="I155:P155" si="15">SUM(I140:I144)</f>
        <v>211.7</v>
      </c>
      <c r="J155" s="425">
        <f t="shared" si="15"/>
        <v>0</v>
      </c>
      <c r="K155" s="426">
        <f t="shared" si="15"/>
        <v>1924</v>
      </c>
      <c r="L155" s="249">
        <f t="shared" si="15"/>
        <v>1924</v>
      </c>
      <c r="M155" s="429">
        <f t="shared" si="15"/>
        <v>0</v>
      </c>
      <c r="N155" s="840">
        <f t="shared" si="15"/>
        <v>2696.5</v>
      </c>
      <c r="O155" s="249">
        <f t="shared" si="15"/>
        <v>2696.5</v>
      </c>
      <c r="P155" s="429">
        <f t="shared" si="15"/>
        <v>0</v>
      </c>
      <c r="Q155" s="953" t="s">
        <v>63</v>
      </c>
      <c r="R155" s="513"/>
      <c r="S155" s="297">
        <v>50</v>
      </c>
      <c r="T155" s="443">
        <v>80</v>
      </c>
      <c r="U155" s="443"/>
      <c r="V155" s="110"/>
      <c r="W155" s="110"/>
      <c r="X155" s="110"/>
      <c r="Y155" s="233"/>
      <c r="Z155" s="2332"/>
    </row>
    <row r="156" spans="1:26" ht="15" customHeight="1" x14ac:dyDescent="0.2">
      <c r="A156" s="572" t="s">
        <v>17</v>
      </c>
      <c r="B156" s="957" t="s">
        <v>14</v>
      </c>
      <c r="C156" s="943" t="s">
        <v>19</v>
      </c>
      <c r="D156" s="2346" t="s">
        <v>199</v>
      </c>
      <c r="E156" s="64" t="s">
        <v>2</v>
      </c>
      <c r="F156" s="81">
        <v>5</v>
      </c>
      <c r="G156" s="595" t="s">
        <v>15</v>
      </c>
      <c r="H156" s="257"/>
      <c r="I156" s="257"/>
      <c r="J156" s="92"/>
      <c r="K156" s="293">
        <v>645.20000000000005</v>
      </c>
      <c r="L156" s="257">
        <v>645.20000000000005</v>
      </c>
      <c r="M156" s="106"/>
      <c r="N156" s="92">
        <v>444.4</v>
      </c>
      <c r="O156" s="257">
        <v>444.4</v>
      </c>
      <c r="P156" s="106"/>
      <c r="Q156" s="971"/>
      <c r="R156" s="535"/>
      <c r="S156" s="146"/>
      <c r="T156" s="586"/>
      <c r="U156" s="2348"/>
      <c r="W156" s="233"/>
      <c r="X156" s="233"/>
      <c r="Y156" s="233"/>
      <c r="Z156" s="2332"/>
    </row>
    <row r="157" spans="1:26" ht="15" customHeight="1" x14ac:dyDescent="0.2">
      <c r="A157" s="570"/>
      <c r="B157" s="974"/>
      <c r="C157" s="746"/>
      <c r="D157" s="2347"/>
      <c r="E157" s="532"/>
      <c r="F157" s="282"/>
      <c r="G157" s="541" t="s">
        <v>110</v>
      </c>
      <c r="H157" s="258">
        <f>30.1+5.7</f>
        <v>35.800000000000004</v>
      </c>
      <c r="I157" s="258">
        <f>30.1+5.7</f>
        <v>35.800000000000004</v>
      </c>
      <c r="J157" s="326"/>
      <c r="K157" s="291"/>
      <c r="L157" s="258"/>
      <c r="M157" s="96"/>
      <c r="N157" s="326"/>
      <c r="O157" s="258"/>
      <c r="P157" s="96"/>
      <c r="Q157" s="981"/>
      <c r="R157" s="976"/>
      <c r="S157" s="121"/>
      <c r="T157" s="82"/>
      <c r="U157" s="2277"/>
      <c r="W157" s="303"/>
      <c r="X157" s="966"/>
      <c r="Y157" s="966"/>
      <c r="Z157" s="966"/>
    </row>
    <row r="158" spans="1:26" ht="15" customHeight="1" x14ac:dyDescent="0.2">
      <c r="A158" s="570"/>
      <c r="B158" s="974"/>
      <c r="C158" s="944"/>
      <c r="D158" s="965"/>
      <c r="E158" s="532"/>
      <c r="F158" s="282"/>
      <c r="G158" s="390" t="s">
        <v>113</v>
      </c>
      <c r="H158" s="258">
        <v>31.6</v>
      </c>
      <c r="I158" s="258">
        <v>31.6</v>
      </c>
      <c r="J158" s="377"/>
      <c r="K158" s="291">
        <v>516.29999999999995</v>
      </c>
      <c r="L158" s="258">
        <v>516.29999999999995</v>
      </c>
      <c r="M158" s="96"/>
      <c r="N158" s="326"/>
      <c r="O158" s="258"/>
      <c r="P158" s="96"/>
      <c r="Q158" s="981"/>
      <c r="R158" s="976"/>
      <c r="S158" s="121"/>
      <c r="T158" s="82"/>
      <c r="U158" s="2274"/>
      <c r="W158" s="303"/>
      <c r="X158" s="966"/>
      <c r="Y158" s="966"/>
      <c r="Z158" s="966"/>
    </row>
    <row r="159" spans="1:26" ht="15.75" customHeight="1" x14ac:dyDescent="0.2">
      <c r="A159" s="570"/>
      <c r="B159" s="974"/>
      <c r="C159" s="944"/>
      <c r="D159" s="2317" t="s">
        <v>200</v>
      </c>
      <c r="E159" s="2341"/>
      <c r="F159" s="2342"/>
      <c r="G159" s="596"/>
      <c r="H159" s="978"/>
      <c r="I159" s="978"/>
      <c r="J159" s="94"/>
      <c r="K159" s="955"/>
      <c r="L159" s="978"/>
      <c r="M159" s="99"/>
      <c r="N159" s="94"/>
      <c r="O159" s="978"/>
      <c r="P159" s="99"/>
      <c r="Q159" s="533" t="s">
        <v>64</v>
      </c>
      <c r="R159" s="406">
        <v>1</v>
      </c>
      <c r="S159" s="164"/>
      <c r="T159" s="79"/>
      <c r="U159" s="79"/>
      <c r="W159" s="303"/>
      <c r="X159" s="966"/>
      <c r="Y159" s="966"/>
      <c r="Z159" s="966"/>
    </row>
    <row r="160" spans="1:26" ht="30.75" customHeight="1" x14ac:dyDescent="0.2">
      <c r="A160" s="569"/>
      <c r="B160" s="974"/>
      <c r="C160" s="66"/>
      <c r="D160" s="2331"/>
      <c r="E160" s="2341"/>
      <c r="F160" s="2342"/>
      <c r="G160" s="748"/>
      <c r="H160" s="978"/>
      <c r="I160" s="978"/>
      <c r="J160" s="94"/>
      <c r="K160" s="955"/>
      <c r="L160" s="978"/>
      <c r="M160" s="99"/>
      <c r="N160" s="94"/>
      <c r="O160" s="978"/>
      <c r="P160" s="99"/>
      <c r="Q160" s="533" t="s">
        <v>101</v>
      </c>
      <c r="R160" s="406"/>
      <c r="S160" s="164">
        <v>100</v>
      </c>
      <c r="T160" s="79"/>
      <c r="U160" s="79"/>
      <c r="W160" s="303"/>
      <c r="X160" s="966"/>
      <c r="Y160" s="966"/>
      <c r="Z160" s="966"/>
    </row>
    <row r="161" spans="1:26" ht="15.75" customHeight="1" x14ac:dyDescent="0.2">
      <c r="A161" s="569"/>
      <c r="B161" s="974"/>
      <c r="C161" s="197"/>
      <c r="D161" s="2318"/>
      <c r="E161" s="2341"/>
      <c r="F161" s="2342"/>
      <c r="G161" s="272"/>
      <c r="H161" s="260"/>
      <c r="I161" s="260"/>
      <c r="J161" s="324"/>
      <c r="K161" s="256"/>
      <c r="L161" s="260"/>
      <c r="M161" s="232"/>
      <c r="N161" s="324"/>
      <c r="O161" s="260"/>
      <c r="P161" s="232"/>
      <c r="Q161" s="534" t="s">
        <v>128</v>
      </c>
      <c r="R161" s="67"/>
      <c r="S161" s="140">
        <v>100</v>
      </c>
      <c r="T161" s="41"/>
      <c r="U161" s="41"/>
      <c r="W161" s="303"/>
      <c r="X161" s="966"/>
      <c r="Y161" s="966"/>
      <c r="Z161" s="966"/>
    </row>
    <row r="162" spans="1:26" ht="60.75" customHeight="1" x14ac:dyDescent="0.2">
      <c r="A162" s="570"/>
      <c r="B162" s="974"/>
      <c r="C162" s="944"/>
      <c r="D162" s="2317" t="s">
        <v>201</v>
      </c>
      <c r="E162" s="2341"/>
      <c r="F162" s="2342"/>
      <c r="G162" s="717"/>
      <c r="H162" s="334"/>
      <c r="I162" s="334"/>
      <c r="J162" s="696"/>
      <c r="K162" s="716"/>
      <c r="L162" s="334"/>
      <c r="M162" s="696"/>
      <c r="N162" s="716"/>
      <c r="O162" s="334"/>
      <c r="P162" s="115"/>
      <c r="Q162" s="533" t="s">
        <v>56</v>
      </c>
      <c r="R162" s="536">
        <v>1</v>
      </c>
      <c r="S162" s="164"/>
      <c r="T162" s="79"/>
      <c r="U162" s="2299"/>
      <c r="W162" s="303"/>
      <c r="X162" s="966"/>
      <c r="Y162" s="966"/>
      <c r="Z162" s="966"/>
    </row>
    <row r="163" spans="1:26" ht="29.25" customHeight="1" x14ac:dyDescent="0.2">
      <c r="A163" s="569"/>
      <c r="B163" s="974"/>
      <c r="C163" s="66"/>
      <c r="D163" s="2331"/>
      <c r="E163" s="2341"/>
      <c r="F163" s="2342"/>
      <c r="G163" s="714"/>
      <c r="H163" s="706"/>
      <c r="I163" s="706"/>
      <c r="J163" s="709"/>
      <c r="K163" s="707"/>
      <c r="L163" s="706"/>
      <c r="M163" s="709"/>
      <c r="N163" s="707"/>
      <c r="O163" s="706"/>
      <c r="P163" s="286"/>
      <c r="Q163" s="2299" t="s">
        <v>102</v>
      </c>
      <c r="R163" s="412"/>
      <c r="S163" s="164">
        <v>50</v>
      </c>
      <c r="T163" s="79">
        <v>100</v>
      </c>
      <c r="U163" s="2315"/>
    </row>
    <row r="164" spans="1:26" ht="17.25" customHeight="1" thickBot="1" x14ac:dyDescent="0.25">
      <c r="A164" s="973"/>
      <c r="B164" s="958"/>
      <c r="C164" s="945"/>
      <c r="D164" s="2306"/>
      <c r="E164" s="2338" t="s">
        <v>54</v>
      </c>
      <c r="F164" s="2339"/>
      <c r="G164" s="2343"/>
      <c r="H164" s="469">
        <f>SUM(H156:H158)</f>
        <v>67.400000000000006</v>
      </c>
      <c r="I164" s="249">
        <f t="shared" ref="I164:O164" si="16">SUM(I156:I158)</f>
        <v>67.400000000000006</v>
      </c>
      <c r="J164" s="612">
        <f t="shared" si="16"/>
        <v>0</v>
      </c>
      <c r="K164" s="469">
        <f t="shared" si="16"/>
        <v>1161.5</v>
      </c>
      <c r="L164" s="249">
        <f>SUM(L156:L158)</f>
        <v>1161.5</v>
      </c>
      <c r="M164" s="612">
        <f t="shared" si="16"/>
        <v>0</v>
      </c>
      <c r="N164" s="469">
        <f t="shared" si="16"/>
        <v>444.4</v>
      </c>
      <c r="O164" s="249">
        <f t="shared" si="16"/>
        <v>444.4</v>
      </c>
      <c r="P164" s="718"/>
      <c r="Q164" s="2300"/>
      <c r="R164" s="446"/>
      <c r="S164" s="318"/>
      <c r="T164" s="156"/>
      <c r="U164" s="2300"/>
      <c r="V164" s="110"/>
      <c r="W164" s="110"/>
      <c r="X164" s="110"/>
      <c r="Y164" s="233"/>
      <c r="Z164" s="2332"/>
    </row>
    <row r="165" spans="1:26" ht="27.75" customHeight="1" x14ac:dyDescent="0.2">
      <c r="A165" s="572" t="s">
        <v>17</v>
      </c>
      <c r="B165" s="957" t="s">
        <v>14</v>
      </c>
      <c r="C165" s="943" t="s">
        <v>21</v>
      </c>
      <c r="D165" s="964" t="s">
        <v>104</v>
      </c>
      <c r="E165" s="319"/>
      <c r="F165" s="319"/>
      <c r="G165" s="317"/>
      <c r="H165" s="153"/>
      <c r="I165" s="257"/>
      <c r="J165" s="92"/>
      <c r="K165" s="153"/>
      <c r="L165" s="257"/>
      <c r="M165" s="106"/>
      <c r="N165" s="92"/>
      <c r="O165" s="257"/>
      <c r="P165" s="106"/>
      <c r="Q165" s="959"/>
      <c r="R165" s="212"/>
      <c r="S165" s="146"/>
      <c r="T165" s="586"/>
      <c r="U165" s="2333"/>
      <c r="W165" s="233"/>
      <c r="X165" s="233"/>
      <c r="Y165" s="233"/>
      <c r="Z165" s="2332"/>
    </row>
    <row r="166" spans="1:26" ht="54" customHeight="1" x14ac:dyDescent="0.2">
      <c r="A166" s="569"/>
      <c r="B166" s="974"/>
      <c r="C166" s="69"/>
      <c r="D166" s="935" t="s">
        <v>282</v>
      </c>
      <c r="E166" s="119"/>
      <c r="F166" s="647">
        <v>2</v>
      </c>
      <c r="G166" s="25" t="s">
        <v>15</v>
      </c>
      <c r="H166" s="339">
        <v>242.7</v>
      </c>
      <c r="I166" s="737">
        <f>242.7</f>
        <v>242.7</v>
      </c>
      <c r="J166" s="735"/>
      <c r="K166" s="339">
        <v>254.1</v>
      </c>
      <c r="L166" s="737">
        <v>254.1</v>
      </c>
      <c r="M166" s="132"/>
      <c r="N166" s="160">
        <v>297.39999999999998</v>
      </c>
      <c r="O166" s="737">
        <v>297.39999999999998</v>
      </c>
      <c r="P166" s="132"/>
      <c r="Q166" s="431" t="s">
        <v>131</v>
      </c>
      <c r="R166" s="502">
        <v>3</v>
      </c>
      <c r="S166" s="138">
        <v>5</v>
      </c>
      <c r="T166" s="57">
        <v>6</v>
      </c>
      <c r="U166" s="2334"/>
    </row>
    <row r="167" spans="1:26" ht="30" customHeight="1" x14ac:dyDescent="0.2">
      <c r="A167" s="569"/>
      <c r="B167" s="974"/>
      <c r="C167" s="207"/>
      <c r="D167" s="935" t="s">
        <v>148</v>
      </c>
      <c r="E167" s="438"/>
      <c r="F167" s="747"/>
      <c r="G167" s="206"/>
      <c r="H167" s="955"/>
      <c r="I167" s="978"/>
      <c r="J167" s="94"/>
      <c r="K167" s="955"/>
      <c r="L167" s="978"/>
      <c r="M167" s="99"/>
      <c r="N167" s="94"/>
      <c r="O167" s="978"/>
      <c r="P167" s="99"/>
      <c r="Q167" s="176" t="s">
        <v>131</v>
      </c>
      <c r="R167" s="70">
        <v>24</v>
      </c>
      <c r="S167" s="140">
        <v>21</v>
      </c>
      <c r="T167" s="41">
        <v>21</v>
      </c>
      <c r="U167" s="2334"/>
    </row>
    <row r="168" spans="1:26" ht="40.5" customHeight="1" x14ac:dyDescent="0.2">
      <c r="A168" s="570"/>
      <c r="B168" s="974"/>
      <c r="C168" s="944"/>
      <c r="D168" s="464" t="s">
        <v>203</v>
      </c>
      <c r="E168" s="316"/>
      <c r="F168" s="316"/>
      <c r="G168" s="937"/>
      <c r="H168" s="955"/>
      <c r="I168" s="978"/>
      <c r="J168" s="94"/>
      <c r="K168" s="955"/>
      <c r="L168" s="978"/>
      <c r="M168" s="99"/>
      <c r="N168" s="94"/>
      <c r="O168" s="978"/>
      <c r="P168" s="99"/>
      <c r="Q168" s="384" t="s">
        <v>247</v>
      </c>
      <c r="R168" s="70"/>
      <c r="S168" s="140">
        <v>262</v>
      </c>
      <c r="T168" s="83"/>
      <c r="U168" s="2334"/>
      <c r="W168" s="233"/>
      <c r="X168" s="233"/>
      <c r="Y168" s="233"/>
      <c r="Z168" s="966"/>
    </row>
    <row r="169" spans="1:26" ht="31.5" customHeight="1" x14ac:dyDescent="0.2">
      <c r="A169" s="570"/>
      <c r="B169" s="974"/>
      <c r="C169" s="944"/>
      <c r="D169" s="403" t="s">
        <v>202</v>
      </c>
      <c r="E169" s="316"/>
      <c r="F169" s="466"/>
      <c r="G169" s="749"/>
      <c r="H169" s="646"/>
      <c r="I169" s="642"/>
      <c r="J169" s="125"/>
      <c r="K169" s="646"/>
      <c r="L169" s="642"/>
      <c r="M169" s="122"/>
      <c r="N169" s="125"/>
      <c r="O169" s="642"/>
      <c r="P169" s="122"/>
      <c r="Q169" s="384" t="s">
        <v>105</v>
      </c>
      <c r="R169" s="78">
        <v>3</v>
      </c>
      <c r="S169" s="982"/>
      <c r="T169" s="83"/>
      <c r="U169" s="2335"/>
      <c r="W169" s="233"/>
      <c r="X169" s="233"/>
      <c r="Y169" s="233"/>
      <c r="Z169" s="966"/>
    </row>
    <row r="170" spans="1:26" ht="54" customHeight="1" x14ac:dyDescent="0.2">
      <c r="A170" s="570"/>
      <c r="B170" s="974"/>
      <c r="C170" s="944"/>
      <c r="D170" s="2336" t="s">
        <v>245</v>
      </c>
      <c r="E170" s="540" t="s">
        <v>239</v>
      </c>
      <c r="F170" s="465">
        <v>6</v>
      </c>
      <c r="G170" s="289" t="s">
        <v>15</v>
      </c>
      <c r="H170" s="327">
        <v>299.3</v>
      </c>
      <c r="I170" s="877">
        <f>299.3-3.7</f>
        <v>295.60000000000002</v>
      </c>
      <c r="J170" s="878">
        <f>+I170-H170</f>
        <v>-3.6999999999999886</v>
      </c>
      <c r="K170" s="327"/>
      <c r="L170" s="676"/>
      <c r="M170" s="286"/>
      <c r="N170" s="173"/>
      <c r="O170" s="676"/>
      <c r="P170" s="286"/>
      <c r="Q170" s="128" t="s">
        <v>246</v>
      </c>
      <c r="R170" s="512">
        <v>2023</v>
      </c>
      <c r="S170" s="138"/>
      <c r="T170" s="43"/>
      <c r="U170" s="2299" t="s">
        <v>302</v>
      </c>
      <c r="W170" s="233"/>
      <c r="X170" s="233"/>
      <c r="Y170" s="233"/>
      <c r="Z170" s="966"/>
    </row>
    <row r="171" spans="1:26" ht="17.25" customHeight="1" thickBot="1" x14ac:dyDescent="0.25">
      <c r="A171" s="973"/>
      <c r="B171" s="958"/>
      <c r="C171" s="637"/>
      <c r="D171" s="2337"/>
      <c r="E171" s="2338" t="s">
        <v>54</v>
      </c>
      <c r="F171" s="2339"/>
      <c r="G171" s="2340"/>
      <c r="H171" s="103">
        <f>SUM(H166:H170)</f>
        <v>542</v>
      </c>
      <c r="I171" s="252">
        <f>SUM(I166:I170)</f>
        <v>538.29999999999995</v>
      </c>
      <c r="J171" s="252">
        <f>SUM(J166:J170)</f>
        <v>-3.6999999999999886</v>
      </c>
      <c r="K171" s="103">
        <f>SUM(K166:K170)</f>
        <v>254.1</v>
      </c>
      <c r="L171" s="252">
        <f>SUM(L166:L170)</f>
        <v>254.1</v>
      </c>
      <c r="M171" s="107"/>
      <c r="N171" s="104">
        <f>SUM(N166:N170)</f>
        <v>297.39999999999998</v>
      </c>
      <c r="O171" s="252">
        <f>SUM(O166:O170)</f>
        <v>297.39999999999998</v>
      </c>
      <c r="P171" s="107"/>
      <c r="Q171" s="954"/>
      <c r="R171" s="494"/>
      <c r="S171" s="318"/>
      <c r="T171" s="156"/>
      <c r="U171" s="2300"/>
    </row>
    <row r="172" spans="1:26" ht="15.75" customHeight="1" thickBot="1" x14ac:dyDescent="0.25">
      <c r="A172" s="576" t="s">
        <v>17</v>
      </c>
      <c r="B172" s="6" t="s">
        <v>14</v>
      </c>
      <c r="C172" s="2281" t="s">
        <v>20</v>
      </c>
      <c r="D172" s="2282"/>
      <c r="E172" s="2282"/>
      <c r="F172" s="2282"/>
      <c r="G172" s="2282"/>
      <c r="H172" s="109">
        <f t="shared" ref="H172:P172" si="17">H164+H155+H139+H171</f>
        <v>5175.8999999999996</v>
      </c>
      <c r="I172" s="254">
        <f t="shared" si="17"/>
        <v>4431.0999999999995</v>
      </c>
      <c r="J172" s="655">
        <f t="shared" si="17"/>
        <v>-744.8</v>
      </c>
      <c r="K172" s="109">
        <f t="shared" si="17"/>
        <v>12957.5</v>
      </c>
      <c r="L172" s="254">
        <f t="shared" si="17"/>
        <v>12957.5</v>
      </c>
      <c r="M172" s="310">
        <f t="shared" si="17"/>
        <v>0</v>
      </c>
      <c r="N172" s="320">
        <f t="shared" si="17"/>
        <v>10650.1</v>
      </c>
      <c r="O172" s="254">
        <f t="shared" si="17"/>
        <v>11312.6</v>
      </c>
      <c r="P172" s="320">
        <f t="shared" si="17"/>
        <v>662.5</v>
      </c>
      <c r="Q172" s="2283"/>
      <c r="R172" s="2284"/>
      <c r="S172" s="2284"/>
      <c r="T172" s="2284"/>
      <c r="U172" s="2285"/>
    </row>
    <row r="173" spans="1:26" ht="17.25" customHeight="1" thickBot="1" x14ac:dyDescent="0.25">
      <c r="A173" s="569" t="s">
        <v>17</v>
      </c>
      <c r="B173" s="2" t="s">
        <v>17</v>
      </c>
      <c r="C173" s="2328" t="s">
        <v>73</v>
      </c>
      <c r="D173" s="2329"/>
      <c r="E173" s="2329"/>
      <c r="F173" s="2329"/>
      <c r="G173" s="2329"/>
      <c r="H173" s="2329"/>
      <c r="I173" s="2329"/>
      <c r="J173" s="2329"/>
      <c r="K173" s="2329"/>
      <c r="L173" s="2329"/>
      <c r="M173" s="2329"/>
      <c r="N173" s="2329"/>
      <c r="O173" s="2329"/>
      <c r="P173" s="2329"/>
      <c r="Q173" s="2329"/>
      <c r="R173" s="2329"/>
      <c r="S173" s="2329"/>
      <c r="T173" s="2329"/>
      <c r="U173" s="2330"/>
    </row>
    <row r="174" spans="1:26" ht="15.75" customHeight="1" x14ac:dyDescent="0.2">
      <c r="A174" s="577" t="s">
        <v>17</v>
      </c>
      <c r="B174" s="86" t="s">
        <v>17</v>
      </c>
      <c r="C174" s="643" t="s">
        <v>14</v>
      </c>
      <c r="D174" s="2305" t="s">
        <v>204</v>
      </c>
      <c r="E174" s="2307"/>
      <c r="F174" s="950">
        <v>2</v>
      </c>
      <c r="G174" s="179" t="s">
        <v>15</v>
      </c>
      <c r="H174" s="180">
        <v>44.1</v>
      </c>
      <c r="I174" s="394">
        <v>44.1</v>
      </c>
      <c r="J174" s="601"/>
      <c r="K174" s="180">
        <v>57.8</v>
      </c>
      <c r="L174" s="394">
        <v>57.8</v>
      </c>
      <c r="M174" s="601"/>
      <c r="N174" s="180"/>
      <c r="O174" s="394"/>
      <c r="P174" s="622"/>
      <c r="Q174" s="336" t="s">
        <v>131</v>
      </c>
      <c r="R174" s="214">
        <v>8</v>
      </c>
      <c r="S174" s="409">
        <v>11</v>
      </c>
      <c r="T174" s="410"/>
      <c r="U174" s="410"/>
    </row>
    <row r="175" spans="1:26" ht="17.25" customHeight="1" thickBot="1" x14ac:dyDescent="0.25">
      <c r="A175" s="578"/>
      <c r="B175" s="15"/>
      <c r="C175" s="945"/>
      <c r="D175" s="2306"/>
      <c r="E175" s="2308"/>
      <c r="F175" s="952"/>
      <c r="G175" s="296" t="s">
        <v>16</v>
      </c>
      <c r="H175" s="103">
        <f t="shared" ref="H175:L175" si="18">H174</f>
        <v>44.1</v>
      </c>
      <c r="I175" s="252">
        <f t="shared" si="18"/>
        <v>44.1</v>
      </c>
      <c r="J175" s="104"/>
      <c r="K175" s="103">
        <f t="shared" si="18"/>
        <v>57.8</v>
      </c>
      <c r="L175" s="252">
        <f t="shared" si="18"/>
        <v>57.8</v>
      </c>
      <c r="M175" s="104"/>
      <c r="N175" s="103">
        <f t="shared" ref="N175:O175" si="19">N174</f>
        <v>0</v>
      </c>
      <c r="O175" s="252">
        <f t="shared" si="19"/>
        <v>0</v>
      </c>
      <c r="P175" s="107"/>
      <c r="Q175" s="457" t="s">
        <v>208</v>
      </c>
      <c r="R175" s="513">
        <v>590</v>
      </c>
      <c r="S175" s="297">
        <v>781</v>
      </c>
      <c r="T175" s="443"/>
      <c r="U175" s="443"/>
    </row>
    <row r="176" spans="1:26" ht="18.75" customHeight="1" x14ac:dyDescent="0.2">
      <c r="A176" s="577" t="s">
        <v>17</v>
      </c>
      <c r="B176" s="86" t="s">
        <v>17</v>
      </c>
      <c r="C176" s="643" t="s">
        <v>17</v>
      </c>
      <c r="D176" s="2305" t="s">
        <v>248</v>
      </c>
      <c r="E176" s="2307"/>
      <c r="F176" s="950">
        <v>2</v>
      </c>
      <c r="G176" s="31" t="s">
        <v>15</v>
      </c>
      <c r="H176" s="155">
        <v>65</v>
      </c>
      <c r="I176" s="263">
        <v>65</v>
      </c>
      <c r="J176" s="145"/>
      <c r="K176" s="155"/>
      <c r="L176" s="263"/>
      <c r="M176" s="145"/>
      <c r="N176" s="155"/>
      <c r="O176" s="263"/>
      <c r="P176" s="432"/>
      <c r="Q176" s="128" t="s">
        <v>209</v>
      </c>
      <c r="R176" s="212">
        <v>1</v>
      </c>
      <c r="S176" s="146"/>
      <c r="T176" s="586"/>
      <c r="U176" s="586"/>
    </row>
    <row r="177" spans="1:22" ht="17.25" customHeight="1" thickBot="1" x14ac:dyDescent="0.25">
      <c r="A177" s="578"/>
      <c r="B177" s="15"/>
      <c r="C177" s="945"/>
      <c r="D177" s="2306"/>
      <c r="E177" s="2308"/>
      <c r="F177" s="952"/>
      <c r="G177" s="23" t="s">
        <v>16</v>
      </c>
      <c r="H177" s="103">
        <f t="shared" ref="H177:I177" si="20">H176</f>
        <v>65</v>
      </c>
      <c r="I177" s="252">
        <f t="shared" si="20"/>
        <v>65</v>
      </c>
      <c r="J177" s="104"/>
      <c r="K177" s="103"/>
      <c r="L177" s="252"/>
      <c r="M177" s="104"/>
      <c r="N177" s="103"/>
      <c r="O177" s="252"/>
      <c r="P177" s="107"/>
      <c r="Q177" s="177"/>
      <c r="R177" s="514"/>
      <c r="S177" s="147"/>
      <c r="T177" s="587"/>
      <c r="U177" s="587"/>
    </row>
    <row r="178" spans="1:22" ht="16.5" customHeight="1" x14ac:dyDescent="0.2">
      <c r="A178" s="572" t="s">
        <v>17</v>
      </c>
      <c r="B178" s="957" t="s">
        <v>17</v>
      </c>
      <c r="C178" s="68" t="s">
        <v>19</v>
      </c>
      <c r="D178" s="192" t="s">
        <v>91</v>
      </c>
      <c r="E178" s="969"/>
      <c r="F178" s="950">
        <v>2</v>
      </c>
      <c r="G178" s="31" t="s">
        <v>15</v>
      </c>
      <c r="H178" s="328">
        <v>232.2</v>
      </c>
      <c r="I178" s="329">
        <v>232.2</v>
      </c>
      <c r="J178" s="349"/>
      <c r="K178" s="328">
        <v>174.2</v>
      </c>
      <c r="L178" s="329">
        <v>174.2</v>
      </c>
      <c r="M178" s="349"/>
      <c r="N178" s="328">
        <v>191.3</v>
      </c>
      <c r="O178" s="329">
        <v>191.3</v>
      </c>
      <c r="P178" s="623"/>
      <c r="Q178" s="537"/>
      <c r="R178" s="185"/>
      <c r="S178" s="148"/>
      <c r="T178" s="117"/>
      <c r="U178" s="117"/>
    </row>
    <row r="179" spans="1:22" ht="32.25" customHeight="1" x14ac:dyDescent="0.2">
      <c r="A179" s="570"/>
      <c r="B179" s="974"/>
      <c r="C179" s="9"/>
      <c r="D179" s="939" t="s">
        <v>205</v>
      </c>
      <c r="E179" s="402"/>
      <c r="F179" s="747"/>
      <c r="G179" s="20"/>
      <c r="H179" s="955"/>
      <c r="I179" s="978"/>
      <c r="J179" s="94"/>
      <c r="K179" s="955"/>
      <c r="L179" s="978"/>
      <c r="M179" s="94"/>
      <c r="N179" s="955"/>
      <c r="O179" s="978"/>
      <c r="P179" s="99"/>
      <c r="Q179" s="533" t="s">
        <v>160</v>
      </c>
      <c r="R179" s="71">
        <v>362</v>
      </c>
      <c r="S179" s="590"/>
      <c r="T179" s="592"/>
      <c r="U179" s="592"/>
    </row>
    <row r="180" spans="1:22" ht="30.75" customHeight="1" x14ac:dyDescent="0.2">
      <c r="A180" s="570"/>
      <c r="B180" s="974"/>
      <c r="C180" s="69"/>
      <c r="D180" s="199" t="s">
        <v>206</v>
      </c>
      <c r="E180" s="402"/>
      <c r="F180" s="747"/>
      <c r="G180" s="20"/>
      <c r="H180" s="955"/>
      <c r="I180" s="978"/>
      <c r="J180" s="94"/>
      <c r="K180" s="955"/>
      <c r="L180" s="978"/>
      <c r="M180" s="94"/>
      <c r="N180" s="955"/>
      <c r="O180" s="978"/>
      <c r="P180" s="99"/>
      <c r="Q180" s="534" t="s">
        <v>155</v>
      </c>
      <c r="R180" s="70">
        <v>25</v>
      </c>
      <c r="S180" s="140"/>
      <c r="T180" s="41"/>
      <c r="U180" s="41"/>
      <c r="V180" s="80"/>
    </row>
    <row r="181" spans="1:22" ht="18" customHeight="1" x14ac:dyDescent="0.2">
      <c r="A181" s="570"/>
      <c r="B181" s="974"/>
      <c r="C181" s="9"/>
      <c r="D181" s="2331" t="s">
        <v>97</v>
      </c>
      <c r="E181" s="402"/>
      <c r="F181" s="747"/>
      <c r="G181" s="206"/>
      <c r="H181" s="181"/>
      <c r="I181" s="261"/>
      <c r="J181" s="325"/>
      <c r="K181" s="181"/>
      <c r="L181" s="261"/>
      <c r="M181" s="325"/>
      <c r="N181" s="181"/>
      <c r="O181" s="261"/>
      <c r="P181" s="325"/>
      <c r="Q181" s="333" t="s">
        <v>131</v>
      </c>
      <c r="R181" s="35">
        <v>20</v>
      </c>
      <c r="S181" s="591">
        <v>26</v>
      </c>
      <c r="T181" s="593">
        <v>5</v>
      </c>
      <c r="U181" s="593"/>
      <c r="V181" s="80"/>
    </row>
    <row r="182" spans="1:22" ht="18" customHeight="1" x14ac:dyDescent="0.2">
      <c r="A182" s="570"/>
      <c r="B182" s="974"/>
      <c r="C182" s="9"/>
      <c r="D182" s="2318"/>
      <c r="E182" s="402"/>
      <c r="F182" s="747"/>
      <c r="G182" s="206"/>
      <c r="H182" s="181"/>
      <c r="I182" s="261"/>
      <c r="J182" s="325"/>
      <c r="K182" s="181"/>
      <c r="L182" s="261"/>
      <c r="M182" s="325"/>
      <c r="N182" s="181"/>
      <c r="O182" s="261"/>
      <c r="P182" s="175"/>
      <c r="Q182" s="533" t="s">
        <v>70</v>
      </c>
      <c r="R182" s="71">
        <v>20</v>
      </c>
      <c r="S182" s="590">
        <v>32</v>
      </c>
      <c r="T182" s="592">
        <v>5</v>
      </c>
      <c r="U182" s="592"/>
      <c r="V182" s="80"/>
    </row>
    <row r="183" spans="1:22" ht="17.25" customHeight="1" x14ac:dyDescent="0.2">
      <c r="A183" s="570"/>
      <c r="B183" s="974"/>
      <c r="C183" s="9"/>
      <c r="D183" s="940" t="s">
        <v>207</v>
      </c>
      <c r="E183" s="402"/>
      <c r="F183" s="747"/>
      <c r="G183" s="206"/>
      <c r="H183" s="955"/>
      <c r="I183" s="978"/>
      <c r="J183" s="94"/>
      <c r="K183" s="955"/>
      <c r="L183" s="978"/>
      <c r="M183" s="94"/>
      <c r="N183" s="955"/>
      <c r="O183" s="978"/>
      <c r="P183" s="99"/>
      <c r="Q183" s="534" t="s">
        <v>154</v>
      </c>
      <c r="R183" s="399">
        <v>39</v>
      </c>
      <c r="S183" s="228"/>
      <c r="T183" s="27"/>
      <c r="U183" s="27"/>
    </row>
    <row r="184" spans="1:22" ht="31.5" customHeight="1" x14ac:dyDescent="0.2">
      <c r="A184" s="570"/>
      <c r="B184" s="974"/>
      <c r="C184" s="9"/>
      <c r="D184" s="940" t="s">
        <v>258</v>
      </c>
      <c r="E184" s="402"/>
      <c r="F184" s="747"/>
      <c r="G184" s="206"/>
      <c r="H184" s="955"/>
      <c r="I184" s="978"/>
      <c r="J184" s="94"/>
      <c r="K184" s="955"/>
      <c r="L184" s="978"/>
      <c r="M184" s="94"/>
      <c r="N184" s="955"/>
      <c r="O184" s="978"/>
      <c r="P184" s="99"/>
      <c r="Q184" s="338" t="s">
        <v>210</v>
      </c>
      <c r="R184" s="337">
        <v>5</v>
      </c>
      <c r="S184" s="120"/>
      <c r="T184" s="983"/>
      <c r="U184" s="983"/>
    </row>
    <row r="185" spans="1:22" ht="30.75" customHeight="1" x14ac:dyDescent="0.2">
      <c r="A185" s="570"/>
      <c r="B185" s="974"/>
      <c r="C185" s="9"/>
      <c r="D185" s="168" t="s">
        <v>156</v>
      </c>
      <c r="E185" s="402"/>
      <c r="F185" s="747"/>
      <c r="G185" s="206"/>
      <c r="H185" s="955"/>
      <c r="I185" s="978"/>
      <c r="J185" s="94"/>
      <c r="K185" s="955"/>
      <c r="L185" s="978"/>
      <c r="M185" s="94"/>
      <c r="N185" s="955"/>
      <c r="O185" s="978"/>
      <c r="P185" s="94"/>
      <c r="Q185" s="534" t="s">
        <v>249</v>
      </c>
      <c r="R185" s="70">
        <v>55</v>
      </c>
      <c r="S185" s="140">
        <v>55</v>
      </c>
      <c r="T185" s="41">
        <v>50</v>
      </c>
      <c r="U185" s="41"/>
    </row>
    <row r="186" spans="1:22" ht="30.75" customHeight="1" x14ac:dyDescent="0.2">
      <c r="A186" s="570"/>
      <c r="B186" s="974"/>
      <c r="C186" s="9"/>
      <c r="D186" s="654"/>
      <c r="E186" s="402"/>
      <c r="F186" s="747"/>
      <c r="G186" s="206"/>
      <c r="H186" s="955"/>
      <c r="I186" s="978"/>
      <c r="J186" s="94"/>
      <c r="K186" s="955"/>
      <c r="L186" s="978"/>
      <c r="M186" s="94"/>
      <c r="N186" s="955"/>
      <c r="O186" s="978"/>
      <c r="P186" s="94"/>
      <c r="Q186" s="534" t="s">
        <v>158</v>
      </c>
      <c r="R186" s="35">
        <v>100</v>
      </c>
      <c r="S186" s="591"/>
      <c r="T186" s="593"/>
      <c r="U186" s="593"/>
    </row>
    <row r="187" spans="1:22" ht="17.25" customHeight="1" x14ac:dyDescent="0.2">
      <c r="A187" s="570"/>
      <c r="B187" s="974"/>
      <c r="C187" s="9"/>
      <c r="D187" s="428"/>
      <c r="E187" s="402"/>
      <c r="F187" s="747"/>
      <c r="G187" s="206"/>
      <c r="H187" s="955"/>
      <c r="I187" s="978"/>
      <c r="J187" s="94"/>
      <c r="K187" s="955"/>
      <c r="L187" s="978"/>
      <c r="M187" s="94"/>
      <c r="N187" s="955"/>
      <c r="O187" s="978"/>
      <c r="P187" s="99"/>
      <c r="Q187" s="338" t="s">
        <v>142</v>
      </c>
      <c r="R187" s="35">
        <v>13</v>
      </c>
      <c r="S187" s="591">
        <v>11</v>
      </c>
      <c r="T187" s="593">
        <v>10</v>
      </c>
      <c r="U187" s="593"/>
    </row>
    <row r="188" spans="1:22" ht="21" customHeight="1" x14ac:dyDescent="0.2">
      <c r="A188" s="570"/>
      <c r="B188" s="974"/>
      <c r="C188" s="9"/>
      <c r="D188" s="2317" t="s">
        <v>169</v>
      </c>
      <c r="E188" s="402"/>
      <c r="F188" s="747"/>
      <c r="G188" s="206"/>
      <c r="H188" s="955"/>
      <c r="I188" s="978"/>
      <c r="J188" s="94"/>
      <c r="K188" s="955"/>
      <c r="L188" s="978"/>
      <c r="M188" s="94"/>
      <c r="N188" s="955"/>
      <c r="O188" s="978"/>
      <c r="P188" s="94"/>
      <c r="Q188" s="338" t="s">
        <v>159</v>
      </c>
      <c r="R188" s="337">
        <v>19</v>
      </c>
      <c r="S188" s="590"/>
      <c r="T188" s="592"/>
      <c r="U188" s="592"/>
    </row>
    <row r="189" spans="1:22" ht="21" customHeight="1" x14ac:dyDescent="0.2">
      <c r="A189" s="570"/>
      <c r="B189" s="974"/>
      <c r="C189" s="9"/>
      <c r="D189" s="2318"/>
      <c r="E189" s="402"/>
      <c r="F189" s="747"/>
      <c r="G189" s="206"/>
      <c r="H189" s="955"/>
      <c r="I189" s="978"/>
      <c r="J189" s="94"/>
      <c r="K189" s="955"/>
      <c r="L189" s="978"/>
      <c r="M189" s="94"/>
      <c r="N189" s="955"/>
      <c r="O189" s="978"/>
      <c r="P189" s="99"/>
      <c r="Q189" s="338" t="s">
        <v>142</v>
      </c>
      <c r="R189" s="337">
        <v>8</v>
      </c>
      <c r="S189" s="140"/>
      <c r="T189" s="41"/>
      <c r="U189" s="41"/>
    </row>
    <row r="190" spans="1:22" ht="26.25" customHeight="1" x14ac:dyDescent="0.2">
      <c r="A190" s="570"/>
      <c r="B190" s="974"/>
      <c r="C190" s="9"/>
      <c r="D190" s="2317" t="s">
        <v>157</v>
      </c>
      <c r="E190" s="975"/>
      <c r="F190" s="951"/>
      <c r="G190" s="34"/>
      <c r="H190" s="646"/>
      <c r="I190" s="642"/>
      <c r="J190" s="125"/>
      <c r="K190" s="646"/>
      <c r="L190" s="642"/>
      <c r="M190" s="125"/>
      <c r="N190" s="646"/>
      <c r="O190" s="642"/>
      <c r="P190" s="125"/>
      <c r="Q190" s="967" t="s">
        <v>131</v>
      </c>
      <c r="R190" s="484">
        <v>12</v>
      </c>
      <c r="S190" s="590">
        <v>8</v>
      </c>
      <c r="T190" s="592">
        <v>20</v>
      </c>
      <c r="U190" s="592"/>
    </row>
    <row r="191" spans="1:22" ht="17.25" customHeight="1" thickBot="1" x14ac:dyDescent="0.25">
      <c r="A191" s="575"/>
      <c r="B191" s="958"/>
      <c r="C191" s="8"/>
      <c r="D191" s="2306"/>
      <c r="E191" s="970"/>
      <c r="F191" s="952"/>
      <c r="G191" s="32" t="s">
        <v>16</v>
      </c>
      <c r="H191" s="103">
        <f>SUM(H178:H190)</f>
        <v>232.2</v>
      </c>
      <c r="I191" s="252">
        <f>SUM(I178:I190)</f>
        <v>232.2</v>
      </c>
      <c r="J191" s="104"/>
      <c r="K191" s="103">
        <f>SUM(K178:K190)</f>
        <v>174.2</v>
      </c>
      <c r="L191" s="252">
        <f>SUM(L178:L190)</f>
        <v>174.2</v>
      </c>
      <c r="M191" s="104"/>
      <c r="N191" s="103">
        <f>SUM(N178:N190)</f>
        <v>191.3</v>
      </c>
      <c r="O191" s="252">
        <f>SUM(O178:O190)</f>
        <v>191.3</v>
      </c>
      <c r="P191" s="104"/>
      <c r="Q191" s="538"/>
      <c r="R191" s="494"/>
      <c r="S191" s="318"/>
      <c r="T191" s="156"/>
      <c r="U191" s="156"/>
    </row>
    <row r="192" spans="1:22" ht="18" customHeight="1" thickBot="1" x14ac:dyDescent="0.25">
      <c r="A192" s="973" t="s">
        <v>17</v>
      </c>
      <c r="B192" s="958" t="s">
        <v>17</v>
      </c>
      <c r="C192" s="2321" t="s">
        <v>20</v>
      </c>
      <c r="D192" s="2322"/>
      <c r="E192" s="2322"/>
      <c r="F192" s="2322"/>
      <c r="G192" s="2322"/>
      <c r="H192" s="262">
        <f>H191+H177+H175</f>
        <v>341.3</v>
      </c>
      <c r="I192" s="264">
        <f>I191+I177+I175</f>
        <v>341.3</v>
      </c>
      <c r="J192" s="321"/>
      <c r="K192" s="109">
        <f>K191+K177+K175</f>
        <v>232</v>
      </c>
      <c r="L192" s="254">
        <f>L191+L177+L175</f>
        <v>232</v>
      </c>
      <c r="M192" s="321"/>
      <c r="N192" s="262">
        <f>N191+N177+N175</f>
        <v>191.3</v>
      </c>
      <c r="O192" s="264">
        <f>O191+O177+O175</f>
        <v>191.3</v>
      </c>
      <c r="P192" s="344"/>
      <c r="Q192" s="2283"/>
      <c r="R192" s="2284"/>
      <c r="S192" s="2284"/>
      <c r="T192" s="2284"/>
      <c r="U192" s="2285"/>
    </row>
    <row r="193" spans="1:24" ht="17.25" customHeight="1" thickBot="1" x14ac:dyDescent="0.25">
      <c r="A193" s="561" t="s">
        <v>17</v>
      </c>
      <c r="B193" s="11" t="s">
        <v>19</v>
      </c>
      <c r="C193" s="2323" t="s">
        <v>34</v>
      </c>
      <c r="D193" s="2323"/>
      <c r="E193" s="2323"/>
      <c r="F193" s="2323"/>
      <c r="G193" s="2323"/>
      <c r="H193" s="2323"/>
      <c r="I193" s="2323"/>
      <c r="J193" s="2323"/>
      <c r="K193" s="2323"/>
      <c r="L193" s="2323"/>
      <c r="M193" s="2323"/>
      <c r="N193" s="2323"/>
      <c r="O193" s="2323"/>
      <c r="P193" s="2323"/>
      <c r="Q193" s="2323"/>
      <c r="R193" s="2323"/>
      <c r="S193" s="2323"/>
      <c r="T193" s="2323"/>
      <c r="U193" s="2324"/>
    </row>
    <row r="194" spans="1:24" ht="15.75" customHeight="1" x14ac:dyDescent="0.2">
      <c r="A194" s="572" t="s">
        <v>17</v>
      </c>
      <c r="B194" s="957" t="s">
        <v>19</v>
      </c>
      <c r="C194" s="943" t="s">
        <v>14</v>
      </c>
      <c r="D194" s="2325" t="s">
        <v>35</v>
      </c>
      <c r="E194" s="969"/>
      <c r="F194" s="47">
        <v>6</v>
      </c>
      <c r="G194" s="33" t="s">
        <v>15</v>
      </c>
      <c r="H194" s="870">
        <f>2241.5+53.6</f>
        <v>2295.1</v>
      </c>
      <c r="I194" s="666">
        <f>2241.5+53.6-41+63.7</f>
        <v>2317.7999999999997</v>
      </c>
      <c r="J194" s="847">
        <f>+I194-H194</f>
        <v>22.699999999999818</v>
      </c>
      <c r="K194" s="330">
        <v>2953.2</v>
      </c>
      <c r="L194" s="304">
        <v>2953.2</v>
      </c>
      <c r="M194" s="151"/>
      <c r="N194" s="330">
        <v>2843.2</v>
      </c>
      <c r="O194" s="304">
        <v>2843.2</v>
      </c>
      <c r="P194" s="151"/>
      <c r="Q194" s="48"/>
      <c r="R194" s="48"/>
      <c r="S194" s="146"/>
      <c r="T194" s="586"/>
      <c r="U194" s="874"/>
    </row>
    <row r="195" spans="1:24" ht="15.75" customHeight="1" x14ac:dyDescent="0.2">
      <c r="A195" s="570"/>
      <c r="B195" s="974"/>
      <c r="C195" s="944"/>
      <c r="D195" s="2326"/>
      <c r="E195" s="975"/>
      <c r="F195" s="942"/>
      <c r="G195" s="182" t="s">
        <v>110</v>
      </c>
      <c r="H195" s="871">
        <v>35.700000000000003</v>
      </c>
      <c r="I195" s="305">
        <v>35.700000000000003</v>
      </c>
      <c r="J195" s="277"/>
      <c r="K195" s="331"/>
      <c r="L195" s="305"/>
      <c r="M195" s="277"/>
      <c r="N195" s="331"/>
      <c r="O195" s="305"/>
      <c r="P195" s="277"/>
      <c r="Q195" s="72"/>
      <c r="R195" s="72"/>
      <c r="S195" s="121"/>
      <c r="T195" s="82"/>
      <c r="U195" s="671"/>
    </row>
    <row r="196" spans="1:24" s="44" customFormat="1" ht="15.75" customHeight="1" x14ac:dyDescent="0.2">
      <c r="A196" s="570"/>
      <c r="B196" s="974"/>
      <c r="C196" s="944"/>
      <c r="D196" s="2327"/>
      <c r="E196" s="975"/>
      <c r="F196" s="942"/>
      <c r="G196" s="71" t="s">
        <v>18</v>
      </c>
      <c r="H196" s="292">
        <v>7.4</v>
      </c>
      <c r="I196" s="251">
        <v>7.4</v>
      </c>
      <c r="J196" s="98"/>
      <c r="K196" s="675">
        <v>7.4</v>
      </c>
      <c r="L196" s="677">
        <v>7.4</v>
      </c>
      <c r="M196" s="115"/>
      <c r="N196" s="675">
        <v>7.4</v>
      </c>
      <c r="O196" s="677">
        <f>+I196</f>
        <v>7.4</v>
      </c>
      <c r="P196" s="115"/>
      <c r="Q196" s="72"/>
      <c r="R196" s="72"/>
      <c r="S196" s="121"/>
      <c r="T196" s="82"/>
      <c r="U196" s="671"/>
    </row>
    <row r="197" spans="1:24" ht="93" customHeight="1" x14ac:dyDescent="0.2">
      <c r="A197" s="570"/>
      <c r="B197" s="974"/>
      <c r="C197" s="746"/>
      <c r="D197" s="880" t="s">
        <v>266</v>
      </c>
      <c r="E197" s="975"/>
      <c r="F197" s="942"/>
      <c r="G197" s="34"/>
      <c r="H197" s="738"/>
      <c r="I197" s="978"/>
      <c r="J197" s="99"/>
      <c r="K197" s="955"/>
      <c r="L197" s="978"/>
      <c r="M197" s="99"/>
      <c r="N197" s="955"/>
      <c r="O197" s="978"/>
      <c r="P197" s="99"/>
      <c r="Q197" s="176" t="s">
        <v>211</v>
      </c>
      <c r="R197" s="879" t="s">
        <v>279</v>
      </c>
      <c r="S197" s="140">
        <v>17</v>
      </c>
      <c r="T197" s="41">
        <v>17</v>
      </c>
      <c r="U197" s="2277" t="s">
        <v>303</v>
      </c>
    </row>
    <row r="198" spans="1:24" s="44" customFormat="1" ht="30.75" customHeight="1" x14ac:dyDescent="0.2">
      <c r="A198" s="570"/>
      <c r="B198" s="974"/>
      <c r="C198" s="746"/>
      <c r="D198" s="632" t="s">
        <v>95</v>
      </c>
      <c r="E198" s="975"/>
      <c r="F198" s="942"/>
      <c r="G198" s="34"/>
      <c r="H198" s="105"/>
      <c r="I198" s="248"/>
      <c r="J198" s="95"/>
      <c r="K198" s="955"/>
      <c r="L198" s="978"/>
      <c r="M198" s="99"/>
      <c r="N198" s="955"/>
      <c r="O198" s="978"/>
      <c r="P198" s="99"/>
      <c r="Q198" s="956" t="s">
        <v>131</v>
      </c>
      <c r="R198" s="638">
        <v>93</v>
      </c>
      <c r="S198" s="427">
        <v>93</v>
      </c>
      <c r="T198" s="28">
        <v>93</v>
      </c>
      <c r="U198" s="2277"/>
    </row>
    <row r="199" spans="1:24" ht="28.5" customHeight="1" x14ac:dyDescent="0.2">
      <c r="A199" s="570"/>
      <c r="B199" s="974"/>
      <c r="C199" s="944"/>
      <c r="D199" s="49" t="s">
        <v>40</v>
      </c>
      <c r="E199" s="975"/>
      <c r="F199" s="942"/>
      <c r="G199" s="34"/>
      <c r="H199" s="105"/>
      <c r="I199" s="248"/>
      <c r="J199" s="95"/>
      <c r="K199" s="105"/>
      <c r="L199" s="248"/>
      <c r="M199" s="95"/>
      <c r="N199" s="105"/>
      <c r="O199" s="248"/>
      <c r="P199" s="95"/>
      <c r="Q199" s="956" t="s">
        <v>212</v>
      </c>
      <c r="R199" s="237">
        <v>30</v>
      </c>
      <c r="S199" s="427">
        <v>30</v>
      </c>
      <c r="T199" s="28">
        <v>30</v>
      </c>
      <c r="U199" s="2277"/>
    </row>
    <row r="200" spans="1:24" ht="29.25" customHeight="1" x14ac:dyDescent="0.2">
      <c r="A200" s="570"/>
      <c r="B200" s="974"/>
      <c r="C200" s="746"/>
      <c r="D200" s="73" t="s">
        <v>42</v>
      </c>
      <c r="E200" s="975"/>
      <c r="F200" s="942"/>
      <c r="G200" s="34"/>
      <c r="H200" s="105"/>
      <c r="I200" s="248"/>
      <c r="J200" s="95"/>
      <c r="K200" s="105"/>
      <c r="L200" s="248"/>
      <c r="M200" s="95"/>
      <c r="N200" s="105"/>
      <c r="O200" s="248"/>
      <c r="P200" s="95"/>
      <c r="Q200" s="176" t="s">
        <v>213</v>
      </c>
      <c r="R200" s="518">
        <v>3</v>
      </c>
      <c r="S200" s="241">
        <f>+R200</f>
        <v>3</v>
      </c>
      <c r="T200" s="183">
        <v>3</v>
      </c>
      <c r="U200" s="2277"/>
    </row>
    <row r="201" spans="1:24" ht="18" customHeight="1" x14ac:dyDescent="0.2">
      <c r="A201" s="570"/>
      <c r="B201" s="974"/>
      <c r="C201" s="746"/>
      <c r="D201" s="632" t="s">
        <v>39</v>
      </c>
      <c r="E201" s="975"/>
      <c r="F201" s="942"/>
      <c r="G201" s="34"/>
      <c r="H201" s="105"/>
      <c r="I201" s="248"/>
      <c r="J201" s="95"/>
      <c r="K201" s="955"/>
      <c r="L201" s="978"/>
      <c r="M201" s="99"/>
      <c r="N201" s="955"/>
      <c r="O201" s="978"/>
      <c r="P201" s="99"/>
      <c r="Q201" s="956" t="s">
        <v>43</v>
      </c>
      <c r="R201" s="35">
        <v>33</v>
      </c>
      <c r="S201" s="427">
        <f t="shared" ref="S201:S202" si="21">+R201</f>
        <v>33</v>
      </c>
      <c r="T201" s="28">
        <v>33</v>
      </c>
      <c r="U201" s="2277"/>
      <c r="V201" s="44"/>
      <c r="X201" s="75"/>
    </row>
    <row r="202" spans="1:24" ht="30.75" customHeight="1" x14ac:dyDescent="0.2">
      <c r="A202" s="570"/>
      <c r="B202" s="974"/>
      <c r="C202" s="944"/>
      <c r="D202" s="242" t="s">
        <v>127</v>
      </c>
      <c r="E202" s="975"/>
      <c r="F202" s="942"/>
      <c r="G202" s="34"/>
      <c r="H202" s="105"/>
      <c r="I202" s="248"/>
      <c r="J202" s="95"/>
      <c r="K202" s="955"/>
      <c r="L202" s="978"/>
      <c r="M202" s="99"/>
      <c r="N202" s="955"/>
      <c r="O202" s="978"/>
      <c r="P202" s="99"/>
      <c r="Q202" s="953" t="s">
        <v>214</v>
      </c>
      <c r="R202" s="70">
        <v>7</v>
      </c>
      <c r="S202" s="241">
        <f t="shared" si="21"/>
        <v>7</v>
      </c>
      <c r="T202" s="183">
        <v>7</v>
      </c>
      <c r="U202" s="2277"/>
      <c r="V202" s="44"/>
      <c r="X202" s="75"/>
    </row>
    <row r="203" spans="1:24" ht="14.25" customHeight="1" x14ac:dyDescent="0.2">
      <c r="A203" s="570"/>
      <c r="B203" s="974"/>
      <c r="C203" s="944"/>
      <c r="D203" s="977" t="s">
        <v>41</v>
      </c>
      <c r="E203" s="975"/>
      <c r="F203" s="942"/>
      <c r="G203" s="34"/>
      <c r="H203" s="105"/>
      <c r="I203" s="248"/>
      <c r="J203" s="95"/>
      <c r="K203" s="955"/>
      <c r="L203" s="978"/>
      <c r="M203" s="99"/>
      <c r="N203" s="955"/>
      <c r="O203" s="978"/>
      <c r="P203" s="99"/>
      <c r="Q203" s="2313" t="s">
        <v>215</v>
      </c>
      <c r="R203" s="21">
        <v>101</v>
      </c>
      <c r="S203" s="590">
        <f>+R203</f>
        <v>101</v>
      </c>
      <c r="T203" s="592">
        <v>101</v>
      </c>
      <c r="U203" s="2277"/>
      <c r="V203" s="44"/>
      <c r="X203" s="75"/>
    </row>
    <row r="204" spans="1:24" ht="14.25" customHeight="1" x14ac:dyDescent="0.2">
      <c r="A204" s="570"/>
      <c r="B204" s="974"/>
      <c r="C204" s="944"/>
      <c r="D204" s="588"/>
      <c r="E204" s="975"/>
      <c r="F204" s="942"/>
      <c r="G204" s="21"/>
      <c r="H204" s="105"/>
      <c r="I204" s="248"/>
      <c r="J204" s="95"/>
      <c r="K204" s="955"/>
      <c r="L204" s="978"/>
      <c r="M204" s="99"/>
      <c r="N204" s="955"/>
      <c r="O204" s="978"/>
      <c r="P204" s="99"/>
      <c r="Q204" s="2314"/>
      <c r="R204" s="21"/>
      <c r="S204" s="590"/>
      <c r="T204" s="592"/>
      <c r="U204" s="2274"/>
      <c r="V204" s="44"/>
      <c r="X204" s="75"/>
    </row>
    <row r="205" spans="1:24" ht="31.5" customHeight="1" x14ac:dyDescent="0.2">
      <c r="A205" s="570"/>
      <c r="B205" s="974"/>
      <c r="C205" s="746"/>
      <c r="D205" s="875" t="s">
        <v>50</v>
      </c>
      <c r="E205" s="50"/>
      <c r="F205" s="114"/>
      <c r="G205" s="21"/>
      <c r="H205" s="105"/>
      <c r="I205" s="248"/>
      <c r="J205" s="95"/>
      <c r="K205" s="955"/>
      <c r="L205" s="978"/>
      <c r="M205" s="99"/>
      <c r="N205" s="955"/>
      <c r="O205" s="978"/>
      <c r="P205" s="99"/>
      <c r="Q205" s="384" t="s">
        <v>131</v>
      </c>
      <c r="R205" s="876" t="s">
        <v>278</v>
      </c>
      <c r="S205" s="140">
        <v>16</v>
      </c>
      <c r="T205" s="41">
        <v>16</v>
      </c>
      <c r="U205" s="2299" t="s">
        <v>304</v>
      </c>
      <c r="V205" s="65"/>
      <c r="X205" s="75"/>
    </row>
    <row r="206" spans="1:24" ht="54.75" customHeight="1" x14ac:dyDescent="0.2">
      <c r="A206" s="570"/>
      <c r="B206" s="974"/>
      <c r="C206" s="746"/>
      <c r="D206" s="199" t="s">
        <v>250</v>
      </c>
      <c r="E206" s="50"/>
      <c r="F206" s="114"/>
      <c r="G206" s="21"/>
      <c r="H206" s="105"/>
      <c r="I206" s="248"/>
      <c r="J206" s="95"/>
      <c r="K206" s="955"/>
      <c r="L206" s="978"/>
      <c r="M206" s="99"/>
      <c r="N206" s="955"/>
      <c r="O206" s="978"/>
      <c r="P206" s="99"/>
      <c r="Q206" s="384" t="s">
        <v>131</v>
      </c>
      <c r="R206" s="517">
        <v>1</v>
      </c>
      <c r="S206" s="241">
        <f t="shared" ref="S206:S207" si="22">+R206</f>
        <v>1</v>
      </c>
      <c r="T206" s="183">
        <v>1</v>
      </c>
      <c r="U206" s="2315"/>
      <c r="V206" s="22"/>
      <c r="X206" s="75"/>
    </row>
    <row r="207" spans="1:24" ht="30.75" customHeight="1" x14ac:dyDescent="0.2">
      <c r="A207" s="570"/>
      <c r="B207" s="974"/>
      <c r="C207" s="746"/>
      <c r="D207" s="940" t="s">
        <v>61</v>
      </c>
      <c r="E207" s="50"/>
      <c r="F207" s="114"/>
      <c r="G207" s="21"/>
      <c r="H207" s="105"/>
      <c r="I207" s="248"/>
      <c r="J207" s="95"/>
      <c r="K207" s="955"/>
      <c r="L207" s="978"/>
      <c r="M207" s="99"/>
      <c r="N207" s="955"/>
      <c r="O207" s="978"/>
      <c r="P207" s="99"/>
      <c r="Q207" s="384" t="s">
        <v>131</v>
      </c>
      <c r="R207" s="35">
        <v>7</v>
      </c>
      <c r="S207" s="591">
        <f t="shared" si="22"/>
        <v>7</v>
      </c>
      <c r="T207" s="593">
        <v>7</v>
      </c>
      <c r="U207" s="2315"/>
    </row>
    <row r="208" spans="1:24" ht="24.75" customHeight="1" x14ac:dyDescent="0.2">
      <c r="A208" s="570"/>
      <c r="B208" s="974"/>
      <c r="C208" s="746"/>
      <c r="D208" s="940" t="s">
        <v>86</v>
      </c>
      <c r="E208" s="50"/>
      <c r="F208" s="114"/>
      <c r="G208" s="21"/>
      <c r="H208" s="105"/>
      <c r="I208" s="248"/>
      <c r="J208" s="95"/>
      <c r="K208" s="955"/>
      <c r="L208" s="978"/>
      <c r="M208" s="99"/>
      <c r="N208" s="955"/>
      <c r="O208" s="978"/>
      <c r="P208" s="99"/>
      <c r="Q208" s="384" t="s">
        <v>131</v>
      </c>
      <c r="R208" s="35">
        <v>10</v>
      </c>
      <c r="S208" s="591">
        <v>10</v>
      </c>
      <c r="T208" s="593">
        <v>10</v>
      </c>
      <c r="U208" s="2316"/>
    </row>
    <row r="209" spans="1:34" ht="65.25" customHeight="1" x14ac:dyDescent="0.2">
      <c r="A209" s="570"/>
      <c r="B209" s="974"/>
      <c r="C209" s="746"/>
      <c r="D209" s="940" t="s">
        <v>251</v>
      </c>
      <c r="E209" s="539" t="s">
        <v>49</v>
      </c>
      <c r="F209" s="942"/>
      <c r="G209" s="34"/>
      <c r="H209" s="955"/>
      <c r="I209" s="978"/>
      <c r="J209" s="99"/>
      <c r="K209" s="955"/>
      <c r="L209" s="978"/>
      <c r="M209" s="99"/>
      <c r="N209" s="955"/>
      <c r="O209" s="978"/>
      <c r="P209" s="99"/>
      <c r="Q209" s="384" t="s">
        <v>131</v>
      </c>
      <c r="R209" s="35"/>
      <c r="S209" s="591">
        <v>5</v>
      </c>
      <c r="T209" s="593"/>
      <c r="U209" s="593"/>
    </row>
    <row r="210" spans="1:34" ht="26.25" customHeight="1" x14ac:dyDescent="0.2">
      <c r="A210" s="570"/>
      <c r="B210" s="974"/>
      <c r="C210" s="944"/>
      <c r="D210" s="2317" t="s">
        <v>252</v>
      </c>
      <c r="E210" s="941"/>
      <c r="F210" s="942"/>
      <c r="G210" s="34"/>
      <c r="H210" s="105"/>
      <c r="I210" s="248"/>
      <c r="J210" s="95"/>
      <c r="K210" s="955"/>
      <c r="L210" s="978"/>
      <c r="M210" s="99"/>
      <c r="N210" s="955"/>
      <c r="O210" s="978"/>
      <c r="P210" s="99"/>
      <c r="Q210" s="963" t="s">
        <v>216</v>
      </c>
      <c r="R210" s="21">
        <v>2</v>
      </c>
      <c r="S210" s="590"/>
      <c r="T210" s="592"/>
      <c r="U210" s="592"/>
    </row>
    <row r="211" spans="1:34" ht="15.75" customHeight="1" x14ac:dyDescent="0.2">
      <c r="A211" s="570"/>
      <c r="B211" s="974"/>
      <c r="C211" s="944"/>
      <c r="D211" s="2318"/>
      <c r="E211" s="941"/>
      <c r="F211" s="942"/>
      <c r="G211" s="34"/>
      <c r="H211" s="105"/>
      <c r="I211" s="248"/>
      <c r="J211" s="95"/>
      <c r="K211" s="955"/>
      <c r="L211" s="978"/>
      <c r="M211" s="99"/>
      <c r="N211" s="955"/>
      <c r="O211" s="978"/>
      <c r="P211" s="99"/>
      <c r="Q211" s="176" t="s">
        <v>131</v>
      </c>
      <c r="R211" s="70"/>
      <c r="S211" s="140">
        <v>1</v>
      </c>
      <c r="T211" s="41">
        <v>1</v>
      </c>
      <c r="U211" s="41"/>
    </row>
    <row r="212" spans="1:34" ht="27.75" customHeight="1" x14ac:dyDescent="0.2">
      <c r="A212" s="570"/>
      <c r="B212" s="974"/>
      <c r="C212" s="944"/>
      <c r="D212" s="2317" t="s">
        <v>253</v>
      </c>
      <c r="E212" s="2319" t="s">
        <v>49</v>
      </c>
      <c r="F212" s="942"/>
      <c r="G212" s="34"/>
      <c r="H212" s="105"/>
      <c r="I212" s="248"/>
      <c r="J212" s="95"/>
      <c r="K212" s="955"/>
      <c r="L212" s="978"/>
      <c r="M212" s="99"/>
      <c r="N212" s="955"/>
      <c r="O212" s="978"/>
      <c r="P212" s="99"/>
      <c r="Q212" s="963" t="s">
        <v>217</v>
      </c>
      <c r="R212" s="70">
        <v>3</v>
      </c>
      <c r="S212" s="140"/>
      <c r="T212" s="41"/>
      <c r="U212" s="41"/>
    </row>
    <row r="213" spans="1:34" ht="27.75" customHeight="1" x14ac:dyDescent="0.2">
      <c r="A213" s="570"/>
      <c r="B213" s="974"/>
      <c r="C213" s="944"/>
      <c r="D213" s="2318"/>
      <c r="E213" s="2320"/>
      <c r="F213" s="942"/>
      <c r="G213" s="34"/>
      <c r="H213" s="105"/>
      <c r="I213" s="248"/>
      <c r="J213" s="95"/>
      <c r="K213" s="955"/>
      <c r="L213" s="978"/>
      <c r="M213" s="99"/>
      <c r="N213" s="955"/>
      <c r="O213" s="978"/>
      <c r="P213" s="99"/>
      <c r="Q213" s="176" t="s">
        <v>233</v>
      </c>
      <c r="R213" s="71">
        <v>3</v>
      </c>
      <c r="S213" s="138"/>
      <c r="T213" s="239"/>
      <c r="U213" s="239"/>
    </row>
    <row r="214" spans="1:34" ht="18" customHeight="1" x14ac:dyDescent="0.2">
      <c r="A214" s="570"/>
      <c r="B214" s="974"/>
      <c r="C214" s="944"/>
      <c r="D214" s="2297" t="s">
        <v>171</v>
      </c>
      <c r="E214" s="430"/>
      <c r="F214" s="747"/>
      <c r="G214" s="206"/>
      <c r="H214" s="955"/>
      <c r="I214" s="978"/>
      <c r="J214" s="99"/>
      <c r="K214" s="955"/>
      <c r="L214" s="978"/>
      <c r="M214" s="99"/>
      <c r="N214" s="955"/>
      <c r="O214" s="978"/>
      <c r="P214" s="99"/>
      <c r="Q214" s="953" t="s">
        <v>131</v>
      </c>
      <c r="R214" s="179">
        <v>33</v>
      </c>
      <c r="S214" s="872">
        <v>33</v>
      </c>
      <c r="T214" s="43">
        <v>33</v>
      </c>
      <c r="U214" s="2299"/>
    </row>
    <row r="215" spans="1:34" ht="16.5" customHeight="1" thickBot="1" x14ac:dyDescent="0.25">
      <c r="A215" s="570"/>
      <c r="B215" s="974"/>
      <c r="C215" s="944"/>
      <c r="D215" s="2298"/>
      <c r="E215" s="970"/>
      <c r="F215" s="150"/>
      <c r="G215" s="36" t="s">
        <v>16</v>
      </c>
      <c r="H215" s="103">
        <f>SUM(H194:H214)</f>
        <v>2338.1999999999998</v>
      </c>
      <c r="I215" s="252">
        <f>SUM(I194:I214)</f>
        <v>2360.8999999999996</v>
      </c>
      <c r="J215" s="308">
        <f>SUM(J194:J214)</f>
        <v>22.699999999999818</v>
      </c>
      <c r="K215" s="103">
        <f>SUM(K194:K214)</f>
        <v>2960.6</v>
      </c>
      <c r="L215" s="252">
        <f>SUM(L194:L214)</f>
        <v>2960.6</v>
      </c>
      <c r="M215" s="107"/>
      <c r="N215" s="103">
        <f>SUM(N194:N214)</f>
        <v>2850.6</v>
      </c>
      <c r="O215" s="252">
        <f>SUM(O194:O214)</f>
        <v>2850.6</v>
      </c>
      <c r="P215" s="107"/>
      <c r="Q215" s="470"/>
      <c r="R215" s="514"/>
      <c r="S215" s="147"/>
      <c r="T215" s="587"/>
      <c r="U215" s="2300"/>
    </row>
    <row r="216" spans="1:34" ht="27.75" customHeight="1" x14ac:dyDescent="0.2">
      <c r="A216" s="2301" t="s">
        <v>17</v>
      </c>
      <c r="B216" s="2303" t="s">
        <v>19</v>
      </c>
      <c r="C216" s="10" t="s">
        <v>17</v>
      </c>
      <c r="D216" s="2305" t="s">
        <v>38</v>
      </c>
      <c r="E216" s="2307"/>
      <c r="F216" s="2309">
        <v>2</v>
      </c>
      <c r="G216" s="185" t="s">
        <v>15</v>
      </c>
      <c r="H216" s="105">
        <v>31.3</v>
      </c>
      <c r="I216" s="248">
        <v>31.3</v>
      </c>
      <c r="J216" s="108"/>
      <c r="K216" s="105">
        <v>32</v>
      </c>
      <c r="L216" s="248">
        <v>32</v>
      </c>
      <c r="M216" s="95"/>
      <c r="N216" s="105">
        <v>32</v>
      </c>
      <c r="O216" s="248">
        <v>32</v>
      </c>
      <c r="P216" s="95"/>
      <c r="Q216" s="2311" t="s">
        <v>218</v>
      </c>
      <c r="R216" s="212">
        <v>300</v>
      </c>
      <c r="S216" s="146">
        <v>300</v>
      </c>
      <c r="T216" s="586">
        <v>300</v>
      </c>
      <c r="U216" s="586"/>
    </row>
    <row r="217" spans="1:34" ht="15.75" customHeight="1" thickBot="1" x14ac:dyDescent="0.25">
      <c r="A217" s="2302"/>
      <c r="B217" s="2304"/>
      <c r="C217" s="196"/>
      <c r="D217" s="2306"/>
      <c r="E217" s="2308"/>
      <c r="F217" s="2310"/>
      <c r="G217" s="36" t="s">
        <v>16</v>
      </c>
      <c r="H217" s="103">
        <f t="shared" ref="H217:K217" si="23">SUM(H216)</f>
        <v>31.3</v>
      </c>
      <c r="I217" s="252">
        <f t="shared" ref="I217" si="24">SUM(I216)</f>
        <v>31.3</v>
      </c>
      <c r="J217" s="104"/>
      <c r="K217" s="103">
        <f t="shared" si="23"/>
        <v>32</v>
      </c>
      <c r="L217" s="252">
        <f t="shared" ref="L217" si="25">SUM(L216)</f>
        <v>32</v>
      </c>
      <c r="M217" s="107"/>
      <c r="N217" s="103">
        <f t="shared" ref="N217:O217" si="26">SUM(N216)</f>
        <v>32</v>
      </c>
      <c r="O217" s="252">
        <f t="shared" si="26"/>
        <v>32</v>
      </c>
      <c r="P217" s="107"/>
      <c r="Q217" s="2312"/>
      <c r="R217" s="514"/>
      <c r="S217" s="147"/>
      <c r="T217" s="587"/>
      <c r="U217" s="587"/>
    </row>
    <row r="218" spans="1:34" ht="39.75" customHeight="1" x14ac:dyDescent="0.2">
      <c r="A218" s="572" t="s">
        <v>17</v>
      </c>
      <c r="B218" s="957" t="s">
        <v>19</v>
      </c>
      <c r="C218" s="68" t="s">
        <v>19</v>
      </c>
      <c r="D218" s="2286" t="s">
        <v>170</v>
      </c>
      <c r="E218" s="743" t="s">
        <v>47</v>
      </c>
      <c r="F218" s="373">
        <v>2</v>
      </c>
      <c r="G218" s="33" t="s">
        <v>15</v>
      </c>
      <c r="H218" s="348">
        <v>26</v>
      </c>
      <c r="I218" s="900">
        <v>0</v>
      </c>
      <c r="J218" s="901">
        <f>+I218-H218</f>
        <v>-26</v>
      </c>
      <c r="K218" s="153">
        <v>15</v>
      </c>
      <c r="L218" s="257">
        <v>15</v>
      </c>
      <c r="M218" s="106"/>
      <c r="N218" s="153"/>
      <c r="O218" s="257"/>
      <c r="P218" s="106"/>
      <c r="Q218" s="336" t="s">
        <v>219</v>
      </c>
      <c r="R218" s="902" t="s">
        <v>288</v>
      </c>
      <c r="S218" s="558">
        <v>1</v>
      </c>
      <c r="T218" s="586"/>
      <c r="U218" s="2289" t="s">
        <v>305</v>
      </c>
    </row>
    <row r="219" spans="1:34" ht="66" customHeight="1" x14ac:dyDescent="0.2">
      <c r="A219" s="570"/>
      <c r="B219" s="974"/>
      <c r="C219" s="69"/>
      <c r="D219" s="2287"/>
      <c r="E219" s="745" t="s">
        <v>239</v>
      </c>
      <c r="F219" s="375"/>
      <c r="G219" s="34"/>
      <c r="H219" s="738"/>
      <c r="I219" s="978"/>
      <c r="J219" s="99"/>
      <c r="K219" s="105"/>
      <c r="L219" s="248"/>
      <c r="M219" s="95"/>
      <c r="N219" s="105"/>
      <c r="O219" s="248"/>
      <c r="P219" s="95"/>
      <c r="Q219" s="127"/>
      <c r="R219" s="520"/>
      <c r="S219" s="648"/>
      <c r="T219" s="82"/>
      <c r="U219" s="2290"/>
    </row>
    <row r="220" spans="1:34" ht="54" customHeight="1" thickBot="1" x14ac:dyDescent="0.25">
      <c r="A220" s="575"/>
      <c r="B220" s="958"/>
      <c r="C220" s="196"/>
      <c r="D220" s="2288"/>
      <c r="E220" s="744"/>
      <c r="F220" s="374"/>
      <c r="G220" s="285" t="s">
        <v>16</v>
      </c>
      <c r="H220" s="845">
        <f t="shared" ref="H220:L220" si="27">+H218</f>
        <v>26</v>
      </c>
      <c r="I220" s="396">
        <f t="shared" si="27"/>
        <v>0</v>
      </c>
      <c r="J220" s="846">
        <f t="shared" si="27"/>
        <v>-26</v>
      </c>
      <c r="K220" s="102">
        <f t="shared" si="27"/>
        <v>15</v>
      </c>
      <c r="L220" s="396">
        <f t="shared" si="27"/>
        <v>15</v>
      </c>
      <c r="M220" s="395"/>
      <c r="N220" s="102"/>
      <c r="O220" s="396"/>
      <c r="P220" s="395"/>
      <c r="Q220" s="177"/>
      <c r="R220" s="514"/>
      <c r="S220" s="147"/>
      <c r="T220" s="587"/>
      <c r="U220" s="2291"/>
    </row>
    <row r="221" spans="1:34" ht="15" customHeight="1" x14ac:dyDescent="0.2">
      <c r="A221" s="572" t="s">
        <v>17</v>
      </c>
      <c r="B221" s="957" t="s">
        <v>19</v>
      </c>
      <c r="C221" s="643" t="s">
        <v>21</v>
      </c>
      <c r="D221" s="2292" t="s">
        <v>98</v>
      </c>
      <c r="E221" s="193"/>
      <c r="F221" s="373">
        <v>6</v>
      </c>
      <c r="G221" s="234" t="s">
        <v>15</v>
      </c>
      <c r="H221" s="309">
        <f>1892.6-30</f>
        <v>1862.6</v>
      </c>
      <c r="I221" s="667">
        <f>1892.6-30-20.9-9-10</f>
        <v>1822.6999999999998</v>
      </c>
      <c r="J221" s="672">
        <f>+I221-H221</f>
        <v>-39.900000000000091</v>
      </c>
      <c r="K221" s="332">
        <v>1885.6</v>
      </c>
      <c r="L221" s="350">
        <v>1885.6</v>
      </c>
      <c r="M221" s="341"/>
      <c r="N221" s="332">
        <v>1888.5</v>
      </c>
      <c r="O221" s="350">
        <v>1888.5</v>
      </c>
      <c r="P221" s="341"/>
      <c r="Q221" s="959"/>
      <c r="R221" s="212"/>
      <c r="S221" s="146"/>
      <c r="T221" s="586"/>
      <c r="U221" s="874"/>
      <c r="V221" s="306"/>
    </row>
    <row r="222" spans="1:34" ht="15" customHeight="1" x14ac:dyDescent="0.2">
      <c r="A222" s="570"/>
      <c r="B222" s="974"/>
      <c r="C222" s="746"/>
      <c r="D222" s="2293"/>
      <c r="E222" s="235"/>
      <c r="F222" s="375"/>
      <c r="G222" s="276" t="s">
        <v>110</v>
      </c>
      <c r="H222" s="873">
        <v>318.3</v>
      </c>
      <c r="I222" s="435">
        <v>318.3</v>
      </c>
      <c r="J222" s="245">
        <f>+I222-H222</f>
        <v>0</v>
      </c>
      <c r="K222" s="323"/>
      <c r="L222" s="435"/>
      <c r="M222" s="245"/>
      <c r="N222" s="323"/>
      <c r="O222" s="435"/>
      <c r="P222" s="245"/>
      <c r="Q222" s="963"/>
      <c r="R222" s="213"/>
      <c r="S222" s="121"/>
      <c r="T222" s="82"/>
      <c r="U222" s="671"/>
      <c r="V222" s="306"/>
    </row>
    <row r="223" spans="1:34" s="14" customFormat="1" ht="22.5" customHeight="1" x14ac:dyDescent="0.2">
      <c r="A223" s="570"/>
      <c r="B223" s="974"/>
      <c r="C223" s="69"/>
      <c r="D223" s="935" t="s">
        <v>85</v>
      </c>
      <c r="E223" s="391"/>
      <c r="F223" s="375"/>
      <c r="G223" s="184" t="s">
        <v>3</v>
      </c>
      <c r="H223" s="292">
        <v>324</v>
      </c>
      <c r="I223" s="251">
        <v>324</v>
      </c>
      <c r="J223" s="98">
        <f>+I223-H223</f>
        <v>0</v>
      </c>
      <c r="K223" s="101"/>
      <c r="L223" s="251"/>
      <c r="M223" s="98"/>
      <c r="N223" s="101"/>
      <c r="O223" s="251"/>
      <c r="P223" s="98"/>
      <c r="Q223" s="953" t="s">
        <v>220</v>
      </c>
      <c r="R223" s="238">
        <v>92</v>
      </c>
      <c r="S223" s="668">
        <v>92</v>
      </c>
      <c r="T223" s="669">
        <v>92</v>
      </c>
      <c r="U223" s="671"/>
      <c r="V223" s="1"/>
      <c r="W223" s="1"/>
      <c r="X223" s="1"/>
      <c r="Y223" s="1"/>
      <c r="Z223" s="1"/>
      <c r="AA223" s="1"/>
      <c r="AB223" s="1"/>
      <c r="AC223" s="1"/>
      <c r="AD223" s="1"/>
      <c r="AE223" s="1"/>
      <c r="AF223" s="1"/>
      <c r="AG223" s="1"/>
      <c r="AH223" s="1"/>
    </row>
    <row r="224" spans="1:34" s="14" customFormat="1" ht="46.5" customHeight="1" x14ac:dyDescent="0.2">
      <c r="A224" s="570"/>
      <c r="B224" s="2294"/>
      <c r="C224" s="186"/>
      <c r="D224" s="2295" t="s">
        <v>92</v>
      </c>
      <c r="E224" s="392"/>
      <c r="F224" s="375"/>
      <c r="G224" s="187"/>
      <c r="H224" s="105"/>
      <c r="I224" s="248"/>
      <c r="J224" s="95"/>
      <c r="K224" s="955"/>
      <c r="L224" s="978"/>
      <c r="M224" s="99"/>
      <c r="N224" s="955"/>
      <c r="O224" s="978"/>
      <c r="P224" s="99"/>
      <c r="Q224" s="515" t="s">
        <v>221</v>
      </c>
      <c r="R224" s="502">
        <v>59</v>
      </c>
      <c r="S224" s="67">
        <v>79</v>
      </c>
      <c r="T224" s="41">
        <v>99</v>
      </c>
      <c r="U224" s="2277" t="s">
        <v>306</v>
      </c>
      <c r="V224" s="1"/>
      <c r="W224" s="1"/>
      <c r="X224" s="1"/>
      <c r="Y224" s="1"/>
      <c r="Z224" s="1"/>
      <c r="AA224" s="1"/>
      <c r="AB224" s="1"/>
      <c r="AC224" s="1"/>
      <c r="AD224" s="1"/>
      <c r="AE224" s="1"/>
      <c r="AF224" s="1"/>
      <c r="AG224" s="1"/>
      <c r="AH224" s="1"/>
    </row>
    <row r="225" spans="1:34" s="14" customFormat="1" ht="46.5" customHeight="1" x14ac:dyDescent="0.2">
      <c r="A225" s="570"/>
      <c r="B225" s="2294"/>
      <c r="C225" s="189"/>
      <c r="D225" s="2296"/>
      <c r="E225" s="391"/>
      <c r="F225" s="375"/>
      <c r="G225" s="187"/>
      <c r="H225" s="162"/>
      <c r="I225" s="253"/>
      <c r="J225" s="236"/>
      <c r="K225" s="162"/>
      <c r="L225" s="253"/>
      <c r="M225" s="236"/>
      <c r="N225" s="162"/>
      <c r="O225" s="253"/>
      <c r="P225" s="236"/>
      <c r="Q225" s="515" t="s">
        <v>222</v>
      </c>
      <c r="R225" s="521">
        <v>20</v>
      </c>
      <c r="S225" s="359">
        <v>20</v>
      </c>
      <c r="T225" s="243">
        <v>20</v>
      </c>
      <c r="U225" s="2277"/>
      <c r="V225" s="1"/>
      <c r="W225" s="1"/>
      <c r="X225" s="1"/>
      <c r="Y225" s="1"/>
      <c r="Z225" s="1"/>
      <c r="AA225" s="1"/>
      <c r="AB225" s="1"/>
      <c r="AC225" s="1"/>
      <c r="AD225" s="1"/>
      <c r="AE225" s="1"/>
      <c r="AF225" s="1"/>
      <c r="AG225" s="1"/>
      <c r="AH225" s="1"/>
    </row>
    <row r="226" spans="1:34" s="14" customFormat="1" ht="63.75" customHeight="1" x14ac:dyDescent="0.2">
      <c r="A226" s="570"/>
      <c r="B226" s="87"/>
      <c r="C226" s="186"/>
      <c r="D226" s="985" t="s">
        <v>93</v>
      </c>
      <c r="E226" s="392"/>
      <c r="F226" s="375"/>
      <c r="G226" s="187"/>
      <c r="H226" s="602"/>
      <c r="I226" s="265"/>
      <c r="J226" s="188"/>
      <c r="K226" s="602"/>
      <c r="L226" s="265"/>
      <c r="M226" s="188"/>
      <c r="N226" s="602"/>
      <c r="O226" s="265"/>
      <c r="P226" s="188"/>
      <c r="Q226" s="516" t="s">
        <v>223</v>
      </c>
      <c r="R226" s="882" t="s">
        <v>281</v>
      </c>
      <c r="S226" s="881">
        <v>4</v>
      </c>
      <c r="T226" s="592"/>
      <c r="U226" s="2273" t="s">
        <v>307</v>
      </c>
      <c r="V226" s="1"/>
      <c r="W226" s="1"/>
      <c r="X226" s="1"/>
      <c r="Y226" s="1"/>
      <c r="Z226" s="1"/>
      <c r="AA226" s="1"/>
      <c r="AB226" s="1"/>
      <c r="AC226" s="1"/>
      <c r="AD226" s="1"/>
      <c r="AE226" s="1"/>
      <c r="AF226" s="1"/>
      <c r="AG226" s="1"/>
      <c r="AH226" s="1"/>
    </row>
    <row r="227" spans="1:34" ht="120" customHeight="1" x14ac:dyDescent="0.2">
      <c r="A227" s="570"/>
      <c r="B227" s="87"/>
      <c r="C227" s="189"/>
      <c r="D227" s="843"/>
      <c r="E227" s="391"/>
      <c r="F227" s="375"/>
      <c r="G227" s="187"/>
      <c r="H227" s="162"/>
      <c r="I227" s="253"/>
      <c r="J227" s="236"/>
      <c r="K227" s="162"/>
      <c r="L227" s="253"/>
      <c r="M227" s="236"/>
      <c r="N227" s="162"/>
      <c r="O227" s="253"/>
      <c r="P227" s="236"/>
      <c r="Q227" s="515" t="s">
        <v>277</v>
      </c>
      <c r="R227" s="726"/>
      <c r="S227" s="359">
        <v>4</v>
      </c>
      <c r="T227" s="243"/>
      <c r="U227" s="2274"/>
    </row>
    <row r="228" spans="1:34" ht="28.5" customHeight="1" x14ac:dyDescent="0.2">
      <c r="A228" s="570"/>
      <c r="B228" s="974"/>
      <c r="C228" s="186"/>
      <c r="D228" s="2275" t="s">
        <v>254</v>
      </c>
      <c r="E228" s="392"/>
      <c r="F228" s="375"/>
      <c r="G228" s="187"/>
      <c r="H228" s="602"/>
      <c r="I228" s="265"/>
      <c r="J228" s="188"/>
      <c r="K228" s="602"/>
      <c r="L228" s="265"/>
      <c r="M228" s="188"/>
      <c r="N228" s="602"/>
      <c r="O228" s="265"/>
      <c r="P228" s="188"/>
      <c r="Q228" s="495" t="s">
        <v>56</v>
      </c>
      <c r="R228" s="519">
        <v>1</v>
      </c>
      <c r="S228" s="412"/>
      <c r="T228" s="239"/>
      <c r="U228" s="2277" t="s">
        <v>280</v>
      </c>
    </row>
    <row r="229" spans="1:34" ht="36.75" customHeight="1" x14ac:dyDescent="0.2">
      <c r="A229" s="570"/>
      <c r="B229" s="190"/>
      <c r="C229" s="372"/>
      <c r="D229" s="2275"/>
      <c r="E229" s="392"/>
      <c r="F229" s="375"/>
      <c r="G229" s="187"/>
      <c r="H229" s="603"/>
      <c r="I229" s="606"/>
      <c r="J229" s="615"/>
      <c r="K229" s="603"/>
      <c r="L229" s="606"/>
      <c r="M229" s="615"/>
      <c r="N229" s="603"/>
      <c r="O229" s="606"/>
      <c r="P229" s="615"/>
      <c r="Q229" s="2279"/>
      <c r="R229" s="504"/>
      <c r="S229" s="65"/>
      <c r="T229" s="592"/>
      <c r="U229" s="2277"/>
    </row>
    <row r="230" spans="1:34" ht="14.25" customHeight="1" thickBot="1" x14ac:dyDescent="0.25">
      <c r="A230" s="570"/>
      <c r="B230" s="190"/>
      <c r="C230" s="191"/>
      <c r="D230" s="2276"/>
      <c r="E230" s="393"/>
      <c r="F230" s="374"/>
      <c r="G230" s="16" t="s">
        <v>16</v>
      </c>
      <c r="H230" s="103">
        <f>SUM(H221:H229)</f>
        <v>2504.9</v>
      </c>
      <c r="I230" s="252">
        <f>SUM(I221:I229)</f>
        <v>2465</v>
      </c>
      <c r="J230" s="308">
        <f>SUM(J221:J229)</f>
        <v>-39.900000000000091</v>
      </c>
      <c r="K230" s="103">
        <f>SUM(K221:K229)</f>
        <v>1885.6</v>
      </c>
      <c r="L230" s="252">
        <f>SUM(L221:L229)</f>
        <v>1885.6</v>
      </c>
      <c r="M230" s="107"/>
      <c r="N230" s="103">
        <f>SUM(N221:N229)</f>
        <v>1888.5</v>
      </c>
      <c r="O230" s="252">
        <f>SUM(O221:O229)</f>
        <v>1888.5</v>
      </c>
      <c r="P230" s="107"/>
      <c r="Q230" s="2280"/>
      <c r="R230" s="522"/>
      <c r="S230" s="407"/>
      <c r="T230" s="598"/>
      <c r="U230" s="2278"/>
    </row>
    <row r="231" spans="1:34" s="55" customFormat="1" ht="14.25" customHeight="1" thickBot="1" x14ac:dyDescent="0.25">
      <c r="A231" s="579" t="s">
        <v>17</v>
      </c>
      <c r="B231" s="6" t="s">
        <v>21</v>
      </c>
      <c r="C231" s="2281" t="s">
        <v>20</v>
      </c>
      <c r="D231" s="2282"/>
      <c r="E231" s="2282"/>
      <c r="F231" s="2282"/>
      <c r="G231" s="2282"/>
      <c r="H231" s="109">
        <f t="shared" ref="H231:P231" si="28">H217+H215+H220+H230</f>
        <v>4900.3999999999996</v>
      </c>
      <c r="I231" s="254">
        <f t="shared" si="28"/>
        <v>4857.2</v>
      </c>
      <c r="J231" s="254">
        <f t="shared" si="28"/>
        <v>-43.200000000000273</v>
      </c>
      <c r="K231" s="109">
        <f t="shared" si="28"/>
        <v>4893.2</v>
      </c>
      <c r="L231" s="254">
        <f t="shared" si="28"/>
        <v>4893.2</v>
      </c>
      <c r="M231" s="254">
        <f t="shared" si="28"/>
        <v>0</v>
      </c>
      <c r="N231" s="109">
        <f t="shared" si="28"/>
        <v>4771.1000000000004</v>
      </c>
      <c r="O231" s="254">
        <f t="shared" si="28"/>
        <v>4771.1000000000004</v>
      </c>
      <c r="P231" s="254">
        <f t="shared" si="28"/>
        <v>0</v>
      </c>
      <c r="Q231" s="2283"/>
      <c r="R231" s="2284"/>
      <c r="S231" s="2284"/>
      <c r="T231" s="2284"/>
      <c r="U231" s="2285"/>
    </row>
    <row r="232" spans="1:34" s="39" customFormat="1" ht="14.25" customHeight="1" thickBot="1" x14ac:dyDescent="0.25">
      <c r="A232" s="579" t="s">
        <v>17</v>
      </c>
      <c r="B232" s="2262" t="s">
        <v>6</v>
      </c>
      <c r="C232" s="2262"/>
      <c r="D232" s="2262"/>
      <c r="E232" s="2262"/>
      <c r="F232" s="2262"/>
      <c r="G232" s="2262"/>
      <c r="H232" s="604">
        <f t="shared" ref="H232:P232" si="29">H231+H192+H172</f>
        <v>10417.599999999999</v>
      </c>
      <c r="I232" s="607">
        <f t="shared" si="29"/>
        <v>9629.5999999999985</v>
      </c>
      <c r="J232" s="607">
        <f t="shared" si="29"/>
        <v>-788.00000000000023</v>
      </c>
      <c r="K232" s="604">
        <f t="shared" si="29"/>
        <v>18082.7</v>
      </c>
      <c r="L232" s="607">
        <f t="shared" si="29"/>
        <v>18082.7</v>
      </c>
      <c r="M232" s="607">
        <f t="shared" si="29"/>
        <v>0</v>
      </c>
      <c r="N232" s="604">
        <f t="shared" si="29"/>
        <v>15612.5</v>
      </c>
      <c r="O232" s="607">
        <f t="shared" si="29"/>
        <v>16275</v>
      </c>
      <c r="P232" s="607">
        <f t="shared" si="29"/>
        <v>662.5</v>
      </c>
      <c r="Q232" s="2263"/>
      <c r="R232" s="2264"/>
      <c r="S232" s="2264"/>
      <c r="T232" s="2264"/>
      <c r="U232" s="2265"/>
      <c r="X232" s="38"/>
      <c r="Z232" s="38"/>
    </row>
    <row r="233" spans="1:34" s="39" customFormat="1" ht="14.25" customHeight="1" thickBot="1" x14ac:dyDescent="0.25">
      <c r="A233" s="559" t="s">
        <v>5</v>
      </c>
      <c r="B233" s="2266" t="s">
        <v>7</v>
      </c>
      <c r="C233" s="2266"/>
      <c r="D233" s="2266"/>
      <c r="E233" s="2266"/>
      <c r="F233" s="2266"/>
      <c r="G233" s="2266"/>
      <c r="H233" s="605">
        <f t="shared" ref="H233:P233" si="30">H232+H99</f>
        <v>83749.100000000006</v>
      </c>
      <c r="I233" s="580">
        <f t="shared" si="30"/>
        <v>83031.699999999983</v>
      </c>
      <c r="J233" s="580">
        <f t="shared" si="30"/>
        <v>-717.39999999999873</v>
      </c>
      <c r="K233" s="605">
        <f t="shared" si="30"/>
        <v>89518.099999999991</v>
      </c>
      <c r="L233" s="580">
        <f t="shared" si="30"/>
        <v>89518.099999999991</v>
      </c>
      <c r="M233" s="580">
        <f t="shared" si="30"/>
        <v>0</v>
      </c>
      <c r="N233" s="605">
        <f t="shared" si="30"/>
        <v>86977.4</v>
      </c>
      <c r="O233" s="580">
        <f t="shared" si="30"/>
        <v>87639.9</v>
      </c>
      <c r="P233" s="580">
        <f t="shared" si="30"/>
        <v>662.5</v>
      </c>
      <c r="Q233" s="2267"/>
      <c r="R233" s="2268"/>
      <c r="S233" s="2268"/>
      <c r="T233" s="2268"/>
      <c r="U233" s="2269"/>
    </row>
    <row r="234" spans="1:34" s="986" customFormat="1" ht="17.25" customHeight="1" x14ac:dyDescent="0.2">
      <c r="A234" s="2270"/>
      <c r="B234" s="2270"/>
      <c r="C234" s="2270"/>
      <c r="D234" s="2270"/>
      <c r="E234" s="2270"/>
      <c r="F234" s="2270"/>
      <c r="G234" s="2270"/>
      <c r="H234" s="2270"/>
      <c r="I234" s="2270"/>
      <c r="J234" s="2270"/>
      <c r="K234" s="2270"/>
      <c r="L234" s="2270"/>
      <c r="M234" s="2270"/>
      <c r="N234" s="2270"/>
      <c r="O234" s="2270"/>
      <c r="P234" s="2270"/>
      <c r="Q234" s="2270"/>
      <c r="R234" s="2270"/>
      <c r="S234" s="2271"/>
      <c r="T234" s="2271"/>
      <c r="U234" s="2271"/>
      <c r="W234" s="52"/>
    </row>
    <row r="235" spans="1:34" s="39" customFormat="1" ht="17.25" customHeight="1" thickBot="1" x14ac:dyDescent="0.25">
      <c r="A235" s="2272" t="s">
        <v>0</v>
      </c>
      <c r="B235" s="2272"/>
      <c r="C235" s="2272"/>
      <c r="D235" s="2272"/>
      <c r="E235" s="2272"/>
      <c r="F235" s="2272"/>
      <c r="G235" s="2272"/>
      <c r="H235" s="2272"/>
      <c r="I235" s="2272"/>
      <c r="J235" s="2272"/>
      <c r="K235" s="2272"/>
      <c r="L235" s="2272"/>
      <c r="M235" s="2272"/>
      <c r="N235" s="2272"/>
      <c r="O235" s="2272"/>
      <c r="P235" s="2272"/>
      <c r="Q235" s="53"/>
      <c r="R235" s="116"/>
      <c r="S235" s="54"/>
      <c r="T235" s="54"/>
      <c r="U235" s="54"/>
    </row>
    <row r="236" spans="1:34" s="39" customFormat="1" ht="70.5" customHeight="1" thickBot="1" x14ac:dyDescent="0.25">
      <c r="A236" s="2258" t="s">
        <v>1</v>
      </c>
      <c r="B236" s="2259"/>
      <c r="C236" s="2259"/>
      <c r="D236" s="2259"/>
      <c r="E236" s="2259"/>
      <c r="F236" s="2259"/>
      <c r="G236" s="2259"/>
      <c r="H236" s="218" t="s">
        <v>256</v>
      </c>
      <c r="I236" s="267" t="s">
        <v>259</v>
      </c>
      <c r="J236" s="650" t="s">
        <v>109</v>
      </c>
      <c r="K236" s="364" t="s">
        <v>80</v>
      </c>
      <c r="L236" s="267" t="s">
        <v>263</v>
      </c>
      <c r="M236" s="650" t="s">
        <v>109</v>
      </c>
      <c r="N236" s="364" t="s">
        <v>126</v>
      </c>
      <c r="O236" s="625" t="s">
        <v>264</v>
      </c>
      <c r="P236" s="651" t="s">
        <v>109</v>
      </c>
      <c r="Q236" s="203"/>
      <c r="R236" s="203"/>
      <c r="S236" s="45"/>
      <c r="T236" s="45"/>
      <c r="U236" s="45"/>
    </row>
    <row r="237" spans="1:34" s="39" customFormat="1" ht="13.5" customHeight="1" x14ac:dyDescent="0.2">
      <c r="A237" s="2260" t="s">
        <v>24</v>
      </c>
      <c r="B237" s="2261"/>
      <c r="C237" s="2261"/>
      <c r="D237" s="2261"/>
      <c r="E237" s="2261"/>
      <c r="F237" s="2261"/>
      <c r="G237" s="2261"/>
      <c r="H237" s="581">
        <f t="shared" ref="H237:P237" si="31">SUM(H238:H245)</f>
        <v>82998.7</v>
      </c>
      <c r="I237" s="582">
        <f t="shared" si="31"/>
        <v>82237.8</v>
      </c>
      <c r="J237" s="582">
        <f>SUM(J238:J245)</f>
        <v>-760.89999999999566</v>
      </c>
      <c r="K237" s="581">
        <f t="shared" si="31"/>
        <v>87735.7</v>
      </c>
      <c r="L237" s="582">
        <f t="shared" si="31"/>
        <v>87735.7</v>
      </c>
      <c r="M237" s="582">
        <f t="shared" si="31"/>
        <v>0</v>
      </c>
      <c r="N237" s="581">
        <f t="shared" si="31"/>
        <v>84268.900000000023</v>
      </c>
      <c r="O237" s="582">
        <f t="shared" si="31"/>
        <v>84974.900000000023</v>
      </c>
      <c r="P237" s="626">
        <f t="shared" si="31"/>
        <v>619</v>
      </c>
      <c r="Q237" s="203"/>
      <c r="R237" s="203"/>
      <c r="S237" s="45"/>
      <c r="T237" s="45"/>
      <c r="U237" s="45"/>
    </row>
    <row r="238" spans="1:34" s="39" customFormat="1" ht="14.25" customHeight="1" x14ac:dyDescent="0.2">
      <c r="A238" s="2244" t="s">
        <v>27</v>
      </c>
      <c r="B238" s="2245"/>
      <c r="C238" s="2245"/>
      <c r="D238" s="2245"/>
      <c r="E238" s="2245"/>
      <c r="F238" s="2245"/>
      <c r="G238" s="2246"/>
      <c r="H238" s="219">
        <f>SUMIF(G13:G229,"sb",H13:H229)</f>
        <v>37930.5</v>
      </c>
      <c r="I238" s="268">
        <f>SUMIF(G13:G229,"sb",I13:I229)</f>
        <v>37285.200000000004</v>
      </c>
      <c r="J238" s="322">
        <f>+I238-H238</f>
        <v>-645.29999999999563</v>
      </c>
      <c r="K238" s="219">
        <f>SUMIF(G13:G229,"sb",K13:K229)</f>
        <v>41870.499999999993</v>
      </c>
      <c r="L238" s="268">
        <f>SUMIF(G13:G229,"sb",L13:L229)</f>
        <v>41870.499999999993</v>
      </c>
      <c r="M238" s="294">
        <f>+L238-K238</f>
        <v>0</v>
      </c>
      <c r="N238" s="219">
        <f>SUMIF(G13:G228,"sb",N13:N228)</f>
        <v>42097.30000000001</v>
      </c>
      <c r="O238" s="268">
        <f>SUMIF(G13:G228,"sb",O13:O228)</f>
        <v>42716.30000000001</v>
      </c>
      <c r="P238" s="294">
        <f>+O238-N238</f>
        <v>619</v>
      </c>
      <c r="Q238" s="369"/>
      <c r="R238" s="202"/>
      <c r="S238" s="45"/>
      <c r="T238" s="45"/>
      <c r="U238" s="45"/>
    </row>
    <row r="239" spans="1:34" s="39" customFormat="1" x14ac:dyDescent="0.2">
      <c r="A239" s="2241" t="s">
        <v>111</v>
      </c>
      <c r="B239" s="2242"/>
      <c r="C239" s="2242"/>
      <c r="D239" s="2242"/>
      <c r="E239" s="2242"/>
      <c r="F239" s="2242"/>
      <c r="G239" s="2243"/>
      <c r="H239" s="444">
        <f>SUMIF(G13:G230,"sb(l)",H13:H230)</f>
        <v>779.1</v>
      </c>
      <c r="I239" s="366">
        <f>SUMIF(G13:G230,"sb(l)",I13:I230)</f>
        <v>663.5</v>
      </c>
      <c r="J239" s="322">
        <f>+I239-H239</f>
        <v>-115.60000000000002</v>
      </c>
      <c r="K239" s="219">
        <f>SUMIF(G13:G230,"sb(l)",K13:K230)</f>
        <v>0</v>
      </c>
      <c r="L239" s="268">
        <f>SUMIF(G13:G230,"sb(l)",L13:L230)</f>
        <v>0</v>
      </c>
      <c r="M239" s="322"/>
      <c r="N239" s="219">
        <f>SUMIF(G20:G230,"sb(l)",N20:N230)</f>
        <v>0</v>
      </c>
      <c r="O239" s="268">
        <f>SUMIF(G20:G230,"sb(l)",O20:O230)</f>
        <v>87</v>
      </c>
      <c r="P239" s="294"/>
      <c r="Q239" s="202"/>
      <c r="R239" s="202"/>
      <c r="S239" s="45"/>
      <c r="T239" s="45"/>
      <c r="U239" s="45"/>
    </row>
    <row r="240" spans="1:34" s="39" customFormat="1" x14ac:dyDescent="0.2">
      <c r="A240" s="2244" t="s">
        <v>32</v>
      </c>
      <c r="B240" s="2245"/>
      <c r="C240" s="2245"/>
      <c r="D240" s="2245"/>
      <c r="E240" s="2245"/>
      <c r="F240" s="2245"/>
      <c r="G240" s="2246"/>
      <c r="H240" s="219">
        <f>SUMIF(G13:G229,"sb(sp)",H13:H229)</f>
        <v>5503.7</v>
      </c>
      <c r="I240" s="268">
        <f>SUMIF(G13:G229,"sb(sp)",I13:I229)</f>
        <v>5503.7</v>
      </c>
      <c r="J240" s="322"/>
      <c r="K240" s="219">
        <f>SUMIF(G13:G228,"sb(sp)",K13:K228)</f>
        <v>5509</v>
      </c>
      <c r="L240" s="268">
        <f>SUMIF(G13:G228,"sb(sp)",L13:L228)</f>
        <v>5509</v>
      </c>
      <c r="M240" s="294"/>
      <c r="N240" s="219">
        <f>SUMIF(G13:G228,"sb(sp)",N13:N228)</f>
        <v>5509</v>
      </c>
      <c r="O240" s="268">
        <f>SUMIF(G13:G228,"sb(sp)",O13:O228)</f>
        <v>5509</v>
      </c>
      <c r="P240" s="294"/>
      <c r="Q240" s="202"/>
      <c r="R240" s="202"/>
      <c r="S240" s="45"/>
      <c r="T240" s="45"/>
      <c r="U240" s="45"/>
    </row>
    <row r="241" spans="1:29" s="39" customFormat="1" ht="13.5" customHeight="1" x14ac:dyDescent="0.2">
      <c r="A241" s="2241" t="s">
        <v>71</v>
      </c>
      <c r="B241" s="2242"/>
      <c r="C241" s="2242"/>
      <c r="D241" s="2242"/>
      <c r="E241" s="2242"/>
      <c r="F241" s="2242"/>
      <c r="G241" s="2243"/>
      <c r="H241" s="219">
        <f>SUMIF(G14:G230,"sb(spl)",H14:H230)</f>
        <v>593.70000000000005</v>
      </c>
      <c r="I241" s="268">
        <f>SUMIF(G13:G230,"sb(spl)",I13:I230)</f>
        <v>593.70000000000005</v>
      </c>
      <c r="J241" s="352">
        <f>+I241-H241</f>
        <v>0</v>
      </c>
      <c r="K241" s="219">
        <f>SUMIF(G14:G229,"sb(spl)",K14:K229)</f>
        <v>0</v>
      </c>
      <c r="L241" s="269"/>
      <c r="M241" s="351"/>
      <c r="N241" s="220"/>
      <c r="O241" s="269"/>
      <c r="P241" s="351"/>
      <c r="Q241" s="202"/>
      <c r="R241" s="202"/>
      <c r="S241" s="45"/>
      <c r="T241" s="45"/>
      <c r="U241" s="45"/>
    </row>
    <row r="242" spans="1:29" s="39" customFormat="1" ht="13.5" customHeight="1" x14ac:dyDescent="0.2">
      <c r="A242" s="2241" t="s">
        <v>270</v>
      </c>
      <c r="B242" s="2242"/>
      <c r="C242" s="2242"/>
      <c r="D242" s="2242"/>
      <c r="E242" s="2242"/>
      <c r="F242" s="2242"/>
      <c r="G242" s="2243"/>
      <c r="H242" s="220"/>
      <c r="I242" s="268"/>
      <c r="J242" s="352"/>
      <c r="K242" s="219">
        <f>SUMIF(G15:G230,"sb(p)",K15:K230)</f>
        <v>2900</v>
      </c>
      <c r="L242" s="268">
        <f>SUMIF(G15:G230,"sb(p)",L15:L230)</f>
        <v>2900</v>
      </c>
      <c r="M242" s="351">
        <f>L242-K242</f>
        <v>0</v>
      </c>
      <c r="N242" s="220"/>
      <c r="O242" s="269"/>
      <c r="P242" s="351"/>
      <c r="Q242" s="202"/>
      <c r="R242" s="202"/>
      <c r="S242" s="45"/>
      <c r="T242" s="45"/>
      <c r="U242" s="45"/>
    </row>
    <row r="243" spans="1:29" s="39" customFormat="1" x14ac:dyDescent="0.2">
      <c r="A243" s="2244" t="s">
        <v>28</v>
      </c>
      <c r="B243" s="2245"/>
      <c r="C243" s="2245"/>
      <c r="D243" s="2245"/>
      <c r="E243" s="2245"/>
      <c r="F243" s="2245"/>
      <c r="G243" s="2246"/>
      <c r="H243" s="220">
        <f>SUMIF(G13:G229,"sb(vb)",H13:H229)</f>
        <v>37038.1</v>
      </c>
      <c r="I243" s="269">
        <f>SUMIF(G13:G229,"sb(vb)",I13:I229)</f>
        <v>37038.1</v>
      </c>
      <c r="J243" s="352">
        <f>+I243-H243</f>
        <v>0</v>
      </c>
      <c r="K243" s="220">
        <f>SUMIF(G13:G228,"sb(vb)",K13:K228)</f>
        <v>35753.100000000006</v>
      </c>
      <c r="L243" s="269">
        <f>SUMIF(G13:G228,"sb(vb)",L13:L228)</f>
        <v>35753.100000000006</v>
      </c>
      <c r="M243" s="351">
        <f>+L243-K243</f>
        <v>0</v>
      </c>
      <c r="N243" s="220">
        <f>SUMIF(G13:G228,"sb(vb)",N13:N228)</f>
        <v>35931.000000000007</v>
      </c>
      <c r="O243" s="269">
        <f>SUMIF(G13:G228,"sb(vb)",O13:O228)</f>
        <v>35931.000000000007</v>
      </c>
      <c r="P243" s="351">
        <f>+O243-N243</f>
        <v>0</v>
      </c>
      <c r="Q243" s="202"/>
      <c r="R243" s="202"/>
      <c r="S243" s="45"/>
      <c r="T243" s="45"/>
      <c r="U243" s="45"/>
    </row>
    <row r="244" spans="1:29" ht="30" customHeight="1" x14ac:dyDescent="0.2">
      <c r="A244" s="2247" t="s">
        <v>227</v>
      </c>
      <c r="B244" s="2248"/>
      <c r="C244" s="2248"/>
      <c r="D244" s="2248"/>
      <c r="E244" s="2248"/>
      <c r="F244" s="2248"/>
      <c r="G244" s="2249"/>
      <c r="H244" s="462">
        <f>SUMIF(G13:G230,"sb(esa)",H13:H230)</f>
        <v>43.3</v>
      </c>
      <c r="I244" s="616">
        <f>SUMIF(G13:G230,"sb(esa)",I13:I230)</f>
        <v>43.3</v>
      </c>
      <c r="J244" s="608"/>
      <c r="K244" s="617">
        <f>SUMIF(G13:G230,"sb(esa)",K13:K230)</f>
        <v>7.7</v>
      </c>
      <c r="L244" s="619">
        <f>SUMIF(G13:G230,"sb(esa)",L13:L230)</f>
        <v>7.7</v>
      </c>
      <c r="M244" s="618"/>
      <c r="N244" s="220">
        <f>SUMIF(G14:G229,"sb(esa)",N14:N229)</f>
        <v>0</v>
      </c>
      <c r="O244" s="269">
        <f>SUMIF(G14:G229,"sb(esa)",O14:O229)</f>
        <v>0</v>
      </c>
      <c r="P244" s="624"/>
      <c r="Q244" s="202"/>
      <c r="R244" s="202"/>
      <c r="S244" s="45"/>
      <c r="T244" s="45"/>
      <c r="U244" s="45"/>
      <c r="V244" s="39"/>
      <c r="W244" s="39"/>
      <c r="X244" s="39"/>
      <c r="Y244" s="39"/>
      <c r="Z244" s="39"/>
      <c r="AA244" s="39"/>
      <c r="AB244" s="39"/>
      <c r="AC244" s="39"/>
    </row>
    <row r="245" spans="1:29" ht="30" customHeight="1" thickBot="1" x14ac:dyDescent="0.25">
      <c r="A245" s="2250" t="s">
        <v>114</v>
      </c>
      <c r="B245" s="2251"/>
      <c r="C245" s="2251"/>
      <c r="D245" s="2251"/>
      <c r="E245" s="2251"/>
      <c r="F245" s="2251"/>
      <c r="G245" s="2252"/>
      <c r="H245" s="357">
        <f>SUMIF(G13:G230,"sb(es)",H13:H230)</f>
        <v>1110.3</v>
      </c>
      <c r="I245" s="270">
        <f>SUMIF(G14:G231,"sb(es)",I14:I231)</f>
        <v>1110.3</v>
      </c>
      <c r="J245" s="266">
        <f>+I245-H245</f>
        <v>0</v>
      </c>
      <c r="K245" s="617">
        <f>SUMIF(G13:G230,"sb(es)",K13:K230)</f>
        <v>1695.3999999999999</v>
      </c>
      <c r="L245" s="619">
        <f>SUMIF(G14:G231,"sb(es)",L14:L231)</f>
        <v>1695.3999999999999</v>
      </c>
      <c r="M245" s="266">
        <f>+L245-K245</f>
        <v>0</v>
      </c>
      <c r="N245" s="220">
        <f>SUMIF(G16:G230,"sb(es)",N16:N230)</f>
        <v>731.6</v>
      </c>
      <c r="O245" s="269">
        <f>SUMIF(G16:G230,"sb(es)",O16:O230)</f>
        <v>731.6</v>
      </c>
      <c r="P245" s="354">
        <f>+O245-N245</f>
        <v>0</v>
      </c>
      <c r="Q245" s="202"/>
      <c r="R245" s="202"/>
      <c r="S245" s="45"/>
      <c r="T245" s="45"/>
      <c r="U245" s="45"/>
      <c r="V245" s="39"/>
      <c r="W245" s="39"/>
      <c r="X245" s="39"/>
      <c r="Y245" s="39"/>
      <c r="Z245" s="39"/>
      <c r="AA245" s="39"/>
      <c r="AB245" s="39"/>
      <c r="AC245" s="39"/>
    </row>
    <row r="246" spans="1:29" ht="13.5" thickBot="1" x14ac:dyDescent="0.25">
      <c r="A246" s="2253" t="s">
        <v>25</v>
      </c>
      <c r="B246" s="2254"/>
      <c r="C246" s="2254"/>
      <c r="D246" s="2254"/>
      <c r="E246" s="2254"/>
      <c r="F246" s="2254"/>
      <c r="G246" s="2254"/>
      <c r="H246" s="583">
        <f>SUM(H247:H249)</f>
        <v>831.4</v>
      </c>
      <c r="I246" s="584">
        <f>SUM(I247:I249)</f>
        <v>831.4</v>
      </c>
      <c r="J246" s="584">
        <f>SUM(J247:J249)</f>
        <v>0</v>
      </c>
      <c r="K246" s="583">
        <f t="shared" ref="K246:N246" si="32">SUM(K247:K249)</f>
        <v>1782.4</v>
      </c>
      <c r="L246" s="584">
        <f t="shared" si="32"/>
        <v>1782.4</v>
      </c>
      <c r="M246" s="584">
        <f t="shared" si="32"/>
        <v>0</v>
      </c>
      <c r="N246" s="583">
        <f t="shared" si="32"/>
        <v>2708.5</v>
      </c>
      <c r="O246" s="584">
        <f>SUM(O247:O249)</f>
        <v>2708.5</v>
      </c>
      <c r="P246" s="627">
        <f>SUM(P247:P249)</f>
        <v>0</v>
      </c>
      <c r="Q246" s="204"/>
      <c r="R246" s="204"/>
      <c r="S246" s="45"/>
      <c r="T246" s="45"/>
      <c r="U246" s="45"/>
      <c r="V246" s="39"/>
      <c r="W246" s="39"/>
      <c r="X246" s="39"/>
      <c r="Y246" s="39"/>
      <c r="Z246" s="39"/>
      <c r="AB246" s="39"/>
      <c r="AC246" s="39"/>
    </row>
    <row r="247" spans="1:29" x14ac:dyDescent="0.2">
      <c r="A247" s="2255" t="s">
        <v>29</v>
      </c>
      <c r="B247" s="2256"/>
      <c r="C247" s="2256"/>
      <c r="D247" s="2256"/>
      <c r="E247" s="2256"/>
      <c r="F247" s="2256"/>
      <c r="G247" s="2257"/>
      <c r="H247" s="221">
        <f>SUMIF(G13:G229,"es",H13:H229)</f>
        <v>297.5</v>
      </c>
      <c r="I247" s="307">
        <f>SUMIF(G13:G229,"es",I13:I229)</f>
        <v>297.5</v>
      </c>
      <c r="J247" s="358">
        <f>+I247-H247</f>
        <v>0</v>
      </c>
      <c r="K247" s="221">
        <f>SUMIF(G20:G228,"es",K20:K228)</f>
        <v>0</v>
      </c>
      <c r="L247" s="307">
        <f>SUMIF(G20:G228,"es",L20:L228)</f>
        <v>0</v>
      </c>
      <c r="M247" s="353">
        <f>+L247-K247</f>
        <v>0</v>
      </c>
      <c r="N247" s="221">
        <f>SUMIF(G20:G228,"es",N20:N228)</f>
        <v>807.8</v>
      </c>
      <c r="O247" s="307">
        <f>SUMIF(G20:G228,"es",O20:O228)</f>
        <v>807.8</v>
      </c>
      <c r="P247" s="353">
        <f>+O247-N247</f>
        <v>0</v>
      </c>
      <c r="Q247" s="205"/>
      <c r="R247" s="205"/>
      <c r="S247" s="45"/>
      <c r="T247" s="45"/>
      <c r="U247" s="45"/>
    </row>
    <row r="248" spans="1:29" ht="15" customHeight="1" x14ac:dyDescent="0.2">
      <c r="A248" s="2233" t="s">
        <v>118</v>
      </c>
      <c r="B248" s="2234"/>
      <c r="C248" s="2234"/>
      <c r="D248" s="2234"/>
      <c r="E248" s="2234"/>
      <c r="F248" s="2234"/>
      <c r="G248" s="2235"/>
      <c r="H248" s="221">
        <f>SUMIF(G13:G229,"lrvb",H13:H229)</f>
        <v>408.9</v>
      </c>
      <c r="I248" s="307">
        <f>SUMIF(G13:G229,"lrvb",I13:I229)</f>
        <v>408.9</v>
      </c>
      <c r="J248" s="358">
        <f>+I248-H248</f>
        <v>0</v>
      </c>
      <c r="K248" s="221">
        <f>SUMIF(G13:G229,"lrvb",K13:K229)</f>
        <v>482.4</v>
      </c>
      <c r="L248" s="307">
        <f>SUMIF(G13:G229,"lrvb",L13:L229)</f>
        <v>482.4</v>
      </c>
      <c r="M248" s="358">
        <f>+L248-K248</f>
        <v>0</v>
      </c>
      <c r="N248" s="221">
        <f>SUMIF(G13:G229,"lrvb",N13:N229)</f>
        <v>900.7</v>
      </c>
      <c r="O248" s="307">
        <f>SUMIF(G13:G229,"lrvb",O13:O229)</f>
        <v>900.7</v>
      </c>
      <c r="P248" s="353">
        <f>+O248-N248</f>
        <v>0</v>
      </c>
      <c r="Q248" s="205"/>
      <c r="R248" s="205"/>
      <c r="S248" s="45"/>
      <c r="T248" s="45"/>
      <c r="U248" s="45"/>
    </row>
    <row r="249" spans="1:29" ht="13.5" thickBot="1" x14ac:dyDescent="0.25">
      <c r="A249" s="2236" t="s">
        <v>53</v>
      </c>
      <c r="B249" s="2237"/>
      <c r="C249" s="2237"/>
      <c r="D249" s="2237"/>
      <c r="E249" s="2237"/>
      <c r="F249" s="2237"/>
      <c r="G249" s="2237"/>
      <c r="H249" s="222">
        <f>SUMIF(G13:G229,"kt",H13:H229)</f>
        <v>125</v>
      </c>
      <c r="I249" s="270">
        <f>SUMIF(G13:G229,"kt",I13:I229)</f>
        <v>125</v>
      </c>
      <c r="J249" s="266"/>
      <c r="K249" s="222">
        <f>SUMIF(G20:G228,"kt",K20:K228)</f>
        <v>1300</v>
      </c>
      <c r="L249" s="270">
        <f>SUMIF(G20:G228,"kt",L20:L228)</f>
        <v>1300</v>
      </c>
      <c r="M249" s="354"/>
      <c r="N249" s="222">
        <f>SUMIF(G20:G228,"kt",N20:N228)</f>
        <v>1000</v>
      </c>
      <c r="O249" s="270">
        <f>SUMIF(G20:G228,"kt",O20:O228)</f>
        <v>1000</v>
      </c>
      <c r="P249" s="354"/>
      <c r="Q249" s="205"/>
      <c r="R249" s="205"/>
      <c r="S249" s="45"/>
      <c r="T249" s="45"/>
      <c r="U249" s="45"/>
    </row>
    <row r="250" spans="1:29" ht="13.5" thickBot="1" x14ac:dyDescent="0.25">
      <c r="A250" s="2238" t="s">
        <v>26</v>
      </c>
      <c r="B250" s="2239"/>
      <c r="C250" s="2239"/>
      <c r="D250" s="2239"/>
      <c r="E250" s="2239"/>
      <c r="F250" s="2239"/>
      <c r="G250" s="2239"/>
      <c r="H250" s="223">
        <f t="shared" ref="H250:P250" si="33">H246+H237</f>
        <v>83830.099999999991</v>
      </c>
      <c r="I250" s="271">
        <f t="shared" si="33"/>
        <v>83069.2</v>
      </c>
      <c r="J250" s="271">
        <f>J246+J237</f>
        <v>-760.89999999999566</v>
      </c>
      <c r="K250" s="223">
        <f t="shared" si="33"/>
        <v>89518.099999999991</v>
      </c>
      <c r="L250" s="271">
        <f t="shared" si="33"/>
        <v>89518.099999999991</v>
      </c>
      <c r="M250" s="271">
        <f t="shared" si="33"/>
        <v>0</v>
      </c>
      <c r="N250" s="223">
        <f t="shared" si="33"/>
        <v>86977.400000000023</v>
      </c>
      <c r="O250" s="271">
        <f t="shared" si="33"/>
        <v>87683.400000000023</v>
      </c>
      <c r="P250" s="355">
        <f t="shared" si="33"/>
        <v>619</v>
      </c>
      <c r="Q250" s="203"/>
      <c r="R250" s="203"/>
    </row>
    <row r="252" spans="1:29" x14ac:dyDescent="0.2">
      <c r="D252" s="38"/>
      <c r="E252" s="976"/>
      <c r="F252" s="976"/>
      <c r="G252" s="37"/>
      <c r="H252" s="112"/>
      <c r="I252" s="112"/>
      <c r="J252" s="112"/>
      <c r="K252" s="112"/>
      <c r="L252" s="112"/>
      <c r="M252" s="112"/>
      <c r="N252" s="112"/>
      <c r="O252" s="112"/>
      <c r="P252" s="112"/>
    </row>
    <row r="253" spans="1:29" x14ac:dyDescent="0.2">
      <c r="D253" s="38"/>
      <c r="E253" s="976"/>
      <c r="F253" s="2240" t="s">
        <v>255</v>
      </c>
      <c r="G253" s="2240"/>
      <c r="H253" s="2240"/>
      <c r="I253" s="2240"/>
      <c r="J253" s="2240"/>
      <c r="K253" s="2240"/>
      <c r="L253" s="976"/>
      <c r="M253" s="976"/>
      <c r="N253" s="110"/>
      <c r="O253" s="110"/>
      <c r="P253" s="110"/>
    </row>
    <row r="254" spans="1:29" x14ac:dyDescent="0.2">
      <c r="D254" s="38"/>
      <c r="E254" s="976"/>
      <c r="F254" s="976"/>
      <c r="G254" s="37"/>
      <c r="H254" s="110"/>
      <c r="I254" s="110"/>
      <c r="J254" s="110"/>
      <c r="K254" s="110"/>
      <c r="L254" s="110"/>
      <c r="M254" s="110"/>
      <c r="N254" s="110"/>
      <c r="O254" s="110"/>
      <c r="P254" s="110"/>
    </row>
    <row r="255" spans="1:29" x14ac:dyDescent="0.2">
      <c r="D255" s="38"/>
      <c r="E255" s="976"/>
      <c r="F255" s="976"/>
      <c r="G255" s="37"/>
      <c r="H255" s="110"/>
      <c r="I255" s="110"/>
      <c r="J255" s="110"/>
      <c r="K255" s="110"/>
      <c r="L255" s="110"/>
      <c r="M255" s="110"/>
      <c r="N255" s="110"/>
      <c r="O255" s="110"/>
      <c r="P255" s="110"/>
    </row>
    <row r="256" spans="1:29" x14ac:dyDescent="0.2">
      <c r="D256" s="38"/>
      <c r="E256" s="976"/>
      <c r="F256" s="976"/>
      <c r="G256" s="37"/>
      <c r="H256" s="110"/>
      <c r="I256" s="110"/>
      <c r="J256" s="110"/>
      <c r="K256" s="110"/>
      <c r="L256" s="110"/>
      <c r="M256" s="110"/>
      <c r="N256" s="110"/>
      <c r="O256" s="110"/>
      <c r="P256" s="110"/>
    </row>
    <row r="257" spans="1:21" x14ac:dyDescent="0.2">
      <c r="D257" s="38"/>
      <c r="E257" s="976"/>
      <c r="F257" s="976"/>
      <c r="G257" s="37"/>
      <c r="H257" s="110"/>
      <c r="I257" s="110"/>
      <c r="J257" s="110"/>
      <c r="K257" s="110"/>
      <c r="L257" s="110"/>
      <c r="M257" s="110"/>
      <c r="N257" s="110"/>
      <c r="O257" s="110"/>
      <c r="P257" s="110"/>
    </row>
    <row r="258" spans="1:21" x14ac:dyDescent="0.2">
      <c r="D258" s="38"/>
      <c r="E258" s="976"/>
      <c r="F258" s="976"/>
      <c r="G258" s="37"/>
      <c r="H258" s="110"/>
      <c r="I258" s="110"/>
      <c r="J258" s="110"/>
      <c r="K258" s="110"/>
      <c r="L258" s="110"/>
      <c r="M258" s="110"/>
      <c r="N258" s="110"/>
      <c r="O258" s="110"/>
      <c r="P258" s="110"/>
    </row>
    <row r="259" spans="1:21" x14ac:dyDescent="0.2">
      <c r="D259" s="38"/>
      <c r="E259" s="976"/>
      <c r="F259" s="976"/>
      <c r="G259" s="37"/>
      <c r="H259" s="110"/>
      <c r="I259" s="110"/>
      <c r="J259" s="110"/>
      <c r="K259" s="110"/>
      <c r="L259" s="110"/>
      <c r="M259" s="110"/>
      <c r="N259" s="110"/>
      <c r="O259" s="110"/>
      <c r="P259" s="110"/>
    </row>
    <row r="260" spans="1:21" x14ac:dyDescent="0.2">
      <c r="D260" s="38"/>
      <c r="E260" s="976"/>
      <c r="F260" s="976"/>
      <c r="G260" s="37"/>
      <c r="H260" s="110"/>
      <c r="I260" s="110"/>
      <c r="J260" s="110"/>
      <c r="K260" s="110"/>
      <c r="L260" s="110"/>
      <c r="M260" s="110"/>
      <c r="N260" s="110"/>
      <c r="O260" s="110"/>
      <c r="P260" s="110"/>
    </row>
    <row r="261" spans="1:21" x14ac:dyDescent="0.2">
      <c r="D261" s="38"/>
      <c r="E261" s="976"/>
      <c r="F261" s="976"/>
      <c r="G261" s="37"/>
      <c r="H261" s="110"/>
      <c r="I261" s="110"/>
      <c r="J261" s="110"/>
      <c r="K261" s="110"/>
      <c r="L261" s="110"/>
      <c r="M261" s="110"/>
      <c r="N261" s="110"/>
      <c r="O261" s="110"/>
      <c r="P261" s="110"/>
      <c r="S261" s="38"/>
      <c r="T261" s="38"/>
      <c r="U261" s="38"/>
    </row>
    <row r="262" spans="1:21" x14ac:dyDescent="0.2">
      <c r="D262" s="38"/>
      <c r="E262" s="976"/>
      <c r="F262" s="976"/>
      <c r="G262" s="37"/>
      <c r="H262" s="110"/>
      <c r="I262" s="110"/>
      <c r="J262" s="110"/>
      <c r="K262" s="110"/>
      <c r="L262" s="110"/>
      <c r="M262" s="110"/>
      <c r="N262" s="110"/>
      <c r="O262" s="110"/>
      <c r="P262" s="110"/>
      <c r="S262" s="38"/>
      <c r="T262" s="38"/>
      <c r="U262" s="38"/>
    </row>
    <row r="263" spans="1:21" x14ac:dyDescent="0.2">
      <c r="A263" s="62"/>
      <c r="B263" s="62"/>
      <c r="C263" s="62"/>
      <c r="D263" s="38"/>
      <c r="E263" s="976"/>
      <c r="F263" s="976"/>
      <c r="G263" s="37"/>
      <c r="H263" s="110"/>
      <c r="I263" s="110"/>
      <c r="J263" s="110"/>
      <c r="K263" s="110"/>
      <c r="L263" s="110"/>
      <c r="M263" s="110"/>
      <c r="N263" s="110"/>
      <c r="O263" s="110"/>
      <c r="P263" s="110"/>
      <c r="Q263" s="38"/>
      <c r="R263" s="976"/>
      <c r="S263" s="38"/>
      <c r="T263" s="38"/>
      <c r="U263" s="38"/>
    </row>
    <row r="264" spans="1:21" x14ac:dyDescent="0.2">
      <c r="A264" s="62"/>
      <c r="B264" s="62"/>
      <c r="C264" s="62"/>
      <c r="D264" s="38"/>
      <c r="E264" s="976"/>
      <c r="F264" s="976"/>
      <c r="G264" s="37"/>
      <c r="H264" s="110"/>
      <c r="I264" s="110"/>
      <c r="J264" s="110"/>
      <c r="K264" s="110"/>
      <c r="L264" s="110"/>
      <c r="M264" s="110"/>
      <c r="N264" s="110"/>
      <c r="O264" s="110"/>
      <c r="P264" s="110"/>
      <c r="Q264" s="38"/>
      <c r="R264" s="976"/>
      <c r="S264" s="38"/>
      <c r="T264" s="38"/>
      <c r="U264" s="38"/>
    </row>
    <row r="265" spans="1:21" x14ac:dyDescent="0.2">
      <c r="A265" s="62"/>
      <c r="B265" s="62"/>
      <c r="C265" s="62"/>
      <c r="D265" s="38"/>
      <c r="E265" s="976"/>
      <c r="F265" s="976"/>
      <c r="G265" s="37"/>
      <c r="H265" s="110"/>
      <c r="I265" s="110"/>
      <c r="J265" s="110"/>
      <c r="K265" s="110"/>
      <c r="L265" s="110"/>
      <c r="M265" s="110"/>
      <c r="N265" s="110"/>
      <c r="O265" s="110"/>
      <c r="P265" s="110"/>
      <c r="Q265" s="38"/>
      <c r="R265" s="976"/>
      <c r="S265" s="38"/>
      <c r="T265" s="38"/>
      <c r="U265" s="38"/>
    </row>
    <row r="266" spans="1:21" x14ac:dyDescent="0.2">
      <c r="A266" s="62"/>
      <c r="B266" s="62"/>
      <c r="C266" s="62"/>
      <c r="D266" s="38"/>
      <c r="E266" s="976"/>
      <c r="F266" s="976"/>
      <c r="G266" s="37"/>
      <c r="H266" s="110"/>
      <c r="I266" s="110"/>
      <c r="J266" s="110"/>
      <c r="K266" s="110"/>
      <c r="L266" s="110"/>
      <c r="M266" s="110"/>
      <c r="N266" s="110"/>
      <c r="O266" s="110"/>
      <c r="P266" s="110"/>
      <c r="Q266" s="38"/>
      <c r="R266" s="976"/>
      <c r="S266" s="38"/>
      <c r="T266" s="38"/>
      <c r="U266" s="38"/>
    </row>
    <row r="267" spans="1:21" x14ac:dyDescent="0.2">
      <c r="A267" s="62"/>
      <c r="B267" s="62"/>
      <c r="C267" s="62"/>
      <c r="D267" s="38"/>
      <c r="E267" s="976"/>
      <c r="F267" s="976"/>
      <c r="G267" s="37"/>
      <c r="H267" s="110"/>
      <c r="I267" s="110"/>
      <c r="J267" s="110"/>
      <c r="K267" s="110"/>
      <c r="L267" s="110"/>
      <c r="M267" s="110"/>
      <c r="N267" s="110"/>
      <c r="O267" s="110"/>
      <c r="P267" s="110"/>
      <c r="Q267" s="38"/>
      <c r="R267" s="976"/>
      <c r="S267" s="38"/>
      <c r="T267" s="38"/>
      <c r="U267" s="38"/>
    </row>
    <row r="268" spans="1:21" x14ac:dyDescent="0.2">
      <c r="A268" s="62"/>
      <c r="B268" s="62"/>
      <c r="C268" s="62"/>
      <c r="D268" s="38"/>
      <c r="E268" s="976"/>
      <c r="F268" s="976"/>
      <c r="G268" s="37"/>
      <c r="H268" s="110"/>
      <c r="I268" s="110"/>
      <c r="J268" s="110"/>
      <c r="K268" s="110"/>
      <c r="L268" s="110"/>
      <c r="M268" s="110"/>
      <c r="N268" s="110"/>
      <c r="O268" s="110"/>
      <c r="P268" s="110"/>
      <c r="Q268" s="38"/>
      <c r="R268" s="976"/>
      <c r="S268" s="38"/>
      <c r="T268" s="38"/>
      <c r="U268" s="38"/>
    </row>
    <row r="269" spans="1:21" x14ac:dyDescent="0.2">
      <c r="A269" s="62"/>
      <c r="B269" s="62"/>
      <c r="C269" s="62"/>
      <c r="D269" s="38"/>
      <c r="E269" s="976"/>
      <c r="F269" s="976"/>
      <c r="G269" s="37"/>
      <c r="H269" s="110"/>
      <c r="I269" s="110"/>
      <c r="J269" s="110"/>
      <c r="K269" s="110"/>
      <c r="L269" s="110"/>
      <c r="M269" s="110"/>
      <c r="N269" s="110"/>
      <c r="O269" s="110"/>
      <c r="P269" s="110"/>
      <c r="Q269" s="38"/>
      <c r="R269" s="976"/>
      <c r="S269" s="38"/>
      <c r="T269" s="38"/>
      <c r="U269" s="38"/>
    </row>
    <row r="270" spans="1:21" x14ac:dyDescent="0.2">
      <c r="A270" s="62"/>
      <c r="B270" s="62"/>
      <c r="C270" s="62"/>
      <c r="D270" s="38"/>
      <c r="E270" s="976"/>
      <c r="F270" s="976"/>
      <c r="G270" s="37"/>
      <c r="H270" s="110"/>
      <c r="I270" s="110"/>
      <c r="J270" s="110"/>
      <c r="K270" s="110"/>
      <c r="L270" s="110"/>
      <c r="M270" s="110"/>
      <c r="N270" s="110"/>
      <c r="O270" s="110"/>
      <c r="P270" s="110"/>
      <c r="Q270" s="38"/>
      <c r="R270" s="976"/>
      <c r="S270" s="38"/>
      <c r="T270" s="38"/>
      <c r="U270" s="38"/>
    </row>
    <row r="271" spans="1:21" x14ac:dyDescent="0.2">
      <c r="A271" s="62"/>
      <c r="B271" s="62"/>
      <c r="C271" s="62"/>
      <c r="D271" s="38"/>
      <c r="E271" s="976"/>
      <c r="F271" s="976"/>
      <c r="G271" s="37"/>
      <c r="H271" s="110"/>
      <c r="I271" s="110"/>
      <c r="J271" s="110"/>
      <c r="K271" s="110"/>
      <c r="L271" s="110"/>
      <c r="M271" s="110"/>
      <c r="N271" s="110"/>
      <c r="O271" s="110"/>
      <c r="P271" s="110"/>
      <c r="Q271" s="38"/>
      <c r="R271" s="976"/>
      <c r="S271" s="38"/>
      <c r="T271" s="38"/>
      <c r="U271" s="38"/>
    </row>
    <row r="272" spans="1:21" x14ac:dyDescent="0.2">
      <c r="A272" s="62"/>
      <c r="B272" s="62"/>
      <c r="C272" s="62"/>
      <c r="D272" s="38"/>
      <c r="E272" s="976"/>
      <c r="F272" s="976"/>
      <c r="G272" s="37"/>
      <c r="H272" s="110"/>
      <c r="I272" s="110"/>
      <c r="J272" s="110"/>
      <c r="K272" s="110"/>
      <c r="L272" s="110"/>
      <c r="M272" s="110"/>
      <c r="N272" s="110"/>
      <c r="O272" s="110"/>
      <c r="P272" s="110"/>
      <c r="Q272" s="38"/>
      <c r="R272" s="976"/>
      <c r="S272" s="38"/>
      <c r="T272" s="38"/>
      <c r="U272" s="38"/>
    </row>
    <row r="273" spans="1:21" x14ac:dyDescent="0.2">
      <c r="A273" s="62"/>
      <c r="B273" s="62"/>
      <c r="C273" s="62"/>
      <c r="D273" s="38"/>
      <c r="E273" s="976"/>
      <c r="F273" s="976"/>
      <c r="G273" s="37"/>
      <c r="H273" s="110"/>
      <c r="I273" s="110"/>
      <c r="J273" s="110"/>
      <c r="K273" s="110"/>
      <c r="L273" s="110"/>
      <c r="M273" s="110"/>
      <c r="N273" s="110"/>
      <c r="O273" s="110"/>
      <c r="P273" s="110"/>
      <c r="Q273" s="38"/>
      <c r="R273" s="976"/>
      <c r="S273" s="38"/>
      <c r="T273" s="38"/>
      <c r="U273" s="38"/>
    </row>
    <row r="274" spans="1:21" x14ac:dyDescent="0.2">
      <c r="A274" s="62"/>
      <c r="B274" s="62"/>
      <c r="C274" s="62"/>
      <c r="D274" s="38"/>
      <c r="E274" s="976"/>
      <c r="F274" s="976"/>
      <c r="G274" s="37"/>
      <c r="H274" s="110"/>
      <c r="I274" s="110"/>
      <c r="J274" s="110"/>
      <c r="K274" s="110"/>
      <c r="L274" s="110"/>
      <c r="M274" s="110"/>
      <c r="N274" s="110"/>
      <c r="O274" s="110"/>
      <c r="P274" s="110"/>
      <c r="Q274" s="38"/>
      <c r="R274" s="976"/>
      <c r="S274" s="38"/>
      <c r="T274" s="38"/>
      <c r="U274" s="38"/>
    </row>
    <row r="275" spans="1:21" x14ac:dyDescent="0.2">
      <c r="A275" s="62"/>
      <c r="B275" s="62"/>
      <c r="C275" s="62"/>
      <c r="D275" s="38"/>
      <c r="E275" s="976"/>
      <c r="F275" s="976"/>
      <c r="G275" s="37"/>
      <c r="H275" s="110"/>
      <c r="I275" s="110"/>
      <c r="J275" s="110"/>
      <c r="K275" s="110"/>
      <c r="L275" s="110"/>
      <c r="M275" s="110"/>
      <c r="N275" s="110"/>
      <c r="O275" s="110"/>
      <c r="P275" s="110"/>
      <c r="Q275" s="38"/>
      <c r="R275" s="976"/>
      <c r="S275" s="38"/>
      <c r="T275" s="38"/>
      <c r="U275" s="38"/>
    </row>
  </sheetData>
  <mergeCells count="243">
    <mergeCell ref="Q1:U1"/>
    <mergeCell ref="A2:U2"/>
    <mergeCell ref="A3:U3"/>
    <mergeCell ref="A4:U4"/>
    <mergeCell ref="C5:U5"/>
    <mergeCell ref="A6:A8"/>
    <mergeCell ref="B6:B8"/>
    <mergeCell ref="C6:C8"/>
    <mergeCell ref="D6:D8"/>
    <mergeCell ref="E6:E8"/>
    <mergeCell ref="U6:U8"/>
    <mergeCell ref="Q7:Q8"/>
    <mergeCell ref="R7:T7"/>
    <mergeCell ref="A9:U9"/>
    <mergeCell ref="A10:U10"/>
    <mergeCell ref="B11:U11"/>
    <mergeCell ref="L6:L8"/>
    <mergeCell ref="M6:M8"/>
    <mergeCell ref="N6:N8"/>
    <mergeCell ref="O6:O8"/>
    <mergeCell ref="P6:P8"/>
    <mergeCell ref="Q6:T6"/>
    <mergeCell ref="F6:F8"/>
    <mergeCell ref="G6:G8"/>
    <mergeCell ref="H6:H8"/>
    <mergeCell ref="I6:I8"/>
    <mergeCell ref="J6:J8"/>
    <mergeCell ref="K6:K8"/>
    <mergeCell ref="C12:U12"/>
    <mergeCell ref="C13:C14"/>
    <mergeCell ref="D13:D14"/>
    <mergeCell ref="E13:E14"/>
    <mergeCell ref="F13:F14"/>
    <mergeCell ref="U13:U38"/>
    <mergeCell ref="D20:D21"/>
    <mergeCell ref="Q20:Q21"/>
    <mergeCell ref="D22:D24"/>
    <mergeCell ref="Q22:Q23"/>
    <mergeCell ref="D25:D27"/>
    <mergeCell ref="Q25:Q26"/>
    <mergeCell ref="A28:A31"/>
    <mergeCell ref="C28:C31"/>
    <mergeCell ref="D28:D31"/>
    <mergeCell ref="E28:E31"/>
    <mergeCell ref="F28:F31"/>
    <mergeCell ref="Q28:Q29"/>
    <mergeCell ref="E41:E44"/>
    <mergeCell ref="F41:F44"/>
    <mergeCell ref="D33:D34"/>
    <mergeCell ref="D35:D36"/>
    <mergeCell ref="D37:D38"/>
    <mergeCell ref="D39:D40"/>
    <mergeCell ref="A41:A44"/>
    <mergeCell ref="B41:B44"/>
    <mergeCell ref="C41:C44"/>
    <mergeCell ref="D41:D44"/>
    <mergeCell ref="A45:A47"/>
    <mergeCell ref="B45:B47"/>
    <mergeCell ref="C45:C47"/>
    <mergeCell ref="D45:D47"/>
    <mergeCell ref="E45:E47"/>
    <mergeCell ref="W42:W43"/>
    <mergeCell ref="X42:X43"/>
    <mergeCell ref="Y42:Y43"/>
    <mergeCell ref="Q43:Q44"/>
    <mergeCell ref="U58:U59"/>
    <mergeCell ref="N58:N59"/>
    <mergeCell ref="O58:O59"/>
    <mergeCell ref="T45:T47"/>
    <mergeCell ref="F45:F47"/>
    <mergeCell ref="G60:G61"/>
    <mergeCell ref="D62:D63"/>
    <mergeCell ref="E62:E63"/>
    <mergeCell ref="D64:D65"/>
    <mergeCell ref="D53:D54"/>
    <mergeCell ref="E53:E54"/>
    <mergeCell ref="F53:F54"/>
    <mergeCell ref="D55:D56"/>
    <mergeCell ref="D58:D59"/>
    <mergeCell ref="G58:G59"/>
    <mergeCell ref="Q45:Q47"/>
    <mergeCell ref="R45:R47"/>
    <mergeCell ref="S45:S47"/>
    <mergeCell ref="D48:D50"/>
    <mergeCell ref="D51:D52"/>
    <mergeCell ref="E51:E52"/>
    <mergeCell ref="F51:F52"/>
    <mergeCell ref="Q51:Q52"/>
    <mergeCell ref="D70:D71"/>
    <mergeCell ref="H58:H59"/>
    <mergeCell ref="I58:I59"/>
    <mergeCell ref="K58:K59"/>
    <mergeCell ref="L58:L59"/>
    <mergeCell ref="D73:D74"/>
    <mergeCell ref="Q73:Q74"/>
    <mergeCell ref="E74:G74"/>
    <mergeCell ref="D77:D78"/>
    <mergeCell ref="D80:D81"/>
    <mergeCell ref="E80:E81"/>
    <mergeCell ref="F80:F81"/>
    <mergeCell ref="H80:H81"/>
    <mergeCell ref="I80:I81"/>
    <mergeCell ref="U94:U95"/>
    <mergeCell ref="A91:A93"/>
    <mergeCell ref="C91:C93"/>
    <mergeCell ref="D91:D93"/>
    <mergeCell ref="E91:E93"/>
    <mergeCell ref="F91:F93"/>
    <mergeCell ref="Q92:Q93"/>
    <mergeCell ref="D84:D86"/>
    <mergeCell ref="Q84:Q85"/>
    <mergeCell ref="U84:U86"/>
    <mergeCell ref="B89:B90"/>
    <mergeCell ref="C89:C90"/>
    <mergeCell ref="D89:D90"/>
    <mergeCell ref="E89:E90"/>
    <mergeCell ref="F89:F90"/>
    <mergeCell ref="Q89:Q90"/>
    <mergeCell ref="A96:A97"/>
    <mergeCell ref="C96:C97"/>
    <mergeCell ref="D96:D97"/>
    <mergeCell ref="E96:E97"/>
    <mergeCell ref="F96:F97"/>
    <mergeCell ref="Q96:Q97"/>
    <mergeCell ref="A94:A95"/>
    <mergeCell ref="C94:C95"/>
    <mergeCell ref="D94:D95"/>
    <mergeCell ref="E94:E95"/>
    <mergeCell ref="F94:F95"/>
    <mergeCell ref="D102:D104"/>
    <mergeCell ref="U102:U108"/>
    <mergeCell ref="D110:D112"/>
    <mergeCell ref="D113:D115"/>
    <mergeCell ref="U113:U115"/>
    <mergeCell ref="D117:D118"/>
    <mergeCell ref="C98:G98"/>
    <mergeCell ref="R98:U98"/>
    <mergeCell ref="B99:G99"/>
    <mergeCell ref="Q99:U99"/>
    <mergeCell ref="B100:U100"/>
    <mergeCell ref="C101:U101"/>
    <mergeCell ref="D127:D128"/>
    <mergeCell ref="U127:U128"/>
    <mergeCell ref="D129:D130"/>
    <mergeCell ref="D131:D132"/>
    <mergeCell ref="D133:D134"/>
    <mergeCell ref="D135:D136"/>
    <mergeCell ref="U135:U136"/>
    <mergeCell ref="D119:D121"/>
    <mergeCell ref="U119:U121"/>
    <mergeCell ref="Q120:Q121"/>
    <mergeCell ref="U122:U123"/>
    <mergeCell ref="D124:D126"/>
    <mergeCell ref="U124:U126"/>
    <mergeCell ref="E125:E126"/>
    <mergeCell ref="F125:F126"/>
    <mergeCell ref="U149:U151"/>
    <mergeCell ref="E155:G155"/>
    <mergeCell ref="Z155:Z156"/>
    <mergeCell ref="D156:D157"/>
    <mergeCell ref="U156:U158"/>
    <mergeCell ref="D159:D161"/>
    <mergeCell ref="E159:E161"/>
    <mergeCell ref="F159:F161"/>
    <mergeCell ref="D137:D138"/>
    <mergeCell ref="Q138:Q139"/>
    <mergeCell ref="E139:G139"/>
    <mergeCell ref="D140:D144"/>
    <mergeCell ref="D145:D148"/>
    <mergeCell ref="U145:U148"/>
    <mergeCell ref="C173:U173"/>
    <mergeCell ref="D174:D175"/>
    <mergeCell ref="E174:E175"/>
    <mergeCell ref="D176:D177"/>
    <mergeCell ref="E176:E177"/>
    <mergeCell ref="D181:D182"/>
    <mergeCell ref="Z164:Z165"/>
    <mergeCell ref="U165:U169"/>
    <mergeCell ref="D170:D171"/>
    <mergeCell ref="U170:U171"/>
    <mergeCell ref="E171:G171"/>
    <mergeCell ref="C172:G172"/>
    <mergeCell ref="Q172:U172"/>
    <mergeCell ref="D162:D164"/>
    <mergeCell ref="E162:E163"/>
    <mergeCell ref="F162:F163"/>
    <mergeCell ref="U162:U164"/>
    <mergeCell ref="Q163:Q164"/>
    <mergeCell ref="E164:G164"/>
    <mergeCell ref="U197:U204"/>
    <mergeCell ref="Q203:Q204"/>
    <mergeCell ref="U205:U208"/>
    <mergeCell ref="D210:D211"/>
    <mergeCell ref="D212:D213"/>
    <mergeCell ref="E212:E213"/>
    <mergeCell ref="D188:D189"/>
    <mergeCell ref="D190:D191"/>
    <mergeCell ref="C192:G192"/>
    <mergeCell ref="Q192:U192"/>
    <mergeCell ref="C193:U193"/>
    <mergeCell ref="D194:D196"/>
    <mergeCell ref="B224:B225"/>
    <mergeCell ref="D224:D225"/>
    <mergeCell ref="U224:U225"/>
    <mergeCell ref="D214:D215"/>
    <mergeCell ref="U214:U215"/>
    <mergeCell ref="A216:A217"/>
    <mergeCell ref="B216:B217"/>
    <mergeCell ref="D216:D217"/>
    <mergeCell ref="E216:E217"/>
    <mergeCell ref="F216:F217"/>
    <mergeCell ref="Q216:Q217"/>
    <mergeCell ref="U226:U227"/>
    <mergeCell ref="D228:D230"/>
    <mergeCell ref="U228:U230"/>
    <mergeCell ref="Q229:Q230"/>
    <mergeCell ref="C231:G231"/>
    <mergeCell ref="Q231:U231"/>
    <mergeCell ref="D218:D220"/>
    <mergeCell ref="U218:U220"/>
    <mergeCell ref="D221:D222"/>
    <mergeCell ref="A236:G236"/>
    <mergeCell ref="A237:G237"/>
    <mergeCell ref="A238:G238"/>
    <mergeCell ref="A239:G239"/>
    <mergeCell ref="A240:G240"/>
    <mergeCell ref="A241:G241"/>
    <mergeCell ref="B232:G232"/>
    <mergeCell ref="Q232:U232"/>
    <mergeCell ref="B233:G233"/>
    <mergeCell ref="Q233:U233"/>
    <mergeCell ref="A234:U234"/>
    <mergeCell ref="A235:P235"/>
    <mergeCell ref="A248:G248"/>
    <mergeCell ref="A249:G249"/>
    <mergeCell ref="A250:G250"/>
    <mergeCell ref="F253:K253"/>
    <mergeCell ref="A242:G242"/>
    <mergeCell ref="A243:G243"/>
    <mergeCell ref="A244:G244"/>
    <mergeCell ref="A245:G245"/>
    <mergeCell ref="A246:G246"/>
    <mergeCell ref="A247:G247"/>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257"/>
  <sheetViews>
    <sheetView tabSelected="1" zoomScaleNormal="100" workbookViewId="0">
      <selection activeCell="M7" sqref="M7:M8"/>
    </sheetView>
  </sheetViews>
  <sheetFormatPr defaultRowHeight="12.75" x14ac:dyDescent="0.2"/>
  <cols>
    <col min="1" max="3" width="2.7109375" style="1141" customWidth="1"/>
    <col min="4" max="4" width="2.7109375" style="1444" customWidth="1"/>
    <col min="5" max="5" width="2.7109375" style="1473" customWidth="1"/>
    <col min="6" max="6" width="32.28515625" style="1142" customWidth="1"/>
    <col min="7" max="8" width="3" style="1140" customWidth="1"/>
    <col min="9" max="9" width="7.42578125" style="1143" customWidth="1"/>
    <col min="10" max="12" width="8.85546875" style="1144" customWidth="1"/>
    <col min="13" max="13" width="23.5703125" style="1142" customWidth="1"/>
    <col min="14" max="16" width="6.42578125" style="1905" customWidth="1"/>
    <col min="17" max="17" width="11.140625" style="1145" customWidth="1"/>
    <col min="18" max="18" width="35.28515625" style="1145" customWidth="1"/>
    <col min="19" max="16384" width="9.140625" style="1145"/>
  </cols>
  <sheetData>
    <row r="1" spans="1:17" ht="62.25" customHeight="1" x14ac:dyDescent="0.2">
      <c r="M1" s="2524" t="s">
        <v>739</v>
      </c>
      <c r="N1" s="2524"/>
      <c r="O1" s="2524"/>
      <c r="P1" s="2524"/>
    </row>
    <row r="2" spans="1:17" s="1146" customFormat="1" ht="15.75" x14ac:dyDescent="0.2">
      <c r="A2" s="2525" t="s">
        <v>751</v>
      </c>
      <c r="B2" s="2525"/>
      <c r="C2" s="2525"/>
      <c r="D2" s="2525"/>
      <c r="E2" s="2525"/>
      <c r="F2" s="2525"/>
      <c r="G2" s="2525"/>
      <c r="H2" s="2525"/>
      <c r="I2" s="2525"/>
      <c r="J2" s="2525"/>
      <c r="K2" s="2525"/>
      <c r="L2" s="2525"/>
      <c r="M2" s="2525"/>
      <c r="N2" s="2525"/>
      <c r="O2" s="2525"/>
      <c r="P2" s="2525"/>
    </row>
    <row r="3" spans="1:17" s="1146" customFormat="1" ht="19.5" customHeight="1" x14ac:dyDescent="0.2">
      <c r="A3" s="2496" t="s">
        <v>30</v>
      </c>
      <c r="B3" s="2496"/>
      <c r="C3" s="2496"/>
      <c r="D3" s="2496"/>
      <c r="E3" s="2496"/>
      <c r="F3" s="2496"/>
      <c r="G3" s="2496"/>
      <c r="H3" s="2496"/>
      <c r="I3" s="2496"/>
      <c r="J3" s="2496"/>
      <c r="K3" s="2496"/>
      <c r="L3" s="2496"/>
      <c r="M3" s="2496"/>
      <c r="N3" s="2496"/>
      <c r="O3" s="2496"/>
      <c r="P3" s="2496"/>
    </row>
    <row r="4" spans="1:17" s="1146" customFormat="1" ht="19.5" customHeight="1" x14ac:dyDescent="0.2">
      <c r="A4" s="2497" t="s">
        <v>55</v>
      </c>
      <c r="B4" s="2497"/>
      <c r="C4" s="2497"/>
      <c r="D4" s="2497"/>
      <c r="E4" s="2497"/>
      <c r="F4" s="2497"/>
      <c r="G4" s="2497"/>
      <c r="H4" s="2497"/>
      <c r="I4" s="2497"/>
      <c r="J4" s="2497"/>
      <c r="K4" s="2497"/>
      <c r="L4" s="2497"/>
      <c r="M4" s="2497"/>
      <c r="N4" s="2497"/>
      <c r="O4" s="2497"/>
      <c r="P4" s="2497"/>
    </row>
    <row r="5" spans="1:17" ht="15.75" customHeight="1" thickBot="1" x14ac:dyDescent="0.25">
      <c r="A5" s="90"/>
      <c r="B5" s="90"/>
      <c r="F5" s="1863"/>
      <c r="G5" s="1863"/>
      <c r="H5" s="1863"/>
      <c r="I5" s="1332"/>
      <c r="J5" s="1863"/>
      <c r="K5" s="1863"/>
      <c r="L5" s="1863"/>
      <c r="M5" s="1863"/>
      <c r="N5" s="1904"/>
      <c r="O5" s="2498" t="s">
        <v>76</v>
      </c>
      <c r="P5" s="2498"/>
    </row>
    <row r="6" spans="1:17" ht="24" customHeight="1" x14ac:dyDescent="0.2">
      <c r="A6" s="2526" t="s">
        <v>8</v>
      </c>
      <c r="B6" s="2529" t="s">
        <v>9</v>
      </c>
      <c r="C6" s="2532" t="s">
        <v>10</v>
      </c>
      <c r="D6" s="2532" t="s">
        <v>396</v>
      </c>
      <c r="E6" s="2532" t="s">
        <v>397</v>
      </c>
      <c r="F6" s="2550" t="s">
        <v>122</v>
      </c>
      <c r="G6" s="2553" t="s">
        <v>11</v>
      </c>
      <c r="H6" s="2556" t="s">
        <v>12</v>
      </c>
      <c r="I6" s="2556" t="s">
        <v>13</v>
      </c>
      <c r="J6" s="2535" t="s">
        <v>819</v>
      </c>
      <c r="K6" s="2538" t="s">
        <v>124</v>
      </c>
      <c r="L6" s="2541" t="s">
        <v>331</v>
      </c>
      <c r="M6" s="2489" t="s">
        <v>125</v>
      </c>
      <c r="N6" s="2544"/>
      <c r="O6" s="2544"/>
      <c r="P6" s="2545"/>
    </row>
    <row r="7" spans="1:17" ht="15.75" customHeight="1" x14ac:dyDescent="0.2">
      <c r="A7" s="2527"/>
      <c r="B7" s="2530"/>
      <c r="C7" s="2533"/>
      <c r="D7" s="2533"/>
      <c r="E7" s="2533"/>
      <c r="F7" s="2551"/>
      <c r="G7" s="2554"/>
      <c r="H7" s="2557"/>
      <c r="I7" s="2557"/>
      <c r="J7" s="2536"/>
      <c r="K7" s="2539"/>
      <c r="L7" s="2542"/>
      <c r="M7" s="2549" t="s">
        <v>23</v>
      </c>
      <c r="N7" s="2546" t="s">
        <v>59</v>
      </c>
      <c r="O7" s="2547"/>
      <c r="P7" s="2548"/>
    </row>
    <row r="8" spans="1:17" ht="93.75" customHeight="1" thickBot="1" x14ac:dyDescent="0.25">
      <c r="A8" s="2528"/>
      <c r="B8" s="2531"/>
      <c r="C8" s="2534"/>
      <c r="D8" s="2534"/>
      <c r="E8" s="2534"/>
      <c r="F8" s="2552"/>
      <c r="G8" s="2555"/>
      <c r="H8" s="2558"/>
      <c r="I8" s="2558"/>
      <c r="J8" s="2537"/>
      <c r="K8" s="2540"/>
      <c r="L8" s="2543"/>
      <c r="M8" s="2516"/>
      <c r="N8" s="1094" t="s">
        <v>82</v>
      </c>
      <c r="O8" s="362" t="s">
        <v>121</v>
      </c>
      <c r="P8" s="363" t="s">
        <v>332</v>
      </c>
    </row>
    <row r="9" spans="1:17" ht="15.75" customHeight="1" thickBot="1" x14ac:dyDescent="0.25">
      <c r="A9" s="2468" t="s">
        <v>67</v>
      </c>
      <c r="B9" s="2469"/>
      <c r="C9" s="2469"/>
      <c r="D9" s="2469"/>
      <c r="E9" s="2469"/>
      <c r="F9" s="2469"/>
      <c r="G9" s="2469"/>
      <c r="H9" s="2469"/>
      <c r="I9" s="2469"/>
      <c r="J9" s="2469"/>
      <c r="K9" s="2469"/>
      <c r="L9" s="2469"/>
      <c r="M9" s="2469"/>
      <c r="N9" s="2469"/>
      <c r="O9" s="2469"/>
      <c r="P9" s="2470"/>
    </row>
    <row r="10" spans="1:17" s="1148" customFormat="1" ht="15.75" customHeight="1" thickBot="1" x14ac:dyDescent="0.25">
      <c r="A10" s="2471" t="s">
        <v>31</v>
      </c>
      <c r="B10" s="2472"/>
      <c r="C10" s="2472"/>
      <c r="D10" s="2472"/>
      <c r="E10" s="2472"/>
      <c r="F10" s="2472"/>
      <c r="G10" s="2472"/>
      <c r="H10" s="2472"/>
      <c r="I10" s="2472"/>
      <c r="J10" s="2472"/>
      <c r="K10" s="2472"/>
      <c r="L10" s="2472"/>
      <c r="M10" s="2472"/>
      <c r="N10" s="2472"/>
      <c r="O10" s="2472"/>
      <c r="P10" s="2473"/>
      <c r="Q10" s="1147"/>
    </row>
    <row r="11" spans="1:17" s="1148" customFormat="1" ht="15.75" customHeight="1" thickBot="1" x14ac:dyDescent="0.25">
      <c r="A11" s="1149" t="s">
        <v>14</v>
      </c>
      <c r="B11" s="2560" t="s">
        <v>36</v>
      </c>
      <c r="C11" s="2561"/>
      <c r="D11" s="2561"/>
      <c r="E11" s="2561"/>
      <c r="F11" s="2561"/>
      <c r="G11" s="2561"/>
      <c r="H11" s="2561"/>
      <c r="I11" s="2561"/>
      <c r="J11" s="2561"/>
      <c r="K11" s="2561"/>
      <c r="L11" s="2561"/>
      <c r="M11" s="2561"/>
      <c r="N11" s="2561"/>
      <c r="O11" s="2561"/>
      <c r="P11" s="2562"/>
    </row>
    <row r="12" spans="1:17" s="1148" customFormat="1" ht="15.75" customHeight="1" thickBot="1" x14ac:dyDescent="0.25">
      <c r="A12" s="1150" t="s">
        <v>14</v>
      </c>
      <c r="B12" s="1151" t="s">
        <v>14</v>
      </c>
      <c r="C12" s="2563" t="s">
        <v>72</v>
      </c>
      <c r="D12" s="2455"/>
      <c r="E12" s="2455"/>
      <c r="F12" s="2455"/>
      <c r="G12" s="2455"/>
      <c r="H12" s="2455"/>
      <c r="I12" s="2455"/>
      <c r="J12" s="2455"/>
      <c r="K12" s="2455"/>
      <c r="L12" s="2455"/>
      <c r="M12" s="2455"/>
      <c r="N12" s="2455"/>
      <c r="O12" s="2455"/>
      <c r="P12" s="2456"/>
    </row>
    <row r="13" spans="1:17" s="1148" customFormat="1" ht="16.5" customHeight="1" x14ac:dyDescent="0.2">
      <c r="A13" s="1152" t="s">
        <v>14</v>
      </c>
      <c r="B13" s="1153" t="s">
        <v>14</v>
      </c>
      <c r="C13" s="1154" t="s">
        <v>14</v>
      </c>
      <c r="D13" s="1452"/>
      <c r="E13" s="1452"/>
      <c r="F13" s="2570" t="s">
        <v>45</v>
      </c>
      <c r="G13" s="2572" t="s">
        <v>239</v>
      </c>
      <c r="H13" s="2075">
        <v>2</v>
      </c>
      <c r="I13" s="276" t="s">
        <v>15</v>
      </c>
      <c r="J13" s="1556">
        <f>31672.9-237.1</f>
        <v>31435.800000000003</v>
      </c>
      <c r="K13" s="1557">
        <f>31923.5+113-237.1</f>
        <v>31799.4</v>
      </c>
      <c r="L13" s="1659">
        <f>32042.3-237.1</f>
        <v>31805.200000000001</v>
      </c>
      <c r="M13" s="499"/>
      <c r="N13" s="1116"/>
      <c r="O13" s="1096"/>
      <c r="P13" s="1114"/>
    </row>
    <row r="14" spans="1:17" s="1148" customFormat="1" ht="16.5" customHeight="1" x14ac:dyDescent="0.2">
      <c r="A14" s="1156"/>
      <c r="B14" s="1160"/>
      <c r="C14" s="1163"/>
      <c r="D14" s="1453"/>
      <c r="E14" s="1453"/>
      <c r="F14" s="2571"/>
      <c r="G14" s="2573"/>
      <c r="H14" s="1438"/>
      <c r="I14" s="467" t="s">
        <v>18</v>
      </c>
      <c r="J14" s="444">
        <f>40150.7+1.9+237.1+73.1</f>
        <v>40462.799999999996</v>
      </c>
      <c r="K14" s="366">
        <f>40597.7+1.9+73.1</f>
        <v>40672.699999999997</v>
      </c>
      <c r="L14" s="1560">
        <f>40743.7+1.9+73.1</f>
        <v>40818.699999999997</v>
      </c>
      <c r="M14" s="733"/>
      <c r="N14" s="227"/>
      <c r="O14" s="1971"/>
      <c r="P14" s="1750"/>
    </row>
    <row r="15" spans="1:17" s="1148" customFormat="1" ht="16.5" customHeight="1" x14ac:dyDescent="0.2">
      <c r="A15" s="1156"/>
      <c r="B15" s="1160"/>
      <c r="C15" s="1163"/>
      <c r="D15" s="1453"/>
      <c r="E15" s="1453"/>
      <c r="F15" s="727"/>
      <c r="G15" s="447"/>
      <c r="H15" s="1159"/>
      <c r="I15" s="227" t="s">
        <v>44</v>
      </c>
      <c r="J15" s="1575">
        <v>5544.9</v>
      </c>
      <c r="K15" s="259">
        <v>5544.9</v>
      </c>
      <c r="L15" s="594">
        <v>5544.9</v>
      </c>
      <c r="M15" s="733"/>
      <c r="N15" s="227"/>
      <c r="O15" s="1971"/>
      <c r="P15" s="1750"/>
    </row>
    <row r="16" spans="1:17" s="1148" customFormat="1" ht="16.5" customHeight="1" x14ac:dyDescent="0.2">
      <c r="A16" s="1156"/>
      <c r="B16" s="1160"/>
      <c r="C16" s="1163"/>
      <c r="D16" s="1453"/>
      <c r="E16" s="1453"/>
      <c r="F16" s="727"/>
      <c r="G16" s="447"/>
      <c r="H16" s="1159"/>
      <c r="I16" s="276" t="s">
        <v>226</v>
      </c>
      <c r="J16" s="444">
        <v>43.3</v>
      </c>
      <c r="K16" s="366">
        <v>7.7</v>
      </c>
      <c r="L16" s="1560"/>
      <c r="M16" s="733"/>
      <c r="N16" s="227"/>
      <c r="O16" s="1971"/>
      <c r="P16" s="1750"/>
    </row>
    <row r="17" spans="1:17" s="1148" customFormat="1" ht="16.5" customHeight="1" x14ac:dyDescent="0.2">
      <c r="A17" s="1156"/>
      <c r="B17" s="1160"/>
      <c r="C17" s="1163"/>
      <c r="D17" s="1453"/>
      <c r="E17" s="1453"/>
      <c r="F17" s="727"/>
      <c r="G17" s="447"/>
      <c r="H17" s="1159"/>
      <c r="I17" s="194" t="s">
        <v>3</v>
      </c>
      <c r="J17" s="1577">
        <v>3.8</v>
      </c>
      <c r="K17" s="1578">
        <v>0.7</v>
      </c>
      <c r="L17" s="1579"/>
      <c r="M17" s="733"/>
      <c r="N17" s="227"/>
      <c r="O17" s="2076"/>
      <c r="P17" s="1750"/>
    </row>
    <row r="18" spans="1:17" s="1148" customFormat="1" ht="16.5" customHeight="1" x14ac:dyDescent="0.2">
      <c r="A18" s="1156"/>
      <c r="B18" s="1160"/>
      <c r="C18" s="1163"/>
      <c r="D18" s="1453"/>
      <c r="E18" s="1453"/>
      <c r="F18" s="2078"/>
      <c r="G18" s="447"/>
      <c r="H18" s="1159"/>
      <c r="I18" s="194" t="s">
        <v>4</v>
      </c>
      <c r="J18" s="1577">
        <v>509.4</v>
      </c>
      <c r="K18" s="1578">
        <v>509.4</v>
      </c>
      <c r="L18" s="1579"/>
      <c r="M18" s="733"/>
      <c r="N18" s="227"/>
      <c r="O18" s="2077"/>
      <c r="P18" s="1750"/>
    </row>
    <row r="19" spans="1:17" s="1148" customFormat="1" ht="14.25" customHeight="1" x14ac:dyDescent="0.2">
      <c r="A19" s="1156"/>
      <c r="B19" s="1157"/>
      <c r="C19" s="1158"/>
      <c r="D19" s="1469" t="s">
        <v>14</v>
      </c>
      <c r="E19" s="1470"/>
      <c r="F19" s="2450" t="s">
        <v>165</v>
      </c>
      <c r="G19" s="447"/>
      <c r="H19" s="1159"/>
      <c r="I19" s="227"/>
      <c r="J19" s="854"/>
      <c r="K19" s="813"/>
      <c r="L19" s="97"/>
      <c r="M19" s="1866" t="s">
        <v>131</v>
      </c>
      <c r="N19" s="194">
        <v>47</v>
      </c>
      <c r="O19" s="1911">
        <v>47</v>
      </c>
      <c r="P19" s="1907">
        <v>47</v>
      </c>
      <c r="Q19" s="1119"/>
    </row>
    <row r="20" spans="1:17" s="1148" customFormat="1" ht="14.25" customHeight="1" x14ac:dyDescent="0.2">
      <c r="A20" s="1156"/>
      <c r="B20" s="1157"/>
      <c r="C20" s="1158"/>
      <c r="D20" s="1447"/>
      <c r="E20" s="1453"/>
      <c r="F20" s="2451"/>
      <c r="G20" s="447"/>
      <c r="H20" s="1159"/>
      <c r="I20" s="227"/>
      <c r="J20" s="1575"/>
      <c r="K20" s="259"/>
      <c r="L20" s="543"/>
      <c r="M20" s="449" t="s">
        <v>132</v>
      </c>
      <c r="N20" s="194">
        <v>7949</v>
      </c>
      <c r="O20" s="1721">
        <v>7950</v>
      </c>
      <c r="P20" s="1907">
        <v>7950</v>
      </c>
      <c r="Q20" s="1119"/>
    </row>
    <row r="21" spans="1:17" s="1148" customFormat="1" ht="15" customHeight="1" x14ac:dyDescent="0.2">
      <c r="A21" s="1156"/>
      <c r="B21" s="1160"/>
      <c r="C21" s="1158"/>
      <c r="D21" s="1447"/>
      <c r="E21" s="1453"/>
      <c r="F21" s="2451"/>
      <c r="G21" s="447"/>
      <c r="H21" s="1159"/>
      <c r="I21" s="227"/>
      <c r="J21" s="1575"/>
      <c r="K21" s="259"/>
      <c r="L21" s="543"/>
      <c r="M21" s="1874"/>
      <c r="N21" s="227"/>
      <c r="O21" s="1903"/>
      <c r="P21" s="1750"/>
      <c r="Q21" s="1119"/>
    </row>
    <row r="22" spans="1:17" s="1148" customFormat="1" ht="15.75" customHeight="1" thickBot="1" x14ac:dyDescent="0.25">
      <c r="A22" s="1156"/>
      <c r="B22" s="1160"/>
      <c r="C22" s="1158"/>
      <c r="D22" s="1468"/>
      <c r="E22" s="1471"/>
      <c r="F22" s="2452"/>
      <c r="G22" s="447"/>
      <c r="H22" s="1159"/>
      <c r="I22" s="227"/>
      <c r="J22" s="1575"/>
      <c r="K22" s="259"/>
      <c r="L22" s="543"/>
      <c r="M22" s="1121"/>
      <c r="N22" s="1105"/>
      <c r="O22" s="1329"/>
      <c r="P22" s="1211"/>
      <c r="Q22" s="1115"/>
    </row>
    <row r="23" spans="1:17" s="1148" customFormat="1" ht="15.75" customHeight="1" x14ac:dyDescent="0.2">
      <c r="A23" s="1156"/>
      <c r="B23" s="1160"/>
      <c r="C23" s="1158"/>
      <c r="D23" s="1447" t="s">
        <v>17</v>
      </c>
      <c r="E23" s="1453"/>
      <c r="F23" s="2450" t="s">
        <v>166</v>
      </c>
      <c r="G23" s="447"/>
      <c r="H23" s="1159"/>
      <c r="I23" s="227"/>
      <c r="J23" s="1575"/>
      <c r="K23" s="259"/>
      <c r="L23" s="543"/>
      <c r="M23" s="1867" t="s">
        <v>131</v>
      </c>
      <c r="N23" s="1116">
        <v>7</v>
      </c>
      <c r="O23" s="1096">
        <v>7</v>
      </c>
      <c r="P23" s="1114">
        <v>7</v>
      </c>
    </row>
    <row r="24" spans="1:17" s="1148" customFormat="1" ht="14.25" customHeight="1" x14ac:dyDescent="0.2">
      <c r="A24" s="1156"/>
      <c r="B24" s="1157"/>
      <c r="C24" s="1158"/>
      <c r="D24" s="1447"/>
      <c r="E24" s="1453"/>
      <c r="F24" s="2451"/>
      <c r="G24" s="447"/>
      <c r="H24" s="1159"/>
      <c r="I24" s="227"/>
      <c r="J24" s="1567"/>
      <c r="K24" s="1568"/>
      <c r="L24" s="1569"/>
      <c r="M24" s="449" t="s">
        <v>132</v>
      </c>
      <c r="N24" s="194">
        <v>338</v>
      </c>
      <c r="O24" s="1721">
        <v>340</v>
      </c>
      <c r="P24" s="1907">
        <v>340</v>
      </c>
    </row>
    <row r="25" spans="1:17" s="1148" customFormat="1" ht="15" customHeight="1" thickBot="1" x14ac:dyDescent="0.25">
      <c r="A25" s="1156"/>
      <c r="B25" s="1160"/>
      <c r="C25" s="1158"/>
      <c r="D25" s="1447"/>
      <c r="E25" s="1453"/>
      <c r="F25" s="2451"/>
      <c r="G25" s="447"/>
      <c r="H25" s="1159"/>
      <c r="I25" s="227"/>
      <c r="J25" s="1575"/>
      <c r="K25" s="259"/>
      <c r="L25" s="543"/>
      <c r="M25" s="1121"/>
      <c r="N25" s="1105"/>
      <c r="O25" s="1329"/>
      <c r="P25" s="1211"/>
    </row>
    <row r="26" spans="1:17" s="1148" customFormat="1" ht="12.75" customHeight="1" x14ac:dyDescent="0.2">
      <c r="A26" s="1161"/>
      <c r="B26" s="1160"/>
      <c r="C26" s="1162"/>
      <c r="D26" s="1452" t="s">
        <v>19</v>
      </c>
      <c r="E26" s="1452"/>
      <c r="F26" s="2564" t="s">
        <v>74</v>
      </c>
      <c r="G26" s="447"/>
      <c r="H26" s="1438"/>
      <c r="I26" s="227"/>
      <c r="J26" s="854"/>
      <c r="K26" s="813"/>
      <c r="L26" s="97"/>
      <c r="M26" s="441" t="s">
        <v>131</v>
      </c>
      <c r="N26" s="1020">
        <v>4</v>
      </c>
      <c r="O26" s="1872">
        <v>4</v>
      </c>
      <c r="P26" s="1750">
        <v>4</v>
      </c>
    </row>
    <row r="27" spans="1:17" s="1148" customFormat="1" ht="15.75" customHeight="1" x14ac:dyDescent="0.2">
      <c r="A27" s="1161"/>
      <c r="B27" s="1160"/>
      <c r="C27" s="1163"/>
      <c r="D27" s="1453"/>
      <c r="E27" s="1453"/>
      <c r="F27" s="2451"/>
      <c r="G27" s="447"/>
      <c r="H27" s="1438"/>
      <c r="I27" s="227"/>
      <c r="J27" s="1575"/>
      <c r="K27" s="259"/>
      <c r="L27" s="543"/>
      <c r="M27" s="449" t="s">
        <v>132</v>
      </c>
      <c r="N27" s="1909">
        <v>1301</v>
      </c>
      <c r="O27" s="1721">
        <v>1300</v>
      </c>
      <c r="P27" s="1907">
        <v>1300</v>
      </c>
    </row>
    <row r="28" spans="1:17" s="1148" customFormat="1" ht="15.75" customHeight="1" thickBot="1" x14ac:dyDescent="0.25">
      <c r="A28" s="1161"/>
      <c r="B28" s="1160"/>
      <c r="C28" s="1163"/>
      <c r="D28" s="1463"/>
      <c r="E28" s="1463"/>
      <c r="F28" s="2467"/>
      <c r="G28" s="447"/>
      <c r="H28" s="1159"/>
      <c r="I28" s="227"/>
      <c r="J28" s="1575"/>
      <c r="K28" s="259"/>
      <c r="L28" s="543"/>
      <c r="M28" s="733" t="s">
        <v>731</v>
      </c>
      <c r="N28" s="227">
        <v>904</v>
      </c>
      <c r="O28" s="139">
        <v>900</v>
      </c>
      <c r="P28" s="1750">
        <v>900</v>
      </c>
    </row>
    <row r="29" spans="1:17" s="1148" customFormat="1" ht="15.75" customHeight="1" x14ac:dyDescent="0.2">
      <c r="A29" s="1164"/>
      <c r="B29" s="1157"/>
      <c r="C29" s="1163"/>
      <c r="D29" s="1453" t="s">
        <v>21</v>
      </c>
      <c r="E29" s="1453"/>
      <c r="F29" s="2451" t="s">
        <v>167</v>
      </c>
      <c r="G29" s="447"/>
      <c r="H29" s="1165"/>
      <c r="I29" s="227"/>
      <c r="J29" s="853"/>
      <c r="K29" s="813"/>
      <c r="L29" s="97"/>
      <c r="M29" s="442" t="s">
        <v>131</v>
      </c>
      <c r="N29" s="1091">
        <v>32</v>
      </c>
      <c r="O29" s="388">
        <v>32</v>
      </c>
      <c r="P29" s="387">
        <v>32</v>
      </c>
    </row>
    <row r="30" spans="1:17" s="1148" customFormat="1" ht="15.75" customHeight="1" x14ac:dyDescent="0.2">
      <c r="A30" s="1164"/>
      <c r="B30" s="1157"/>
      <c r="C30" s="1163"/>
      <c r="D30" s="1453"/>
      <c r="E30" s="1453"/>
      <c r="F30" s="2451"/>
      <c r="G30" s="447"/>
      <c r="H30" s="1165"/>
      <c r="I30" s="227"/>
      <c r="J30" s="1575"/>
      <c r="K30" s="259"/>
      <c r="L30" s="543"/>
      <c r="M30" s="473" t="s">
        <v>132</v>
      </c>
      <c r="N30" s="276">
        <v>17606</v>
      </c>
      <c r="O30" s="136">
        <v>17606</v>
      </c>
      <c r="P30" s="130">
        <v>17606</v>
      </c>
    </row>
    <row r="31" spans="1:17" s="1148" customFormat="1" ht="15.75" customHeight="1" x14ac:dyDescent="0.2">
      <c r="A31" s="1164"/>
      <c r="B31" s="1157"/>
      <c r="C31" s="1163"/>
      <c r="D31" s="1453"/>
      <c r="E31" s="1453"/>
      <c r="F31" s="2451"/>
      <c r="G31" s="447"/>
      <c r="H31" s="1165"/>
      <c r="I31" s="227"/>
      <c r="J31" s="1982"/>
      <c r="K31" s="259"/>
      <c r="L31" s="543"/>
      <c r="M31" s="733" t="s">
        <v>175</v>
      </c>
      <c r="N31" s="1020">
        <v>17423</v>
      </c>
      <c r="O31" s="139">
        <v>17420</v>
      </c>
      <c r="P31" s="1750">
        <v>17420</v>
      </c>
    </row>
    <row r="32" spans="1:17" s="1148" customFormat="1" ht="44.25" customHeight="1" thickBot="1" x14ac:dyDescent="0.25">
      <c r="A32" s="1164"/>
      <c r="B32" s="1157"/>
      <c r="C32" s="1163"/>
      <c r="D32" s="1453"/>
      <c r="E32" s="2085" t="s">
        <v>14</v>
      </c>
      <c r="F32" s="2082" t="s">
        <v>753</v>
      </c>
      <c r="G32" s="447"/>
      <c r="H32" s="1165"/>
      <c r="I32" s="227"/>
      <c r="J32" s="854"/>
      <c r="K32" s="813"/>
      <c r="L32" s="97"/>
      <c r="M32" s="474" t="s">
        <v>131</v>
      </c>
      <c r="N32" s="481">
        <v>6</v>
      </c>
      <c r="O32" s="1077">
        <v>6</v>
      </c>
      <c r="P32" s="133"/>
    </row>
    <row r="33" spans="1:19" s="1148" customFormat="1" ht="21.75" customHeight="1" x14ac:dyDescent="0.2">
      <c r="A33" s="1164"/>
      <c r="B33" s="1157"/>
      <c r="C33" s="1163"/>
      <c r="D33" s="1452" t="s">
        <v>22</v>
      </c>
      <c r="E33" s="1452"/>
      <c r="F33" s="2564" t="s">
        <v>168</v>
      </c>
      <c r="G33" s="447"/>
      <c r="H33" s="1165"/>
      <c r="I33" s="227"/>
      <c r="J33" s="1575"/>
      <c r="K33" s="259"/>
      <c r="L33" s="543"/>
      <c r="M33" s="442" t="s">
        <v>131</v>
      </c>
      <c r="N33" s="1091">
        <v>5</v>
      </c>
      <c r="O33" s="388">
        <v>5</v>
      </c>
      <c r="P33" s="387">
        <v>5</v>
      </c>
    </row>
    <row r="34" spans="1:19" s="1148" customFormat="1" ht="21.75" customHeight="1" thickBot="1" x14ac:dyDescent="0.25">
      <c r="A34" s="1164"/>
      <c r="B34" s="1157"/>
      <c r="C34" s="1163"/>
      <c r="D34" s="1463"/>
      <c r="E34" s="1463"/>
      <c r="F34" s="2467"/>
      <c r="G34" s="447"/>
      <c r="H34" s="1165"/>
      <c r="I34" s="227"/>
      <c r="J34" s="1575"/>
      <c r="K34" s="259"/>
      <c r="L34" s="543"/>
      <c r="M34" s="474" t="s">
        <v>132</v>
      </c>
      <c r="N34" s="481">
        <v>1100</v>
      </c>
      <c r="O34" s="1077">
        <v>1100</v>
      </c>
      <c r="P34" s="133">
        <v>1100</v>
      </c>
    </row>
    <row r="35" spans="1:19" s="1148" customFormat="1" ht="21.75" customHeight="1" x14ac:dyDescent="0.2">
      <c r="A35" s="1164"/>
      <c r="B35" s="1157"/>
      <c r="C35" s="1163"/>
      <c r="D35" s="1453" t="s">
        <v>106</v>
      </c>
      <c r="E35" s="1453"/>
      <c r="F35" s="2354" t="s">
        <v>394</v>
      </c>
      <c r="G35" s="142"/>
      <c r="H35" s="1166"/>
      <c r="I35" s="227"/>
      <c r="J35" s="1575"/>
      <c r="K35" s="259"/>
      <c r="L35" s="543"/>
      <c r="M35" s="2565" t="s">
        <v>333</v>
      </c>
      <c r="N35" s="1116">
        <v>2019</v>
      </c>
      <c r="O35" s="1095">
        <v>2020</v>
      </c>
      <c r="P35" s="1114">
        <v>2020</v>
      </c>
    </row>
    <row r="36" spans="1:19" s="1169" customFormat="1" ht="19.5" customHeight="1" thickBot="1" x14ac:dyDescent="0.25">
      <c r="A36" s="1156"/>
      <c r="B36" s="1157"/>
      <c r="C36" s="1162"/>
      <c r="D36" s="1453"/>
      <c r="E36" s="1453"/>
      <c r="F36" s="2354"/>
      <c r="G36" s="1167"/>
      <c r="H36" s="1168"/>
      <c r="I36" s="1974"/>
      <c r="J36" s="1575"/>
      <c r="K36" s="259"/>
      <c r="L36" s="543"/>
      <c r="M36" s="2466"/>
      <c r="N36" s="1910"/>
      <c r="O36" s="143"/>
      <c r="P36" s="1908"/>
    </row>
    <row r="37" spans="1:19" s="1148" customFormat="1" ht="16.5" customHeight="1" x14ac:dyDescent="0.2">
      <c r="A37" s="1161"/>
      <c r="B37" s="1157"/>
      <c r="C37" s="1163"/>
      <c r="D37" s="1452" t="s">
        <v>107</v>
      </c>
      <c r="E37" s="1452"/>
      <c r="F37" s="2564" t="s">
        <v>164</v>
      </c>
      <c r="G37" s="1868"/>
      <c r="H37" s="1159"/>
      <c r="I37" s="227"/>
      <c r="J37" s="434"/>
      <c r="K37" s="813"/>
      <c r="L37" s="97"/>
      <c r="M37" s="442" t="s">
        <v>131</v>
      </c>
      <c r="N37" s="1091">
        <v>6</v>
      </c>
      <c r="O37" s="386">
        <v>6</v>
      </c>
      <c r="P37" s="387">
        <v>6</v>
      </c>
    </row>
    <row r="38" spans="1:19" s="1148" customFormat="1" ht="15.75" customHeight="1" x14ac:dyDescent="0.2">
      <c r="A38" s="1161"/>
      <c r="B38" s="1157"/>
      <c r="C38" s="1163"/>
      <c r="D38" s="1453"/>
      <c r="E38" s="1453"/>
      <c r="F38" s="2451"/>
      <c r="G38" s="1868"/>
      <c r="H38" s="1159"/>
      <c r="I38" s="227"/>
      <c r="J38" s="1982"/>
      <c r="K38" s="1983"/>
      <c r="L38" s="1984"/>
      <c r="M38" s="473" t="s">
        <v>132</v>
      </c>
      <c r="N38" s="480">
        <v>5564</v>
      </c>
      <c r="O38" s="137">
        <v>5560</v>
      </c>
      <c r="P38" s="130">
        <v>5560</v>
      </c>
      <c r="R38" s="2436"/>
      <c r="S38" s="2436"/>
    </row>
    <row r="39" spans="1:19" s="1148" customFormat="1" ht="43.5" customHeight="1" x14ac:dyDescent="0.2">
      <c r="A39" s="1161"/>
      <c r="B39" s="1157"/>
      <c r="C39" s="1163"/>
      <c r="D39" s="1453"/>
      <c r="E39" s="1453"/>
      <c r="F39" s="2451"/>
      <c r="G39" s="1868"/>
      <c r="H39" s="1159"/>
      <c r="I39" s="227"/>
      <c r="J39" s="1575"/>
      <c r="K39" s="259"/>
      <c r="L39" s="543"/>
      <c r="M39" s="449" t="s">
        <v>334</v>
      </c>
      <c r="N39" s="480">
        <f>SUM(N40:N42)</f>
        <v>230</v>
      </c>
      <c r="O39" s="136">
        <f t="shared" ref="O39:P39" si="0">SUM(O40:O42)</f>
        <v>230</v>
      </c>
      <c r="P39" s="130">
        <f t="shared" si="0"/>
        <v>230</v>
      </c>
      <c r="R39" s="2436"/>
      <c r="S39" s="2436"/>
    </row>
    <row r="40" spans="1:19" s="1148" customFormat="1" ht="17.25" customHeight="1" x14ac:dyDescent="0.2">
      <c r="A40" s="1161"/>
      <c r="B40" s="1157"/>
      <c r="C40" s="1163"/>
      <c r="D40" s="1453"/>
      <c r="E40" s="1453"/>
      <c r="F40" s="2451"/>
      <c r="G40" s="1868"/>
      <c r="H40" s="1159"/>
      <c r="I40" s="227"/>
      <c r="J40" s="1575"/>
      <c r="K40" s="259"/>
      <c r="L40" s="543"/>
      <c r="M40" s="473" t="s">
        <v>335</v>
      </c>
      <c r="N40" s="480">
        <v>100</v>
      </c>
      <c r="O40" s="136">
        <v>100</v>
      </c>
      <c r="P40" s="130">
        <v>100</v>
      </c>
      <c r="R40" s="1872"/>
      <c r="S40" s="1872"/>
    </row>
    <row r="41" spans="1:19" s="1148" customFormat="1" ht="18" customHeight="1" x14ac:dyDescent="0.2">
      <c r="A41" s="1161"/>
      <c r="B41" s="1157"/>
      <c r="C41" s="1163"/>
      <c r="D41" s="1453"/>
      <c r="E41" s="1453"/>
      <c r="F41" s="2451"/>
      <c r="G41" s="1868"/>
      <c r="H41" s="1159"/>
      <c r="I41" s="227"/>
      <c r="J41" s="1575"/>
      <c r="K41" s="259"/>
      <c r="L41" s="543"/>
      <c r="M41" s="473" t="s">
        <v>336</v>
      </c>
      <c r="N41" s="480">
        <v>15</v>
      </c>
      <c r="O41" s="136">
        <v>15</v>
      </c>
      <c r="P41" s="130">
        <v>15</v>
      </c>
      <c r="R41" s="1872"/>
      <c r="S41" s="1872"/>
    </row>
    <row r="42" spans="1:19" s="1148" customFormat="1" ht="30" customHeight="1" x14ac:dyDescent="0.2">
      <c r="A42" s="1161"/>
      <c r="B42" s="1157"/>
      <c r="C42" s="1163"/>
      <c r="D42" s="1453"/>
      <c r="E42" s="1453"/>
      <c r="F42" s="2451"/>
      <c r="G42" s="1868"/>
      <c r="H42" s="1159"/>
      <c r="I42" s="227"/>
      <c r="J42" s="1575"/>
      <c r="K42" s="259"/>
      <c r="L42" s="543"/>
      <c r="M42" s="473" t="s">
        <v>337</v>
      </c>
      <c r="N42" s="480">
        <v>115</v>
      </c>
      <c r="O42" s="136">
        <v>115</v>
      </c>
      <c r="P42" s="130">
        <v>115</v>
      </c>
      <c r="R42" s="1872"/>
      <c r="S42" s="1872"/>
    </row>
    <row r="43" spans="1:19" s="1148" customFormat="1" ht="55.5" customHeight="1" thickBot="1" x14ac:dyDescent="0.25">
      <c r="A43" s="1161"/>
      <c r="B43" s="1157"/>
      <c r="C43" s="1163"/>
      <c r="D43" s="1463"/>
      <c r="E43" s="1463"/>
      <c r="F43" s="2467"/>
      <c r="G43" s="1868"/>
      <c r="H43" s="1159"/>
      <c r="I43" s="227"/>
      <c r="J43" s="1575"/>
      <c r="K43" s="259"/>
      <c r="L43" s="543"/>
      <c r="M43" s="474" t="s">
        <v>338</v>
      </c>
      <c r="N43" s="1117">
        <v>5000</v>
      </c>
      <c r="O43" s="1077">
        <v>5000</v>
      </c>
      <c r="P43" s="133">
        <v>5000</v>
      </c>
      <c r="R43" s="1872"/>
      <c r="S43" s="1872"/>
    </row>
    <row r="44" spans="1:19" s="1148" customFormat="1" ht="12.75" customHeight="1" x14ac:dyDescent="0.2">
      <c r="A44" s="1161"/>
      <c r="B44" s="1157"/>
      <c r="C44" s="1163"/>
      <c r="D44" s="1453" t="s">
        <v>382</v>
      </c>
      <c r="E44" s="1453"/>
      <c r="F44" s="2435" t="s">
        <v>51</v>
      </c>
      <c r="G44" s="1871"/>
      <c r="H44" s="1159"/>
      <c r="I44" s="227"/>
      <c r="J44" s="854"/>
      <c r="K44" s="813"/>
      <c r="L44" s="97"/>
      <c r="M44" s="2289" t="s">
        <v>136</v>
      </c>
      <c r="N44" s="1116">
        <v>8500</v>
      </c>
      <c r="O44" s="1095">
        <v>8500</v>
      </c>
      <c r="P44" s="1114">
        <v>8501</v>
      </c>
    </row>
    <row r="45" spans="1:19" s="1148" customFormat="1" x14ac:dyDescent="0.2">
      <c r="A45" s="1161"/>
      <c r="B45" s="1157"/>
      <c r="C45" s="1163"/>
      <c r="D45" s="1453"/>
      <c r="E45" s="1453"/>
      <c r="F45" s="2435"/>
      <c r="G45" s="1871"/>
      <c r="H45" s="1159"/>
      <c r="I45" s="227"/>
      <c r="J45" s="1575"/>
      <c r="K45" s="259"/>
      <c r="L45" s="543"/>
      <c r="M45" s="2290"/>
      <c r="N45" s="1020"/>
      <c r="O45" s="139"/>
      <c r="P45" s="1750"/>
    </row>
    <row r="46" spans="1:19" s="1148" customFormat="1" ht="13.5" thickBot="1" x14ac:dyDescent="0.25">
      <c r="A46" s="1161"/>
      <c r="B46" s="1157"/>
      <c r="C46" s="1163"/>
      <c r="D46" s="1453"/>
      <c r="E46" s="1453"/>
      <c r="F46" s="2559"/>
      <c r="G46" s="1871"/>
      <c r="H46" s="1159"/>
      <c r="I46" s="227"/>
      <c r="J46" s="1575"/>
      <c r="K46" s="259"/>
      <c r="L46" s="543"/>
      <c r="M46" s="2291"/>
      <c r="N46" s="1020"/>
      <c r="O46" s="139"/>
      <c r="P46" s="1750"/>
    </row>
    <row r="47" spans="1:19" s="1148" customFormat="1" ht="14.25" customHeight="1" x14ac:dyDescent="0.2">
      <c r="A47" s="1161"/>
      <c r="B47" s="1157"/>
      <c r="C47" s="1163"/>
      <c r="D47" s="1470" t="s">
        <v>383</v>
      </c>
      <c r="E47" s="1470"/>
      <c r="F47" s="2359" t="s">
        <v>137</v>
      </c>
      <c r="G47" s="1871"/>
      <c r="H47" s="1159"/>
      <c r="I47" s="227"/>
      <c r="J47" s="1575"/>
      <c r="K47" s="259"/>
      <c r="L47" s="543"/>
      <c r="M47" s="1106" t="s">
        <v>87</v>
      </c>
      <c r="N47" s="1116">
        <v>85</v>
      </c>
      <c r="O47" s="1095">
        <v>100</v>
      </c>
      <c r="P47" s="1114"/>
    </row>
    <row r="48" spans="1:19" s="1148" customFormat="1" ht="14.25" customHeight="1" x14ac:dyDescent="0.2">
      <c r="A48" s="1161"/>
      <c r="B48" s="1157"/>
      <c r="C48" s="1163"/>
      <c r="D48" s="1453"/>
      <c r="E48" s="1453"/>
      <c r="F48" s="2293"/>
      <c r="G48" s="1871"/>
      <c r="H48" s="1159"/>
      <c r="I48" s="227"/>
      <c r="J48" s="1575"/>
      <c r="K48" s="259"/>
      <c r="L48" s="543"/>
      <c r="M48" s="1874"/>
      <c r="N48" s="1020"/>
      <c r="O48" s="139"/>
      <c r="P48" s="1750"/>
    </row>
    <row r="49" spans="1:16" s="1148" customFormat="1" ht="14.25" customHeight="1" thickBot="1" x14ac:dyDescent="0.25">
      <c r="A49" s="1161"/>
      <c r="B49" s="1157"/>
      <c r="C49" s="1163"/>
      <c r="D49" s="1471"/>
      <c r="E49" s="1471"/>
      <c r="F49" s="2426"/>
      <c r="G49" s="1871"/>
      <c r="H49" s="1159"/>
      <c r="I49" s="227"/>
      <c r="J49" s="1575"/>
      <c r="K49" s="259"/>
      <c r="L49" s="543"/>
      <c r="M49" s="470"/>
      <c r="N49" s="1122"/>
      <c r="O49" s="1329"/>
      <c r="P49" s="1211"/>
    </row>
    <row r="50" spans="1:16" s="1148" customFormat="1" ht="12.75" customHeight="1" x14ac:dyDescent="0.2">
      <c r="A50" s="1171"/>
      <c r="B50" s="1160"/>
      <c r="C50" s="1158"/>
      <c r="D50" s="1447" t="s">
        <v>5</v>
      </c>
      <c r="E50" s="1453"/>
      <c r="F50" s="2359" t="s">
        <v>177</v>
      </c>
      <c r="G50" s="1878"/>
      <c r="H50" s="1369"/>
      <c r="I50" s="227"/>
      <c r="J50" s="853"/>
      <c r="K50" s="813"/>
      <c r="L50" s="97"/>
      <c r="M50" s="2289" t="s">
        <v>136</v>
      </c>
      <c r="N50" s="1116">
        <v>150</v>
      </c>
      <c r="O50" s="1095">
        <v>150</v>
      </c>
      <c r="P50" s="1114">
        <v>150</v>
      </c>
    </row>
    <row r="51" spans="1:16" s="1148" customFormat="1" ht="12.75" customHeight="1" x14ac:dyDescent="0.2">
      <c r="A51" s="1171"/>
      <c r="B51" s="1160"/>
      <c r="C51" s="1158"/>
      <c r="D51" s="1447"/>
      <c r="E51" s="1453"/>
      <c r="F51" s="2293"/>
      <c r="G51" s="1878"/>
      <c r="H51" s="1165"/>
      <c r="I51" s="227"/>
      <c r="J51" s="181"/>
      <c r="K51" s="259"/>
      <c r="L51" s="543"/>
      <c r="M51" s="2290"/>
      <c r="N51" s="1092"/>
      <c r="O51" s="311"/>
      <c r="P51" s="1750"/>
    </row>
    <row r="52" spans="1:16" s="1148" customFormat="1" ht="14.25" customHeight="1" thickBot="1" x14ac:dyDescent="0.25">
      <c r="A52" s="1171"/>
      <c r="B52" s="1160"/>
      <c r="C52" s="1158"/>
      <c r="D52" s="1447"/>
      <c r="E52" s="1453"/>
      <c r="F52" s="2426"/>
      <c r="G52" s="1878"/>
      <c r="H52" s="1165"/>
      <c r="I52" s="227"/>
      <c r="J52" s="181"/>
      <c r="K52" s="259"/>
      <c r="L52" s="1620"/>
      <c r="M52" s="2291"/>
      <c r="N52" s="1092"/>
      <c r="O52" s="311"/>
      <c r="P52" s="312"/>
    </row>
    <row r="53" spans="1:16" s="1148" customFormat="1" ht="42" customHeight="1" x14ac:dyDescent="0.2">
      <c r="A53" s="2211"/>
      <c r="B53" s="2212"/>
      <c r="C53" s="2213"/>
      <c r="D53" s="1945" t="s">
        <v>384</v>
      </c>
      <c r="E53" s="1472"/>
      <c r="F53" s="2228" t="s">
        <v>178</v>
      </c>
      <c r="G53" s="2214"/>
      <c r="H53" s="2215"/>
      <c r="I53" s="467"/>
      <c r="J53" s="2230"/>
      <c r="K53" s="2229"/>
      <c r="L53" s="122"/>
      <c r="M53" s="442" t="s">
        <v>339</v>
      </c>
      <c r="N53" s="1091">
        <v>695</v>
      </c>
      <c r="O53" s="388">
        <v>695</v>
      </c>
      <c r="P53" s="387">
        <v>695</v>
      </c>
    </row>
    <row r="54" spans="1:16" ht="21" customHeight="1" x14ac:dyDescent="0.2">
      <c r="A54" s="1171"/>
      <c r="B54" s="1160"/>
      <c r="C54" s="1158"/>
      <c r="D54" s="1447"/>
      <c r="E54" s="1453"/>
      <c r="F54" s="1875"/>
      <c r="G54" s="1871"/>
      <c r="H54" s="1159"/>
      <c r="I54" s="227"/>
      <c r="J54" s="738"/>
      <c r="K54" s="259"/>
      <c r="L54" s="543"/>
      <c r="M54" s="733" t="s">
        <v>340</v>
      </c>
      <c r="N54" s="1020">
        <v>20</v>
      </c>
      <c r="O54" s="139">
        <v>20</v>
      </c>
      <c r="P54" s="1750">
        <v>20</v>
      </c>
    </row>
    <row r="55" spans="1:16" ht="30.75" customHeight="1" thickBot="1" x14ac:dyDescent="0.25">
      <c r="A55" s="1171"/>
      <c r="B55" s="1160"/>
      <c r="C55" s="1158"/>
      <c r="D55" s="1468"/>
      <c r="E55" s="1453"/>
      <c r="F55" s="1875"/>
      <c r="G55" s="1871"/>
      <c r="H55" s="1159"/>
      <c r="I55" s="227"/>
      <c r="J55" s="1972"/>
      <c r="K55" s="259"/>
      <c r="L55" s="543"/>
      <c r="M55" s="474" t="s">
        <v>139</v>
      </c>
      <c r="N55" s="481">
        <v>15000</v>
      </c>
      <c r="O55" s="1111">
        <v>15000</v>
      </c>
      <c r="P55" s="1125">
        <v>15000</v>
      </c>
    </row>
    <row r="56" spans="1:16" ht="21" customHeight="1" x14ac:dyDescent="0.2">
      <c r="A56" s="1171"/>
      <c r="B56" s="1160"/>
      <c r="C56" s="1158"/>
      <c r="D56" s="1447" t="s">
        <v>385</v>
      </c>
      <c r="E56" s="1470"/>
      <c r="F56" s="2297" t="s">
        <v>395</v>
      </c>
      <c r="G56" s="1871"/>
      <c r="H56" s="1172"/>
      <c r="I56" s="227"/>
      <c r="J56" s="181"/>
      <c r="K56" s="259"/>
      <c r="L56" s="543"/>
      <c r="M56" s="442" t="s">
        <v>141</v>
      </c>
      <c r="N56" s="1091">
        <v>158</v>
      </c>
      <c r="O56" s="388">
        <v>160</v>
      </c>
      <c r="P56" s="1173">
        <v>160</v>
      </c>
    </row>
    <row r="57" spans="1:16" ht="21" customHeight="1" thickBot="1" x14ac:dyDescent="0.25">
      <c r="A57" s="1171"/>
      <c r="B57" s="1160"/>
      <c r="C57" s="1158"/>
      <c r="D57" s="1447"/>
      <c r="E57" s="1453"/>
      <c r="F57" s="2355"/>
      <c r="G57" s="724"/>
      <c r="H57" s="1172"/>
      <c r="I57" s="227"/>
      <c r="J57" s="181"/>
      <c r="K57" s="259"/>
      <c r="L57" s="543"/>
      <c r="M57" s="474" t="s">
        <v>142</v>
      </c>
      <c r="N57" s="1117">
        <v>9</v>
      </c>
      <c r="O57" s="1077">
        <v>9</v>
      </c>
      <c r="P57" s="170">
        <v>9</v>
      </c>
    </row>
    <row r="58" spans="1:16" ht="28.5" customHeight="1" x14ac:dyDescent="0.2">
      <c r="A58" s="1156"/>
      <c r="B58" s="1160"/>
      <c r="C58" s="1158"/>
      <c r="D58" s="1469" t="s">
        <v>386</v>
      </c>
      <c r="E58" s="1470"/>
      <c r="F58" s="2359" t="s">
        <v>341</v>
      </c>
      <c r="G58" s="1871"/>
      <c r="H58" s="1172"/>
      <c r="I58" s="227"/>
      <c r="J58" s="1575"/>
      <c r="K58" s="259"/>
      <c r="L58" s="543"/>
      <c r="M58" s="442" t="s">
        <v>342</v>
      </c>
      <c r="N58" s="487">
        <v>1</v>
      </c>
      <c r="O58" s="388"/>
      <c r="P58" s="387"/>
    </row>
    <row r="59" spans="1:16" ht="15.75" customHeight="1" x14ac:dyDescent="0.2">
      <c r="A59" s="1156"/>
      <c r="B59" s="1160"/>
      <c r="C59" s="1158"/>
      <c r="D59" s="1447"/>
      <c r="E59" s="1453"/>
      <c r="F59" s="2293"/>
      <c r="G59" s="1871"/>
      <c r="H59" s="1172"/>
      <c r="I59" s="227"/>
      <c r="J59" s="1575"/>
      <c r="K59" s="259"/>
      <c r="L59" s="543"/>
      <c r="M59" s="473" t="s">
        <v>343</v>
      </c>
      <c r="N59" s="276">
        <v>5</v>
      </c>
      <c r="O59" s="137"/>
      <c r="P59" s="130"/>
    </row>
    <row r="60" spans="1:16" ht="18" customHeight="1" x14ac:dyDescent="0.2">
      <c r="A60" s="1156"/>
      <c r="B60" s="1160"/>
      <c r="C60" s="1158"/>
      <c r="D60" s="1468"/>
      <c r="E60" s="1471"/>
      <c r="F60" s="2426"/>
      <c r="G60" s="1871"/>
      <c r="H60" s="1172"/>
      <c r="I60" s="227"/>
      <c r="J60" s="1575"/>
      <c r="K60" s="259"/>
      <c r="L60" s="543"/>
      <c r="M60" s="733" t="s">
        <v>141</v>
      </c>
      <c r="N60" s="227"/>
      <c r="O60" s="139">
        <v>30</v>
      </c>
      <c r="P60" s="1750">
        <v>30</v>
      </c>
    </row>
    <row r="61" spans="1:16" ht="42" customHeight="1" thickBot="1" x14ac:dyDescent="0.25">
      <c r="A61" s="1156"/>
      <c r="B61" s="1160"/>
      <c r="C61" s="1158"/>
      <c r="D61" s="1447" t="s">
        <v>387</v>
      </c>
      <c r="E61" s="1453"/>
      <c r="F61" s="1877" t="s">
        <v>241</v>
      </c>
      <c r="G61" s="724"/>
      <c r="H61" s="1172"/>
      <c r="I61" s="227"/>
      <c r="J61" s="1567"/>
      <c r="K61" s="1568"/>
      <c r="L61" s="1569"/>
      <c r="M61" s="1873"/>
      <c r="N61" s="194"/>
      <c r="O61" s="1721"/>
      <c r="P61" s="1907"/>
    </row>
    <row r="62" spans="1:16" ht="15.75" customHeight="1" x14ac:dyDescent="0.2">
      <c r="A62" s="1156"/>
      <c r="B62" s="1160"/>
      <c r="C62" s="1158"/>
      <c r="D62" s="1447"/>
      <c r="E62" s="1472" t="s">
        <v>14</v>
      </c>
      <c r="F62" s="403" t="s">
        <v>143</v>
      </c>
      <c r="G62" s="1871"/>
      <c r="H62" s="1172"/>
      <c r="I62" s="227"/>
      <c r="J62" s="1575"/>
      <c r="K62" s="259"/>
      <c r="L62" s="543"/>
      <c r="M62" s="1867" t="s">
        <v>745</v>
      </c>
      <c r="N62" s="1091">
        <v>62</v>
      </c>
      <c r="O62" s="388">
        <v>92</v>
      </c>
      <c r="P62" s="1173">
        <v>122</v>
      </c>
    </row>
    <row r="63" spans="1:16" ht="17.25" customHeight="1" thickBot="1" x14ac:dyDescent="0.25">
      <c r="A63" s="1156"/>
      <c r="B63" s="1160"/>
      <c r="C63" s="1158"/>
      <c r="D63" s="1447"/>
      <c r="E63" s="1453" t="s">
        <v>17</v>
      </c>
      <c r="F63" s="403" t="s">
        <v>144</v>
      </c>
      <c r="G63" s="1871"/>
      <c r="H63" s="1172"/>
      <c r="I63" s="227"/>
      <c r="J63" s="1575"/>
      <c r="K63" s="259"/>
      <c r="L63" s="543"/>
      <c r="M63" s="470" t="s">
        <v>131</v>
      </c>
      <c r="N63" s="1105">
        <v>2</v>
      </c>
      <c r="O63" s="1329">
        <v>2</v>
      </c>
      <c r="P63" s="178"/>
    </row>
    <row r="64" spans="1:16" ht="29.25" customHeight="1" x14ac:dyDescent="0.2">
      <c r="A64" s="1156"/>
      <c r="B64" s="1160"/>
      <c r="C64" s="1158"/>
      <c r="D64" s="1447"/>
      <c r="E64" s="1470" t="s">
        <v>19</v>
      </c>
      <c r="F64" s="1689" t="s">
        <v>721</v>
      </c>
      <c r="G64" s="1864" t="s">
        <v>239</v>
      </c>
      <c r="H64" s="1172"/>
      <c r="I64" s="227"/>
      <c r="J64" s="854"/>
      <c r="K64" s="259"/>
      <c r="L64" s="543"/>
      <c r="M64" s="1106"/>
      <c r="N64" s="234"/>
      <c r="O64" s="1095"/>
      <c r="P64" s="636"/>
    </row>
    <row r="65" spans="1:16" ht="15.75" customHeight="1" x14ac:dyDescent="0.2">
      <c r="A65" s="1156"/>
      <c r="B65" s="1160"/>
      <c r="C65" s="1158"/>
      <c r="D65" s="1447"/>
      <c r="E65" s="1453"/>
      <c r="F65" s="2566" t="s">
        <v>726</v>
      </c>
      <c r="G65" s="447"/>
      <c r="H65" s="1172"/>
      <c r="I65" s="227"/>
      <c r="J65" s="434"/>
      <c r="K65" s="813"/>
      <c r="L65" s="97"/>
      <c r="M65" s="1865" t="s">
        <v>133</v>
      </c>
      <c r="N65" s="467">
        <v>170</v>
      </c>
      <c r="O65" s="143">
        <v>250</v>
      </c>
      <c r="P65" s="593">
        <v>340</v>
      </c>
    </row>
    <row r="66" spans="1:16" ht="15.75" customHeight="1" x14ac:dyDescent="0.2">
      <c r="A66" s="1156"/>
      <c r="B66" s="1160"/>
      <c r="C66" s="1158"/>
      <c r="D66" s="1447"/>
      <c r="E66" s="1453"/>
      <c r="F66" s="2567"/>
      <c r="G66" s="447"/>
      <c r="H66" s="1172"/>
      <c r="I66" s="227"/>
      <c r="J66" s="854"/>
      <c r="K66" s="813"/>
      <c r="L66" s="97"/>
      <c r="M66" s="1874" t="s">
        <v>723</v>
      </c>
      <c r="N66" s="227">
        <v>8</v>
      </c>
      <c r="O66" s="139">
        <v>12</v>
      </c>
      <c r="P66" s="592">
        <v>16</v>
      </c>
    </row>
    <row r="67" spans="1:16" ht="30" customHeight="1" thickBot="1" x14ac:dyDescent="0.25">
      <c r="A67" s="1156"/>
      <c r="B67" s="1160"/>
      <c r="C67" s="1158"/>
      <c r="D67" s="1447"/>
      <c r="E67" s="1471"/>
      <c r="F67" s="403" t="s">
        <v>722</v>
      </c>
      <c r="G67" s="447"/>
      <c r="H67" s="1172"/>
      <c r="I67" s="227"/>
      <c r="J67" s="854"/>
      <c r="K67" s="813"/>
      <c r="L67" s="97"/>
      <c r="M67" s="1685" t="s">
        <v>724</v>
      </c>
      <c r="N67" s="1117">
        <v>2</v>
      </c>
      <c r="O67" s="1077">
        <v>4</v>
      </c>
      <c r="P67" s="443"/>
    </row>
    <row r="68" spans="1:16" ht="18" customHeight="1" x14ac:dyDescent="0.2">
      <c r="A68" s="1174"/>
      <c r="B68" s="1175"/>
      <c r="C68" s="1176"/>
      <c r="D68" s="1447"/>
      <c r="E68" s="1453" t="s">
        <v>21</v>
      </c>
      <c r="F68" s="2297" t="s">
        <v>737</v>
      </c>
      <c r="G68" s="2568" t="s">
        <v>46</v>
      </c>
      <c r="H68" s="1159"/>
      <c r="I68" s="227"/>
      <c r="J68" s="1575"/>
      <c r="K68" s="259"/>
      <c r="L68" s="543"/>
      <c r="M68" s="442" t="s">
        <v>131</v>
      </c>
      <c r="N68" s="487">
        <v>4</v>
      </c>
      <c r="O68" s="388">
        <v>0</v>
      </c>
      <c r="P68" s="1173">
        <v>0</v>
      </c>
    </row>
    <row r="69" spans="1:16" ht="18" customHeight="1" thickBot="1" x14ac:dyDescent="0.25">
      <c r="A69" s="1174"/>
      <c r="B69" s="1175"/>
      <c r="C69" s="1176"/>
      <c r="D69" s="1447"/>
      <c r="E69" s="1453"/>
      <c r="F69" s="2355"/>
      <c r="G69" s="2569"/>
      <c r="H69" s="1159"/>
      <c r="I69" s="227"/>
      <c r="J69" s="1575"/>
      <c r="K69" s="259"/>
      <c r="L69" s="543"/>
      <c r="M69" s="1874" t="s">
        <v>133</v>
      </c>
      <c r="N69" s="227">
        <v>44</v>
      </c>
      <c r="O69" s="139">
        <v>0</v>
      </c>
      <c r="P69" s="79">
        <v>0</v>
      </c>
    </row>
    <row r="70" spans="1:16" ht="29.25" customHeight="1" x14ac:dyDescent="0.2">
      <c r="A70" s="1156"/>
      <c r="B70" s="1160"/>
      <c r="C70" s="1158"/>
      <c r="D70" s="1447"/>
      <c r="E70" s="1470" t="s">
        <v>22</v>
      </c>
      <c r="F70" s="1869" t="s">
        <v>345</v>
      </c>
      <c r="G70" s="1871"/>
      <c r="H70" s="1172"/>
      <c r="I70" s="227"/>
      <c r="J70" s="1575"/>
      <c r="K70" s="259"/>
      <c r="L70" s="543"/>
      <c r="M70" s="442" t="s">
        <v>346</v>
      </c>
      <c r="N70" s="1091">
        <v>1</v>
      </c>
      <c r="O70" s="386"/>
      <c r="P70" s="387"/>
    </row>
    <row r="71" spans="1:16" ht="31.5" customHeight="1" x14ac:dyDescent="0.2">
      <c r="A71" s="1156"/>
      <c r="B71" s="1160"/>
      <c r="C71" s="1158"/>
      <c r="D71" s="1447"/>
      <c r="E71" s="1453"/>
      <c r="F71" s="1879"/>
      <c r="G71" s="1871"/>
      <c r="H71" s="1172"/>
      <c r="I71" s="227"/>
      <c r="J71" s="1575"/>
      <c r="K71" s="259"/>
      <c r="L71" s="543"/>
      <c r="M71" s="733" t="s">
        <v>347</v>
      </c>
      <c r="N71" s="1020"/>
      <c r="O71" s="1911">
        <v>53</v>
      </c>
      <c r="P71" s="1907">
        <v>51</v>
      </c>
    </row>
    <row r="72" spans="1:16" ht="16.5" customHeight="1" thickBot="1" x14ac:dyDescent="0.25">
      <c r="A72" s="1156"/>
      <c r="B72" s="1160"/>
      <c r="C72" s="1158"/>
      <c r="D72" s="1468"/>
      <c r="E72" s="1471"/>
      <c r="F72" s="1870"/>
      <c r="G72" s="1871"/>
      <c r="H72" s="1172"/>
      <c r="I72" s="227"/>
      <c r="J72" s="1575"/>
      <c r="K72" s="259"/>
      <c r="L72" s="543"/>
      <c r="M72" s="474" t="s">
        <v>348</v>
      </c>
      <c r="N72" s="1123">
        <v>1.26</v>
      </c>
      <c r="O72" s="1124">
        <v>1.47</v>
      </c>
      <c r="P72" s="1177">
        <v>1.53</v>
      </c>
    </row>
    <row r="73" spans="1:16" ht="53.25" customHeight="1" x14ac:dyDescent="0.2">
      <c r="A73" s="1178"/>
      <c r="B73" s="1179"/>
      <c r="C73" s="1180"/>
      <c r="D73" s="1453" t="s">
        <v>388</v>
      </c>
      <c r="E73" s="1453"/>
      <c r="F73" s="1869" t="s">
        <v>88</v>
      </c>
      <c r="G73" s="524"/>
      <c r="H73" s="1181"/>
      <c r="I73" s="1974"/>
      <c r="J73" s="181"/>
      <c r="K73" s="261"/>
      <c r="L73" s="543"/>
      <c r="M73" s="384" t="s">
        <v>180</v>
      </c>
      <c r="N73" s="471">
        <v>470</v>
      </c>
      <c r="O73" s="370">
        <v>470</v>
      </c>
      <c r="P73" s="371">
        <v>470</v>
      </c>
    </row>
    <row r="74" spans="1:16" ht="78.75" customHeight="1" x14ac:dyDescent="0.2">
      <c r="A74" s="1178"/>
      <c r="B74" s="1179"/>
      <c r="C74" s="1180"/>
      <c r="D74" s="1453"/>
      <c r="E74" s="1453"/>
      <c r="F74" s="2086"/>
      <c r="G74" s="525"/>
      <c r="H74" s="1181"/>
      <c r="I74" s="2087"/>
      <c r="J74" s="181"/>
      <c r="K74" s="261"/>
      <c r="L74" s="543"/>
      <c r="M74" s="128" t="s">
        <v>755</v>
      </c>
      <c r="N74" s="215">
        <v>72</v>
      </c>
      <c r="O74" s="164">
        <v>72</v>
      </c>
      <c r="P74" s="79">
        <v>72</v>
      </c>
    </row>
    <row r="75" spans="1:16" ht="16.5" customHeight="1" thickBot="1" x14ac:dyDescent="0.25">
      <c r="A75" s="1178"/>
      <c r="B75" s="1179"/>
      <c r="C75" s="1180"/>
      <c r="D75" s="1453"/>
      <c r="E75" s="1453"/>
      <c r="F75" s="1870"/>
      <c r="G75" s="1882"/>
      <c r="H75" s="1168"/>
      <c r="I75" s="1974"/>
      <c r="J75" s="738"/>
      <c r="K75" s="1962"/>
      <c r="L75" s="97"/>
      <c r="M75" s="457" t="s">
        <v>145</v>
      </c>
      <c r="N75" s="1093">
        <v>11</v>
      </c>
      <c r="O75" s="169">
        <v>11</v>
      </c>
      <c r="P75" s="170">
        <v>11</v>
      </c>
    </row>
    <row r="76" spans="1:16" ht="18.75" customHeight="1" thickBot="1" x14ac:dyDescent="0.25">
      <c r="A76" s="1178"/>
      <c r="B76" s="1179"/>
      <c r="C76" s="1180"/>
      <c r="D76" s="1472" t="s">
        <v>389</v>
      </c>
      <c r="E76" s="1472"/>
      <c r="F76" s="403" t="s">
        <v>58</v>
      </c>
      <c r="G76" s="1882"/>
      <c r="H76" s="1168"/>
      <c r="I76" s="1186"/>
      <c r="J76" s="181"/>
      <c r="K76" s="261"/>
      <c r="L76" s="175"/>
      <c r="M76" s="1107" t="s">
        <v>146</v>
      </c>
      <c r="N76" s="1132">
        <v>17</v>
      </c>
      <c r="O76" s="1131">
        <v>17</v>
      </c>
      <c r="P76" s="1183">
        <v>17</v>
      </c>
    </row>
    <row r="77" spans="1:16" ht="18.75" customHeight="1" thickBot="1" x14ac:dyDescent="0.25">
      <c r="A77" s="1178"/>
      <c r="B77" s="1179"/>
      <c r="C77" s="1176"/>
      <c r="D77" s="1447" t="s">
        <v>390</v>
      </c>
      <c r="E77" s="1453"/>
      <c r="F77" s="403" t="s">
        <v>120</v>
      </c>
      <c r="G77" s="235"/>
      <c r="H77" s="1184"/>
      <c r="I77" s="1186"/>
      <c r="J77" s="181"/>
      <c r="K77" s="261"/>
      <c r="L77" s="175"/>
      <c r="M77" s="1108" t="s">
        <v>132</v>
      </c>
      <c r="N77" s="234">
        <v>1166</v>
      </c>
      <c r="O77" s="635">
        <v>1166</v>
      </c>
      <c r="P77" s="1185">
        <v>1166</v>
      </c>
    </row>
    <row r="78" spans="1:16" ht="19.5" customHeight="1" x14ac:dyDescent="0.2">
      <c r="A78" s="1178"/>
      <c r="B78" s="1179"/>
      <c r="C78" s="1176"/>
      <c r="D78" s="1469" t="s">
        <v>391</v>
      </c>
      <c r="E78" s="1470"/>
      <c r="F78" s="2297" t="s">
        <v>349</v>
      </c>
      <c r="G78" s="235"/>
      <c r="H78" s="1184"/>
      <c r="I78" s="1186"/>
      <c r="J78" s="181"/>
      <c r="K78" s="261"/>
      <c r="L78" s="175"/>
      <c r="M78" s="135" t="s">
        <v>131</v>
      </c>
      <c r="N78" s="1188">
        <v>1</v>
      </c>
      <c r="O78" s="1189">
        <v>1</v>
      </c>
      <c r="P78" s="1190">
        <v>1</v>
      </c>
    </row>
    <row r="79" spans="1:16" s="1148" customFormat="1" ht="19.5" customHeight="1" thickBot="1" x14ac:dyDescent="0.25">
      <c r="A79" s="1178"/>
      <c r="B79" s="1179"/>
      <c r="C79" s="1176"/>
      <c r="D79" s="1468"/>
      <c r="E79" s="1471"/>
      <c r="F79" s="2355"/>
      <c r="G79" s="235"/>
      <c r="H79" s="1184"/>
      <c r="I79" s="1186"/>
      <c r="J79" s="181"/>
      <c r="K79" s="261"/>
      <c r="L79" s="175"/>
      <c r="M79" s="457" t="s">
        <v>132</v>
      </c>
      <c r="N79" s="1193">
        <v>9</v>
      </c>
      <c r="O79" s="1194">
        <v>10</v>
      </c>
      <c r="P79" s="1195">
        <v>10</v>
      </c>
    </row>
    <row r="80" spans="1:16" ht="18.75" customHeight="1" x14ac:dyDescent="0.2">
      <c r="A80" s="1196"/>
      <c r="B80" s="1179"/>
      <c r="C80" s="1180"/>
      <c r="D80" s="1453" t="s">
        <v>392</v>
      </c>
      <c r="E80" s="1453"/>
      <c r="F80" s="2297" t="s">
        <v>147</v>
      </c>
      <c r="G80" s="1882"/>
      <c r="H80" s="1168"/>
      <c r="I80" s="34"/>
      <c r="J80" s="181"/>
      <c r="K80" s="261"/>
      <c r="L80" s="175"/>
      <c r="M80" s="127" t="s">
        <v>131</v>
      </c>
      <c r="N80" s="227">
        <v>92</v>
      </c>
      <c r="O80" s="114">
        <v>92</v>
      </c>
      <c r="P80" s="1750"/>
    </row>
    <row r="81" spans="1:20" ht="25.5" customHeight="1" thickBot="1" x14ac:dyDescent="0.25">
      <c r="A81" s="1198"/>
      <c r="B81" s="1199"/>
      <c r="C81" s="1200"/>
      <c r="D81" s="1460"/>
      <c r="E81" s="1463"/>
      <c r="F81" s="2298"/>
      <c r="G81" s="2574" t="s">
        <v>54</v>
      </c>
      <c r="H81" s="2403"/>
      <c r="I81" s="2575"/>
      <c r="J81" s="165">
        <f>SUM(J13:J80)</f>
        <v>78000</v>
      </c>
      <c r="K81" s="249">
        <f>SUM(K13:K80)</f>
        <v>78534.799999999988</v>
      </c>
      <c r="L81" s="429">
        <f>SUM(L13:L80)</f>
        <v>78168.799999999988</v>
      </c>
      <c r="M81" s="1890"/>
      <c r="N81" s="1202"/>
      <c r="O81" s="1203"/>
      <c r="P81" s="1204"/>
    </row>
    <row r="82" spans="1:20" ht="32.25" customHeight="1" x14ac:dyDescent="0.2">
      <c r="A82" s="1205" t="s">
        <v>14</v>
      </c>
      <c r="B82" s="1206" t="s">
        <v>14</v>
      </c>
      <c r="C82" s="1207" t="s">
        <v>17</v>
      </c>
      <c r="D82" s="1445"/>
      <c r="E82" s="1445"/>
      <c r="F82" s="1892" t="s">
        <v>89</v>
      </c>
      <c r="G82" s="1887"/>
      <c r="H82" s="1208">
        <v>2</v>
      </c>
      <c r="I82" s="1209"/>
      <c r="J82" s="1590"/>
      <c r="K82" s="1587"/>
      <c r="L82" s="1588"/>
      <c r="M82" s="336"/>
      <c r="N82" s="634"/>
      <c r="O82" s="635"/>
      <c r="P82" s="636"/>
    </row>
    <row r="83" spans="1:20" ht="40.5" customHeight="1" x14ac:dyDescent="0.2">
      <c r="A83" s="1178"/>
      <c r="B83" s="1179"/>
      <c r="C83" s="1180"/>
      <c r="D83" s="1472" t="s">
        <v>14</v>
      </c>
      <c r="E83" s="1472"/>
      <c r="F83" s="199" t="s">
        <v>90</v>
      </c>
      <c r="G83" s="1882"/>
      <c r="H83" s="1168"/>
      <c r="I83" s="1263" t="s">
        <v>18</v>
      </c>
      <c r="J83" s="1419">
        <v>205.4</v>
      </c>
      <c r="K83" s="1420">
        <f>+J83</f>
        <v>205.4</v>
      </c>
      <c r="L83" s="1421">
        <f>+K83</f>
        <v>205.4</v>
      </c>
      <c r="M83" s="384" t="s">
        <v>132</v>
      </c>
      <c r="N83" s="490">
        <v>2692</v>
      </c>
      <c r="O83" s="404">
        <v>2690</v>
      </c>
      <c r="P83" s="1422">
        <v>2690</v>
      </c>
      <c r="T83" s="1145" t="s">
        <v>81</v>
      </c>
    </row>
    <row r="84" spans="1:20" s="1148" customFormat="1" ht="18" customHeight="1" x14ac:dyDescent="0.2">
      <c r="A84" s="1178"/>
      <c r="B84" s="1179"/>
      <c r="C84" s="1180"/>
      <c r="D84" s="1446" t="s">
        <v>17</v>
      </c>
      <c r="E84" s="1446"/>
      <c r="F84" s="1880" t="s">
        <v>57</v>
      </c>
      <c r="G84" s="1882"/>
      <c r="H84" s="1168"/>
      <c r="I84" s="1186" t="s">
        <v>15</v>
      </c>
      <c r="J84" s="1972">
        <v>125.9</v>
      </c>
      <c r="K84" s="261">
        <f>90-20</f>
        <v>70</v>
      </c>
      <c r="L84" s="175">
        <f>100-30</f>
        <v>70</v>
      </c>
      <c r="M84" s="1973" t="s">
        <v>183</v>
      </c>
      <c r="N84" s="1974">
        <v>4800</v>
      </c>
      <c r="O84" s="1975">
        <v>4801</v>
      </c>
      <c r="P84" s="1976">
        <v>4802</v>
      </c>
      <c r="Q84" s="1119"/>
      <c r="R84" s="1119"/>
      <c r="S84" s="1119"/>
    </row>
    <row r="85" spans="1:20" ht="41.25" customHeight="1" x14ac:dyDescent="0.2">
      <c r="A85" s="1164"/>
      <c r="B85" s="1179"/>
      <c r="C85" s="1180"/>
      <c r="D85" s="1472" t="s">
        <v>19</v>
      </c>
      <c r="E85" s="1472"/>
      <c r="F85" s="74" t="s">
        <v>96</v>
      </c>
      <c r="G85" s="1882"/>
      <c r="H85" s="1184"/>
      <c r="I85" s="824"/>
      <c r="J85" s="1604"/>
      <c r="K85" s="1319"/>
      <c r="L85" s="1320"/>
      <c r="M85" s="384" t="s">
        <v>184</v>
      </c>
      <c r="N85" s="471">
        <v>25</v>
      </c>
      <c r="O85" s="370"/>
      <c r="P85" s="371"/>
      <c r="Q85" s="500"/>
    </row>
    <row r="86" spans="1:20" ht="29.25" customHeight="1" x14ac:dyDescent="0.2">
      <c r="A86" s="1164"/>
      <c r="B86" s="1179"/>
      <c r="C86" s="1180"/>
      <c r="D86" s="1446" t="s">
        <v>21</v>
      </c>
      <c r="E86" s="1446"/>
      <c r="F86" s="2317" t="s">
        <v>77</v>
      </c>
      <c r="G86" s="1882"/>
      <c r="H86" s="1184"/>
      <c r="I86" s="34" t="s">
        <v>113</v>
      </c>
      <c r="J86" s="181">
        <v>653.20000000000005</v>
      </c>
      <c r="K86" s="261">
        <v>653.20000000000005</v>
      </c>
      <c r="L86" s="175">
        <v>653.20000000000005</v>
      </c>
      <c r="M86" s="1889" t="s">
        <v>184</v>
      </c>
      <c r="N86" s="215">
        <v>100</v>
      </c>
      <c r="O86" s="164">
        <v>100</v>
      </c>
      <c r="P86" s="79">
        <v>100</v>
      </c>
      <c r="Q86" s="500"/>
    </row>
    <row r="87" spans="1:20" ht="15.75" customHeight="1" thickBot="1" x14ac:dyDescent="0.25">
      <c r="A87" s="1212"/>
      <c r="B87" s="1213"/>
      <c r="C87" s="1214"/>
      <c r="D87" s="1449"/>
      <c r="E87" s="1449"/>
      <c r="F87" s="2306"/>
      <c r="G87" s="1888"/>
      <c r="H87" s="1215"/>
      <c r="I87" s="36" t="s">
        <v>16</v>
      </c>
      <c r="J87" s="165">
        <f>SUM(J83:J86)</f>
        <v>984.5</v>
      </c>
      <c r="K87" s="425">
        <f>SUM(K83:K86)</f>
        <v>928.6</v>
      </c>
      <c r="L87" s="429">
        <f>SUM(L83:L86)</f>
        <v>928.6</v>
      </c>
      <c r="M87" s="177"/>
      <c r="N87" s="492"/>
      <c r="O87" s="398"/>
      <c r="P87" s="178"/>
    </row>
    <row r="88" spans="1:20" ht="29.25" customHeight="1" x14ac:dyDescent="0.2">
      <c r="A88" s="1205" t="s">
        <v>14</v>
      </c>
      <c r="B88" s="1206" t="s">
        <v>14</v>
      </c>
      <c r="C88" s="1207" t="s">
        <v>19</v>
      </c>
      <c r="D88" s="1445"/>
      <c r="E88" s="1445"/>
      <c r="F88" s="1885" t="s">
        <v>68</v>
      </c>
      <c r="G88" s="1882"/>
      <c r="H88" s="1181">
        <v>1</v>
      </c>
      <c r="I88" s="634" t="s">
        <v>15</v>
      </c>
      <c r="J88" s="181">
        <v>3.9</v>
      </c>
      <c r="K88" s="261">
        <v>3.9</v>
      </c>
      <c r="L88" s="261">
        <v>3.9</v>
      </c>
      <c r="M88" s="336" t="s">
        <v>152</v>
      </c>
      <c r="N88" s="634">
        <v>10</v>
      </c>
      <c r="O88" s="635">
        <v>10</v>
      </c>
      <c r="P88" s="636">
        <v>10</v>
      </c>
    </row>
    <row r="89" spans="1:20" ht="18" customHeight="1" thickBot="1" x14ac:dyDescent="0.25">
      <c r="A89" s="1216"/>
      <c r="B89" s="1199"/>
      <c r="C89" s="1214"/>
      <c r="D89" s="1449"/>
      <c r="E89" s="1449"/>
      <c r="F89" s="458"/>
      <c r="G89" s="1888"/>
      <c r="H89" s="1217"/>
      <c r="I89" s="36" t="s">
        <v>16</v>
      </c>
      <c r="J89" s="165">
        <f t="shared" ref="J89:L89" si="1">J88</f>
        <v>3.9</v>
      </c>
      <c r="K89" s="249">
        <f t="shared" si="1"/>
        <v>3.9</v>
      </c>
      <c r="L89" s="249">
        <f t="shared" si="1"/>
        <v>3.9</v>
      </c>
      <c r="M89" s="128" t="s">
        <v>133</v>
      </c>
      <c r="N89" s="215">
        <v>860</v>
      </c>
      <c r="O89" s="164">
        <v>860</v>
      </c>
      <c r="P89" s="79">
        <v>860</v>
      </c>
    </row>
    <row r="90" spans="1:20" ht="18" customHeight="1" x14ac:dyDescent="0.2">
      <c r="A90" s="1150" t="s">
        <v>14</v>
      </c>
      <c r="B90" s="1206" t="s">
        <v>14</v>
      </c>
      <c r="C90" s="1207" t="s">
        <v>21</v>
      </c>
      <c r="D90" s="1445"/>
      <c r="E90" s="1445"/>
      <c r="F90" s="2305" t="s">
        <v>163</v>
      </c>
      <c r="G90" s="1887"/>
      <c r="H90" s="1218">
        <v>2</v>
      </c>
      <c r="I90" s="33" t="s">
        <v>15</v>
      </c>
      <c r="J90" s="181">
        <v>17.8</v>
      </c>
      <c r="K90" s="261">
        <v>17.8</v>
      </c>
      <c r="L90" s="261">
        <v>17.8</v>
      </c>
      <c r="M90" s="2389" t="s">
        <v>185</v>
      </c>
      <c r="N90" s="634">
        <v>39</v>
      </c>
      <c r="O90" s="635">
        <v>39</v>
      </c>
      <c r="P90" s="636">
        <v>39</v>
      </c>
    </row>
    <row r="91" spans="1:20" ht="16.5" customHeight="1" thickBot="1" x14ac:dyDescent="0.25">
      <c r="A91" s="1212"/>
      <c r="B91" s="1213"/>
      <c r="C91" s="1214"/>
      <c r="D91" s="1449"/>
      <c r="E91" s="1449"/>
      <c r="F91" s="2306"/>
      <c r="G91" s="1888"/>
      <c r="H91" s="1215"/>
      <c r="I91" s="36" t="s">
        <v>16</v>
      </c>
      <c r="J91" s="165">
        <f t="shared" ref="J91" si="2">SUM(J90)</f>
        <v>17.8</v>
      </c>
      <c r="K91" s="249">
        <f t="shared" ref="K91:L91" si="3">SUM(K90)</f>
        <v>17.8</v>
      </c>
      <c r="L91" s="249">
        <f t="shared" si="3"/>
        <v>17.8</v>
      </c>
      <c r="M91" s="2300"/>
      <c r="N91" s="492"/>
      <c r="O91" s="398"/>
      <c r="P91" s="178"/>
    </row>
    <row r="92" spans="1:20" ht="41.25" customHeight="1" x14ac:dyDescent="0.2">
      <c r="A92" s="1219" t="s">
        <v>14</v>
      </c>
      <c r="B92" s="1206" t="s">
        <v>14</v>
      </c>
      <c r="C92" s="1207" t="s">
        <v>22</v>
      </c>
      <c r="D92" s="1445"/>
      <c r="E92" s="1445"/>
      <c r="F92" s="2305" t="s">
        <v>153</v>
      </c>
      <c r="G92" s="1887" t="s">
        <v>48</v>
      </c>
      <c r="H92" s="1218">
        <v>2</v>
      </c>
      <c r="I92" s="33" t="s">
        <v>15</v>
      </c>
      <c r="J92" s="1633">
        <v>60.5</v>
      </c>
      <c r="K92" s="1985">
        <v>57.7</v>
      </c>
      <c r="L92" s="1635">
        <v>53.5</v>
      </c>
      <c r="M92" s="244" t="s">
        <v>99</v>
      </c>
      <c r="N92" s="1224">
        <v>7800</v>
      </c>
      <c r="O92" s="1223">
        <v>7800</v>
      </c>
      <c r="P92" s="1190">
        <v>7800</v>
      </c>
    </row>
    <row r="93" spans="1:20" ht="15.75" customHeight="1" x14ac:dyDescent="0.2">
      <c r="A93" s="1161"/>
      <c r="B93" s="1179"/>
      <c r="C93" s="1180"/>
      <c r="D93" s="1446"/>
      <c r="E93" s="1446"/>
      <c r="F93" s="2331"/>
      <c r="G93" s="1882"/>
      <c r="H93" s="1184"/>
      <c r="I93" s="824"/>
      <c r="J93" s="1226"/>
      <c r="K93" s="1227"/>
      <c r="L93" s="1228"/>
      <c r="M93" s="2313" t="s">
        <v>804</v>
      </c>
      <c r="N93" s="215">
        <v>3</v>
      </c>
      <c r="O93" s="164">
        <v>2</v>
      </c>
      <c r="P93" s="1229">
        <v>2</v>
      </c>
    </row>
    <row r="94" spans="1:20" ht="13.5" thickBot="1" x14ac:dyDescent="0.25">
      <c r="A94" s="1234"/>
      <c r="B94" s="1213"/>
      <c r="C94" s="1214"/>
      <c r="D94" s="1449"/>
      <c r="E94" s="1449"/>
      <c r="F94" s="2306"/>
      <c r="G94" s="1888"/>
      <c r="H94" s="1215"/>
      <c r="I94" s="36" t="s">
        <v>16</v>
      </c>
      <c r="J94" s="165">
        <f>SUM(J92:J93)</f>
        <v>60.5</v>
      </c>
      <c r="K94" s="249">
        <f>SUM(K92:K93)</f>
        <v>57.7</v>
      </c>
      <c r="L94" s="1235">
        <f>SUM(L92:L93)</f>
        <v>53.5</v>
      </c>
      <c r="M94" s="2312"/>
      <c r="N94" s="492"/>
      <c r="O94" s="398"/>
      <c r="P94" s="1912"/>
    </row>
    <row r="95" spans="1:20" ht="30" customHeight="1" x14ac:dyDescent="0.2">
      <c r="A95" s="1219" t="s">
        <v>14</v>
      </c>
      <c r="B95" s="1206" t="s">
        <v>14</v>
      </c>
      <c r="C95" s="1207" t="s">
        <v>106</v>
      </c>
      <c r="D95" s="1445"/>
      <c r="E95" s="1445"/>
      <c r="F95" s="2305" t="s">
        <v>186</v>
      </c>
      <c r="G95" s="1887"/>
      <c r="H95" s="1236">
        <v>1</v>
      </c>
      <c r="I95" s="34" t="s">
        <v>15</v>
      </c>
      <c r="J95" s="181">
        <v>1.5</v>
      </c>
      <c r="K95" s="261">
        <v>1.5</v>
      </c>
      <c r="L95" s="175">
        <v>1.5</v>
      </c>
      <c r="M95" s="2389" t="s">
        <v>188</v>
      </c>
      <c r="N95" s="634">
        <v>1</v>
      </c>
      <c r="O95" s="635">
        <v>1</v>
      </c>
      <c r="P95" s="636">
        <v>1</v>
      </c>
    </row>
    <row r="96" spans="1:20" ht="15.75" customHeight="1" thickBot="1" x14ac:dyDescent="0.25">
      <c r="A96" s="1234"/>
      <c r="B96" s="1213"/>
      <c r="C96" s="1214"/>
      <c r="D96" s="1449"/>
      <c r="E96" s="1449"/>
      <c r="F96" s="2306"/>
      <c r="G96" s="1888"/>
      <c r="H96" s="1217"/>
      <c r="I96" s="36" t="s">
        <v>16</v>
      </c>
      <c r="J96" s="165">
        <f>+J95</f>
        <v>1.5</v>
      </c>
      <c r="K96" s="249">
        <f>+K95</f>
        <v>1.5</v>
      </c>
      <c r="L96" s="249">
        <f>+L95</f>
        <v>1.5</v>
      </c>
      <c r="M96" s="2300"/>
      <c r="N96" s="492"/>
      <c r="O96" s="398"/>
      <c r="P96" s="178"/>
    </row>
    <row r="97" spans="1:19" ht="18.75" customHeight="1" x14ac:dyDescent="0.2">
      <c r="A97" s="1219" t="s">
        <v>14</v>
      </c>
      <c r="B97" s="1206" t="s">
        <v>14</v>
      </c>
      <c r="C97" s="1207" t="s">
        <v>107</v>
      </c>
      <c r="D97" s="1445"/>
      <c r="E97" s="1445"/>
      <c r="F97" s="2305" t="s">
        <v>172</v>
      </c>
      <c r="G97" s="1887"/>
      <c r="H97" s="1218">
        <v>2</v>
      </c>
      <c r="I97" s="33" t="s">
        <v>15</v>
      </c>
      <c r="J97" s="1086">
        <v>6.4</v>
      </c>
      <c r="K97" s="394">
        <v>6.4</v>
      </c>
      <c r="L97" s="1087">
        <v>4.3</v>
      </c>
      <c r="M97" s="1891" t="s">
        <v>131</v>
      </c>
      <c r="N97" s="634">
        <v>89</v>
      </c>
      <c r="O97" s="635">
        <v>89</v>
      </c>
      <c r="P97" s="636">
        <v>89</v>
      </c>
    </row>
    <row r="98" spans="1:19" ht="16.5" customHeight="1" thickBot="1" x14ac:dyDescent="0.25">
      <c r="A98" s="1234"/>
      <c r="B98" s="1213"/>
      <c r="C98" s="1214"/>
      <c r="D98" s="1449"/>
      <c r="E98" s="1449"/>
      <c r="F98" s="2306"/>
      <c r="G98" s="1888"/>
      <c r="H98" s="1215"/>
      <c r="I98" s="36" t="s">
        <v>16</v>
      </c>
      <c r="J98" s="165">
        <f>SUM(J97)</f>
        <v>6.4</v>
      </c>
      <c r="K98" s="249">
        <f>SUM(K97)</f>
        <v>6.4</v>
      </c>
      <c r="L98" s="429">
        <f>SUM(L97)</f>
        <v>4.3</v>
      </c>
      <c r="M98" s="1890"/>
      <c r="N98" s="492"/>
      <c r="O98" s="398"/>
      <c r="P98" s="178"/>
    </row>
    <row r="99" spans="1:19" ht="28.5" customHeight="1" x14ac:dyDescent="0.2">
      <c r="A99" s="1219" t="s">
        <v>14</v>
      </c>
      <c r="B99" s="1206" t="s">
        <v>14</v>
      </c>
      <c r="C99" s="1207" t="s">
        <v>382</v>
      </c>
      <c r="D99" s="1445"/>
      <c r="E99" s="1445"/>
      <c r="F99" s="2361" t="s">
        <v>732</v>
      </c>
      <c r="G99" s="1135"/>
      <c r="H99" s="1236">
        <v>1</v>
      </c>
      <c r="I99" s="487" t="s">
        <v>15</v>
      </c>
      <c r="J99" s="1391"/>
      <c r="K99" s="1501">
        <v>50</v>
      </c>
      <c r="L99" s="1502">
        <v>6</v>
      </c>
      <c r="M99" s="244" t="s">
        <v>187</v>
      </c>
      <c r="N99" s="1237"/>
      <c r="O99" s="1238">
        <v>1</v>
      </c>
      <c r="P99" s="1173"/>
    </row>
    <row r="100" spans="1:19" ht="28.5" customHeight="1" thickBot="1" x14ac:dyDescent="0.25">
      <c r="A100" s="1234"/>
      <c r="B100" s="1213"/>
      <c r="C100" s="1214"/>
      <c r="D100" s="1449"/>
      <c r="E100" s="1449"/>
      <c r="F100" s="2298"/>
      <c r="G100" s="1136"/>
      <c r="H100" s="1217"/>
      <c r="I100" s="36" t="s">
        <v>16</v>
      </c>
      <c r="J100" s="426"/>
      <c r="K100" s="1080">
        <f>+K99</f>
        <v>50</v>
      </c>
      <c r="L100" s="718">
        <f>+L99</f>
        <v>6</v>
      </c>
      <c r="M100" s="177" t="s">
        <v>188</v>
      </c>
      <c r="N100" s="491"/>
      <c r="O100" s="1090"/>
      <c r="P100" s="170">
        <v>1</v>
      </c>
    </row>
    <row r="101" spans="1:19" ht="13.5" customHeight="1" thickBot="1" x14ac:dyDescent="0.25">
      <c r="A101" s="1239" t="s">
        <v>14</v>
      </c>
      <c r="B101" s="1240" t="s">
        <v>14</v>
      </c>
      <c r="C101" s="2590" t="s">
        <v>20</v>
      </c>
      <c r="D101" s="2591"/>
      <c r="E101" s="2591"/>
      <c r="F101" s="2591"/>
      <c r="G101" s="2591"/>
      <c r="H101" s="2591"/>
      <c r="I101" s="2592"/>
      <c r="J101" s="1606">
        <f>J94+J91+J89+J87+J81+J96+J98+J100</f>
        <v>79074.599999999991</v>
      </c>
      <c r="K101" s="1607">
        <f>K94+K91+K89+K87+K81+K96+K98+K100</f>
        <v>79600.699999999983</v>
      </c>
      <c r="L101" s="1608">
        <f>L94+L91+L89+L87+L81+L96+L98+L100</f>
        <v>79184.399999999994</v>
      </c>
      <c r="M101" s="1241"/>
      <c r="N101" s="1242"/>
      <c r="O101" s="1242"/>
      <c r="P101" s="1243"/>
    </row>
    <row r="102" spans="1:19" ht="15.75" customHeight="1" thickBot="1" x14ac:dyDescent="0.25">
      <c r="A102" s="1239" t="s">
        <v>14</v>
      </c>
      <c r="B102" s="2593" t="s">
        <v>6</v>
      </c>
      <c r="C102" s="2594"/>
      <c r="D102" s="2594"/>
      <c r="E102" s="2594"/>
      <c r="F102" s="2594"/>
      <c r="G102" s="2594"/>
      <c r="H102" s="2594"/>
      <c r="I102" s="2595"/>
      <c r="J102" s="1610">
        <f t="shared" ref="J102:L102" si="4">J101</f>
        <v>79074.599999999991</v>
      </c>
      <c r="K102" s="1611">
        <f t="shared" si="4"/>
        <v>79600.699999999983</v>
      </c>
      <c r="L102" s="1611">
        <f t="shared" si="4"/>
        <v>79184.399999999994</v>
      </c>
      <c r="M102" s="1244"/>
      <c r="N102" s="1138"/>
      <c r="O102" s="1138"/>
      <c r="P102" s="1139"/>
    </row>
    <row r="103" spans="1:19" ht="15.75" customHeight="1" thickBot="1" x14ac:dyDescent="0.25">
      <c r="A103" s="1245" t="s">
        <v>17</v>
      </c>
      <c r="B103" s="2372" t="s">
        <v>37</v>
      </c>
      <c r="C103" s="2373"/>
      <c r="D103" s="2373"/>
      <c r="E103" s="2373"/>
      <c r="F103" s="2373"/>
      <c r="G103" s="2373"/>
      <c r="H103" s="2373"/>
      <c r="I103" s="2373"/>
      <c r="J103" s="2373"/>
      <c r="K103" s="2373"/>
      <c r="L103" s="2373"/>
      <c r="M103" s="2373"/>
      <c r="N103" s="2373"/>
      <c r="O103" s="2373"/>
      <c r="P103" s="2374"/>
    </row>
    <row r="104" spans="1:19" ht="15.75" customHeight="1" thickBot="1" x14ac:dyDescent="0.25">
      <c r="A104" s="1246" t="s">
        <v>17</v>
      </c>
      <c r="B104" s="1247" t="s">
        <v>14</v>
      </c>
      <c r="C104" s="2375" t="s">
        <v>33</v>
      </c>
      <c r="D104" s="2323"/>
      <c r="E104" s="2323"/>
      <c r="F104" s="2323"/>
      <c r="G104" s="2323"/>
      <c r="H104" s="2323"/>
      <c r="I104" s="2323"/>
      <c r="J104" s="2323"/>
      <c r="K104" s="2323"/>
      <c r="L104" s="2323"/>
      <c r="M104" s="2323"/>
      <c r="N104" s="2323"/>
      <c r="O104" s="2323"/>
      <c r="P104" s="2324"/>
    </row>
    <row r="105" spans="1:19" s="38" customFormat="1" ht="39.75" customHeight="1" x14ac:dyDescent="0.2">
      <c r="A105" s="2576" t="s">
        <v>17</v>
      </c>
      <c r="B105" s="2579" t="s">
        <v>14</v>
      </c>
      <c r="C105" s="2582" t="s">
        <v>14</v>
      </c>
      <c r="D105" s="1450"/>
      <c r="E105" s="1450"/>
      <c r="F105" s="2361" t="s">
        <v>355</v>
      </c>
      <c r="G105" s="2585"/>
      <c r="H105" s="1754">
        <v>5</v>
      </c>
      <c r="I105" s="1921" t="s">
        <v>15</v>
      </c>
      <c r="J105" s="1575">
        <v>218.6</v>
      </c>
      <c r="K105" s="1557"/>
      <c r="L105" s="1657"/>
      <c r="M105" s="2587" t="s">
        <v>356</v>
      </c>
      <c r="N105" s="1116">
        <v>6</v>
      </c>
      <c r="O105" s="1902">
        <v>6</v>
      </c>
      <c r="P105" s="1114">
        <v>6</v>
      </c>
    </row>
    <row r="106" spans="1:19" s="38" customFormat="1" ht="16.5" customHeight="1" x14ac:dyDescent="0.2">
      <c r="A106" s="2577"/>
      <c r="B106" s="2580"/>
      <c r="C106" s="2583"/>
      <c r="D106" s="1751"/>
      <c r="E106" s="1751"/>
      <c r="F106" s="2354"/>
      <c r="G106" s="2566"/>
      <c r="H106" s="1754">
        <v>2</v>
      </c>
      <c r="I106" s="1922" t="s">
        <v>15</v>
      </c>
      <c r="J106" s="1756"/>
      <c r="K106" s="366">
        <v>65.2</v>
      </c>
      <c r="L106" s="1686">
        <v>86.1</v>
      </c>
      <c r="M106" s="2588"/>
      <c r="N106" s="1020"/>
      <c r="O106" s="139"/>
      <c r="P106" s="1750"/>
    </row>
    <row r="107" spans="1:19" s="38" customFormat="1" ht="15.75" customHeight="1" thickBot="1" x14ac:dyDescent="0.25">
      <c r="A107" s="2578"/>
      <c r="B107" s="2581"/>
      <c r="C107" s="2584"/>
      <c r="D107" s="1451"/>
      <c r="E107" s="1451"/>
      <c r="F107" s="2298"/>
      <c r="G107" s="2586"/>
      <c r="H107" s="1753"/>
      <c r="I107" s="1923" t="s">
        <v>16</v>
      </c>
      <c r="J107" s="1503">
        <f>SUM(J105:J106)</f>
        <v>218.6</v>
      </c>
      <c r="K107" s="379">
        <f>SUM(K105:K106)</f>
        <v>65.2</v>
      </c>
      <c r="L107" s="379">
        <f>SUM(L105:L106)</f>
        <v>86.1</v>
      </c>
      <c r="M107" s="2589"/>
      <c r="N107" s="1122"/>
      <c r="O107" s="1329"/>
      <c r="P107" s="1211"/>
    </row>
    <row r="108" spans="1:19" ht="15" customHeight="1" x14ac:dyDescent="0.2">
      <c r="A108" s="1205" t="s">
        <v>17</v>
      </c>
      <c r="B108" s="1206" t="s">
        <v>14</v>
      </c>
      <c r="C108" s="1207" t="s">
        <v>17</v>
      </c>
      <c r="D108" s="1452"/>
      <c r="E108" s="1452"/>
      <c r="F108" s="2346" t="s">
        <v>189</v>
      </c>
      <c r="G108" s="1249" t="s">
        <v>2</v>
      </c>
      <c r="H108" s="1208">
        <v>5</v>
      </c>
      <c r="I108" s="1314" t="s">
        <v>15</v>
      </c>
      <c r="J108" s="1590">
        <v>97</v>
      </c>
      <c r="K108" s="1587">
        <f>740.6-100</f>
        <v>640.6</v>
      </c>
      <c r="L108" s="1986">
        <f>1733.3+100</f>
        <v>1833.3</v>
      </c>
      <c r="M108" s="1315"/>
      <c r="N108" s="1209"/>
      <c r="O108" s="1251"/>
      <c r="P108" s="1252"/>
      <c r="Q108" s="1253"/>
    </row>
    <row r="109" spans="1:19" ht="15" customHeight="1" x14ac:dyDescent="0.2">
      <c r="A109" s="1196"/>
      <c r="B109" s="1179"/>
      <c r="C109" s="1180"/>
      <c r="D109" s="1453"/>
      <c r="E109" s="1453"/>
      <c r="F109" s="2347"/>
      <c r="G109" s="1249"/>
      <c r="H109" s="1168"/>
      <c r="I109" s="1498" t="s">
        <v>110</v>
      </c>
      <c r="J109" s="1419">
        <v>98.3</v>
      </c>
      <c r="K109" s="1420"/>
      <c r="L109" s="1423"/>
      <c r="M109" s="34"/>
      <c r="N109" s="1186"/>
      <c r="O109" s="1257"/>
      <c r="P109" s="1258"/>
      <c r="Q109" s="1253"/>
    </row>
    <row r="110" spans="1:19" ht="15" customHeight="1" x14ac:dyDescent="0.2">
      <c r="A110" s="1196"/>
      <c r="B110" s="1179"/>
      <c r="C110" s="1180"/>
      <c r="D110" s="1453"/>
      <c r="E110" s="1453"/>
      <c r="F110" s="2347"/>
      <c r="G110" s="391"/>
      <c r="H110" s="1168"/>
      <c r="I110" s="1925" t="s">
        <v>113</v>
      </c>
      <c r="J110" s="181">
        <v>621.6</v>
      </c>
      <c r="K110" s="261">
        <v>399.2</v>
      </c>
      <c r="L110" s="1987"/>
      <c r="M110" s="34"/>
      <c r="N110" s="1186"/>
      <c r="O110" s="1257"/>
      <c r="P110" s="1258"/>
      <c r="Q110" s="325"/>
      <c r="R110" s="1103"/>
      <c r="S110" s="500"/>
    </row>
    <row r="111" spans="1:19" ht="15" customHeight="1" x14ac:dyDescent="0.2">
      <c r="A111" s="1196"/>
      <c r="B111" s="1179"/>
      <c r="C111" s="1180"/>
      <c r="D111" s="1453"/>
      <c r="E111" s="1453"/>
      <c r="F111" s="1963"/>
      <c r="G111" s="391"/>
      <c r="H111" s="1210"/>
      <c r="I111" s="1924" t="s">
        <v>18</v>
      </c>
      <c r="J111" s="1419">
        <v>54.8</v>
      </c>
      <c r="K111" s="1420">
        <v>35.200000000000003</v>
      </c>
      <c r="L111" s="1423"/>
      <c r="M111" s="34"/>
      <c r="N111" s="1186"/>
      <c r="O111" s="1257"/>
      <c r="P111" s="1258"/>
      <c r="Q111" s="325"/>
      <c r="R111" s="1103"/>
      <c r="S111" s="500"/>
    </row>
    <row r="112" spans="1:19" ht="15" customHeight="1" thickBot="1" x14ac:dyDescent="0.25">
      <c r="A112" s="1196"/>
      <c r="B112" s="1179"/>
      <c r="C112" s="1180"/>
      <c r="D112" s="1453"/>
      <c r="E112" s="1453"/>
      <c r="F112" s="1963"/>
      <c r="G112" s="391"/>
      <c r="H112" s="1210"/>
      <c r="I112" s="1988" t="s">
        <v>268</v>
      </c>
      <c r="J112" s="1989">
        <v>2900</v>
      </c>
      <c r="K112" s="1323">
        <v>2900</v>
      </c>
      <c r="L112" s="1324">
        <v>2900</v>
      </c>
      <c r="M112" s="34"/>
      <c r="N112" s="1186"/>
      <c r="O112" s="1257"/>
      <c r="P112" s="1258"/>
      <c r="Q112" s="325"/>
      <c r="R112" s="1103"/>
      <c r="S112" s="500"/>
    </row>
    <row r="113" spans="1:19" ht="20.25" customHeight="1" x14ac:dyDescent="0.2">
      <c r="A113" s="1196"/>
      <c r="B113" s="1179"/>
      <c r="C113" s="1180"/>
      <c r="D113" s="1470" t="s">
        <v>14</v>
      </c>
      <c r="E113" s="1470"/>
      <c r="F113" s="2297" t="s">
        <v>367</v>
      </c>
      <c r="G113" s="281"/>
      <c r="H113" s="1249"/>
      <c r="I113" s="1926"/>
      <c r="J113" s="1347"/>
      <c r="K113" s="1341"/>
      <c r="L113" s="1614"/>
      <c r="M113" s="2596" t="s">
        <v>115</v>
      </c>
      <c r="N113" s="1760">
        <v>5</v>
      </c>
      <c r="O113" s="1761">
        <v>2</v>
      </c>
      <c r="P113" s="1357"/>
      <c r="Q113" s="1431"/>
      <c r="R113" s="1431"/>
      <c r="S113" s="500"/>
    </row>
    <row r="114" spans="1:19" ht="20.25" customHeight="1" x14ac:dyDescent="0.2">
      <c r="A114" s="1196"/>
      <c r="B114" s="1179"/>
      <c r="C114" s="1180"/>
      <c r="D114" s="1453"/>
      <c r="E114" s="1453"/>
      <c r="F114" s="2354"/>
      <c r="G114" s="1260"/>
      <c r="H114" s="1168"/>
      <c r="I114" s="1926"/>
      <c r="J114" s="1347"/>
      <c r="K114" s="1341"/>
      <c r="L114" s="1614"/>
      <c r="M114" s="2597"/>
      <c r="N114" s="1763"/>
      <c r="O114" s="1764"/>
      <c r="P114" s="1348"/>
      <c r="Q114" s="1431"/>
      <c r="R114" s="1431"/>
      <c r="S114" s="500"/>
    </row>
    <row r="115" spans="1:19" ht="20.25" customHeight="1" x14ac:dyDescent="0.2">
      <c r="A115" s="1196"/>
      <c r="B115" s="1179"/>
      <c r="C115" s="1180"/>
      <c r="D115" s="1453"/>
      <c r="E115" s="1453"/>
      <c r="F115" s="2354"/>
      <c r="G115" s="1260"/>
      <c r="H115" s="1168"/>
      <c r="I115" s="1926"/>
      <c r="J115" s="1347"/>
      <c r="K115" s="1341"/>
      <c r="L115" s="1614"/>
      <c r="M115" s="2598" t="s">
        <v>192</v>
      </c>
      <c r="N115" s="1766">
        <v>5</v>
      </c>
      <c r="O115" s="1767">
        <v>2</v>
      </c>
      <c r="P115" s="1331"/>
      <c r="Q115" s="1431"/>
      <c r="R115" s="1431"/>
      <c r="S115" s="500"/>
    </row>
    <row r="116" spans="1:19" ht="20.25" customHeight="1" thickBot="1" x14ac:dyDescent="0.25">
      <c r="A116" s="1196"/>
      <c r="B116" s="1179"/>
      <c r="C116" s="1180"/>
      <c r="D116" s="1453"/>
      <c r="E116" s="1453"/>
      <c r="F116" s="2355"/>
      <c r="G116" s="1260"/>
      <c r="H116" s="1168"/>
      <c r="I116" s="1926"/>
      <c r="J116" s="1347"/>
      <c r="K116" s="1341"/>
      <c r="L116" s="1614"/>
      <c r="M116" s="2599"/>
      <c r="N116" s="492"/>
      <c r="O116" s="1130"/>
      <c r="P116" s="1282"/>
      <c r="Q116" s="1431"/>
      <c r="R116" s="1431"/>
      <c r="S116" s="500"/>
    </row>
    <row r="117" spans="1:19" ht="20.25" customHeight="1" x14ac:dyDescent="0.2">
      <c r="A117" s="1196"/>
      <c r="B117" s="1179"/>
      <c r="C117" s="1180"/>
      <c r="D117" s="1470" t="s">
        <v>17</v>
      </c>
      <c r="E117" s="1470"/>
      <c r="F117" s="2297" t="s">
        <v>229</v>
      </c>
      <c r="G117" s="1261"/>
      <c r="H117" s="1181"/>
      <c r="I117" s="1926"/>
      <c r="J117" s="1347"/>
      <c r="K117" s="1341"/>
      <c r="L117" s="1500"/>
      <c r="M117" s="2600" t="s">
        <v>193</v>
      </c>
      <c r="N117" s="1769">
        <v>1</v>
      </c>
      <c r="O117" s="1770"/>
      <c r="P117" s="1771"/>
      <c r="Q117" s="1958"/>
      <c r="R117" s="500"/>
      <c r="S117" s="500"/>
    </row>
    <row r="118" spans="1:19" ht="20.25" customHeight="1" thickBot="1" x14ac:dyDescent="0.25">
      <c r="A118" s="1196"/>
      <c r="B118" s="1179"/>
      <c r="C118" s="1180"/>
      <c r="D118" s="1453"/>
      <c r="E118" s="1453"/>
      <c r="F118" s="2354"/>
      <c r="G118" s="1261"/>
      <c r="H118" s="1181"/>
      <c r="I118" s="1926"/>
      <c r="J118" s="1347"/>
      <c r="K118" s="1341"/>
      <c r="L118" s="1500"/>
      <c r="M118" s="2601"/>
      <c r="N118" s="1769"/>
      <c r="O118" s="1770"/>
      <c r="P118" s="1771"/>
      <c r="Q118" s="1431"/>
      <c r="R118" s="500"/>
      <c r="S118" s="500"/>
    </row>
    <row r="119" spans="1:19" ht="27.75" customHeight="1" thickBot="1" x14ac:dyDescent="0.25">
      <c r="A119" s="1178"/>
      <c r="B119" s="1179"/>
      <c r="C119" s="1180"/>
      <c r="D119" s="1470" t="s">
        <v>19</v>
      </c>
      <c r="E119" s="1470"/>
      <c r="F119" s="2036" t="s">
        <v>230</v>
      </c>
      <c r="G119" s="1261"/>
      <c r="H119" s="1181"/>
      <c r="I119" s="1926"/>
      <c r="J119" s="1347"/>
      <c r="K119" s="1341"/>
      <c r="L119" s="1500"/>
      <c r="M119" s="2042" t="s">
        <v>63</v>
      </c>
      <c r="N119" s="2043">
        <v>35</v>
      </c>
      <c r="O119" s="2044">
        <v>60</v>
      </c>
      <c r="P119" s="2045">
        <v>100</v>
      </c>
      <c r="Q119" s="1431"/>
      <c r="R119" s="500"/>
      <c r="S119" s="500"/>
    </row>
    <row r="120" spans="1:19" ht="21" customHeight="1" x14ac:dyDescent="0.2">
      <c r="A120" s="1178"/>
      <c r="B120" s="1179"/>
      <c r="C120" s="1180"/>
      <c r="D120" s="1470" t="s">
        <v>21</v>
      </c>
      <c r="E120" s="1470"/>
      <c r="F120" s="2297" t="s">
        <v>242</v>
      </c>
      <c r="G120" s="1261"/>
      <c r="H120" s="1181"/>
      <c r="I120" s="1926"/>
      <c r="J120" s="1347"/>
      <c r="K120" s="1927"/>
      <c r="L120" s="1928"/>
      <c r="M120" s="2596" t="s">
        <v>740</v>
      </c>
      <c r="N120" s="1804">
        <v>100</v>
      </c>
      <c r="O120" s="1761"/>
      <c r="P120" s="1759"/>
      <c r="Q120" s="1431"/>
      <c r="R120" s="500"/>
      <c r="S120" s="500"/>
    </row>
    <row r="121" spans="1:19" ht="21" customHeight="1" x14ac:dyDescent="0.2">
      <c r="A121" s="1178"/>
      <c r="B121" s="1179"/>
      <c r="C121" s="1180"/>
      <c r="D121" s="1453"/>
      <c r="E121" s="1453"/>
      <c r="F121" s="2354"/>
      <c r="G121" s="1261"/>
      <c r="H121" s="1181"/>
      <c r="I121" s="1926"/>
      <c r="J121" s="1347"/>
      <c r="K121" s="1927"/>
      <c r="L121" s="1928"/>
      <c r="M121" s="2604"/>
      <c r="N121" s="1806"/>
      <c r="O121" s="1767"/>
      <c r="P121" s="1765"/>
      <c r="Q121" s="1431"/>
      <c r="R121" s="500"/>
      <c r="S121" s="500"/>
    </row>
    <row r="122" spans="1:19" ht="27.75" customHeight="1" thickBot="1" x14ac:dyDescent="0.25">
      <c r="A122" s="1178"/>
      <c r="B122" s="1179"/>
      <c r="C122" s="1180"/>
      <c r="D122" s="1472" t="s">
        <v>22</v>
      </c>
      <c r="E122" s="1472"/>
      <c r="F122" s="403" t="s">
        <v>194</v>
      </c>
      <c r="G122" s="1261"/>
      <c r="H122" s="1181"/>
      <c r="I122" s="1926"/>
      <c r="J122" s="1347"/>
      <c r="K122" s="1341"/>
      <c r="L122" s="1500"/>
      <c r="M122" s="1794" t="s">
        <v>56</v>
      </c>
      <c r="N122" s="1796"/>
      <c r="O122" s="1797">
        <v>1</v>
      </c>
      <c r="P122" s="2046"/>
      <c r="Q122" s="1956"/>
    </row>
    <row r="123" spans="1:19" s="500" customFormat="1" ht="24.75" customHeight="1" x14ac:dyDescent="0.2">
      <c r="A123" s="1178"/>
      <c r="B123" s="1179"/>
      <c r="C123" s="1283"/>
      <c r="D123" s="1718" t="s">
        <v>106</v>
      </c>
      <c r="E123" s="1713"/>
      <c r="F123" s="2361" t="s">
        <v>733</v>
      </c>
      <c r="G123" s="1714"/>
      <c r="H123" s="1236">
        <v>6</v>
      </c>
      <c r="I123" s="1996" t="s">
        <v>15</v>
      </c>
      <c r="J123" s="1997">
        <v>1166.7</v>
      </c>
      <c r="K123" s="1998">
        <v>1620</v>
      </c>
      <c r="L123" s="1087">
        <v>1460</v>
      </c>
      <c r="M123" s="1715" t="s">
        <v>62</v>
      </c>
      <c r="N123" s="634">
        <v>1</v>
      </c>
      <c r="O123" s="1705"/>
      <c r="P123" s="1290"/>
      <c r="Q123" s="325"/>
      <c r="R123" s="325"/>
      <c r="S123" s="325"/>
    </row>
    <row r="124" spans="1:19" s="500" customFormat="1" ht="18" customHeight="1" x14ac:dyDescent="0.2">
      <c r="A124" s="1178"/>
      <c r="B124" s="1179"/>
      <c r="C124" s="1283"/>
      <c r="D124" s="1465"/>
      <c r="E124" s="1097"/>
      <c r="F124" s="2354"/>
      <c r="G124" s="1704"/>
      <c r="H124" s="1181"/>
      <c r="I124" s="1979" t="s">
        <v>110</v>
      </c>
      <c r="J124" s="665">
        <f>130+172.5</f>
        <v>302.5</v>
      </c>
      <c r="K124" s="1052"/>
      <c r="L124" s="1614"/>
      <c r="M124" s="1889" t="s">
        <v>129</v>
      </c>
      <c r="N124" s="215"/>
      <c r="O124" s="1085"/>
      <c r="P124" s="1082">
        <v>100</v>
      </c>
      <c r="Q124" s="1103"/>
    </row>
    <row r="125" spans="1:19" ht="18.75" customHeight="1" x14ac:dyDescent="0.2">
      <c r="A125" s="1178"/>
      <c r="B125" s="1179"/>
      <c r="C125" s="1176"/>
      <c r="D125" s="1469" t="s">
        <v>107</v>
      </c>
      <c r="E125" s="1474"/>
      <c r="F125" s="2297" t="s">
        <v>805</v>
      </c>
      <c r="G125" s="1274"/>
      <c r="H125" s="1159"/>
      <c r="I125" s="1979"/>
      <c r="J125" s="434"/>
      <c r="K125" s="1052"/>
      <c r="L125" s="1992"/>
      <c r="M125" s="449" t="s">
        <v>237</v>
      </c>
      <c r="N125" s="194">
        <v>3</v>
      </c>
      <c r="O125" s="1959">
        <v>3</v>
      </c>
      <c r="P125" s="1022">
        <v>2</v>
      </c>
      <c r="Q125" s="1703"/>
      <c r="R125" s="1253"/>
    </row>
    <row r="126" spans="1:19" ht="30" customHeight="1" x14ac:dyDescent="0.2">
      <c r="A126" s="1178"/>
      <c r="B126" s="1179"/>
      <c r="C126" s="1176"/>
      <c r="D126" s="1468"/>
      <c r="E126" s="1475"/>
      <c r="F126" s="2355"/>
      <c r="G126" s="1274"/>
      <c r="H126" s="1159"/>
      <c r="I126" s="1981"/>
      <c r="J126" s="1993"/>
      <c r="K126" s="1994"/>
      <c r="L126" s="1995"/>
      <c r="M126" s="473" t="s">
        <v>216</v>
      </c>
      <c r="N126" s="276">
        <v>1</v>
      </c>
      <c r="O126" s="136">
        <v>1</v>
      </c>
      <c r="P126" s="1734"/>
      <c r="Q126" s="1253"/>
      <c r="R126" s="1253"/>
    </row>
    <row r="127" spans="1:19" ht="21" customHeight="1" x14ac:dyDescent="0.2">
      <c r="A127" s="1196"/>
      <c r="B127" s="1179"/>
      <c r="C127" s="1163"/>
      <c r="D127" s="1470" t="s">
        <v>382</v>
      </c>
      <c r="E127" s="1470"/>
      <c r="F127" s="2359" t="s">
        <v>196</v>
      </c>
      <c r="G127" s="1166"/>
      <c r="H127" s="1166"/>
      <c r="I127" s="2041"/>
      <c r="J127" s="665"/>
      <c r="K127" s="594"/>
      <c r="L127" s="1620"/>
      <c r="M127" s="2349" t="s">
        <v>162</v>
      </c>
      <c r="N127" s="509">
        <v>50</v>
      </c>
      <c r="O127" s="1931">
        <v>100</v>
      </c>
      <c r="P127" s="1932"/>
      <c r="Q127" s="1148"/>
    </row>
    <row r="128" spans="1:19" ht="21" customHeight="1" x14ac:dyDescent="0.2">
      <c r="A128" s="1196"/>
      <c r="B128" s="1179"/>
      <c r="C128" s="1163"/>
      <c r="D128" s="1453"/>
      <c r="E128" s="1453"/>
      <c r="F128" s="2293"/>
      <c r="G128" s="1166"/>
      <c r="H128" s="1166"/>
      <c r="I128" s="2041"/>
      <c r="J128" s="665"/>
      <c r="K128" s="594"/>
      <c r="L128" s="1620"/>
      <c r="M128" s="2605"/>
      <c r="N128" s="544"/>
      <c r="O128" s="1946"/>
      <c r="P128" s="1947"/>
      <c r="Q128" s="1148"/>
    </row>
    <row r="129" spans="1:19" ht="30.75" customHeight="1" x14ac:dyDescent="0.2">
      <c r="A129" s="1196"/>
      <c r="B129" s="1179"/>
      <c r="C129" s="1266"/>
      <c r="D129" s="2047" t="s">
        <v>383</v>
      </c>
      <c r="E129" s="1484"/>
      <c r="F129" s="2362" t="s">
        <v>231</v>
      </c>
      <c r="G129" s="1181"/>
      <c r="H129" s="1181"/>
      <c r="I129" s="1977"/>
      <c r="J129" s="738"/>
      <c r="K129" s="325"/>
      <c r="L129" s="1614"/>
      <c r="M129" s="415" t="s">
        <v>103</v>
      </c>
      <c r="N129" s="1489"/>
      <c r="O129" s="1735"/>
      <c r="P129" s="1736" t="s">
        <v>78</v>
      </c>
    </row>
    <row r="130" spans="1:19" ht="25.5" customHeight="1" x14ac:dyDescent="0.2">
      <c r="A130" s="1196"/>
      <c r="B130" s="1179"/>
      <c r="C130" s="1266"/>
      <c r="D130" s="1464"/>
      <c r="E130" s="1461"/>
      <c r="F130" s="2347"/>
      <c r="G130" s="1181"/>
      <c r="H130" s="1181"/>
      <c r="I130" s="1977"/>
      <c r="J130" s="1972"/>
      <c r="K130" s="325"/>
      <c r="L130" s="1614"/>
      <c r="M130" s="2048"/>
      <c r="N130" s="2049"/>
      <c r="O130" s="1816"/>
      <c r="P130" s="1817"/>
    </row>
    <row r="131" spans="1:19" ht="13.5" customHeight="1" thickBot="1" x14ac:dyDescent="0.25">
      <c r="A131" s="1268"/>
      <c r="B131" s="1213"/>
      <c r="C131" s="1269"/>
      <c r="D131" s="1463"/>
      <c r="E131" s="1463"/>
      <c r="F131" s="2603"/>
      <c r="G131" s="2038" t="s">
        <v>16</v>
      </c>
      <c r="H131" s="2039"/>
      <c r="I131" s="2040"/>
      <c r="J131" s="1503">
        <f>SUM(J108:J128)</f>
        <v>5240.8999999999996</v>
      </c>
      <c r="K131" s="379">
        <f>SUM(K108:K128)</f>
        <v>5595</v>
      </c>
      <c r="L131" s="841">
        <f>SUM(L108:L128)</f>
        <v>6193.3</v>
      </c>
      <c r="M131" s="2037"/>
      <c r="N131" s="1270"/>
      <c r="O131" s="1271"/>
      <c r="P131" s="1272"/>
    </row>
    <row r="132" spans="1:19" ht="16.5" customHeight="1" x14ac:dyDescent="0.2">
      <c r="A132" s="1205" t="s">
        <v>17</v>
      </c>
      <c r="B132" s="1206" t="s">
        <v>14</v>
      </c>
      <c r="C132" s="1154" t="s">
        <v>19</v>
      </c>
      <c r="D132" s="1452"/>
      <c r="E132" s="1452"/>
      <c r="F132" s="2292" t="s">
        <v>197</v>
      </c>
      <c r="G132" s="401" t="s">
        <v>2</v>
      </c>
      <c r="H132" s="1273">
        <v>5</v>
      </c>
      <c r="I132" s="1899" t="s">
        <v>15</v>
      </c>
      <c r="J132" s="1999">
        <v>232.9</v>
      </c>
      <c r="K132" s="2000">
        <v>1670.3</v>
      </c>
      <c r="L132" s="2003">
        <f>400-300</f>
        <v>100</v>
      </c>
      <c r="M132" s="1096"/>
      <c r="N132" s="1209"/>
      <c r="O132" s="1251"/>
      <c r="P132" s="1252"/>
      <c r="Q132" s="1253"/>
      <c r="R132" s="1253"/>
    </row>
    <row r="133" spans="1:19" ht="16.5" customHeight="1" x14ac:dyDescent="0.2">
      <c r="A133" s="1196"/>
      <c r="B133" s="1179"/>
      <c r="C133" s="1163"/>
      <c r="D133" s="1453"/>
      <c r="E133" s="1453"/>
      <c r="F133" s="2293"/>
      <c r="G133" s="433"/>
      <c r="H133" s="1274"/>
      <c r="I133" s="1929" t="s">
        <v>110</v>
      </c>
      <c r="J133" s="219">
        <v>125.3</v>
      </c>
      <c r="K133" s="268"/>
      <c r="L133" s="294"/>
      <c r="M133" s="1960"/>
      <c r="N133" s="1186"/>
      <c r="O133" s="1257"/>
      <c r="P133" s="1258"/>
      <c r="Q133" s="1253"/>
      <c r="R133" s="1253"/>
    </row>
    <row r="134" spans="1:19" ht="16.5" customHeight="1" x14ac:dyDescent="0.2">
      <c r="A134" s="1196"/>
      <c r="B134" s="1179"/>
      <c r="C134" s="1163"/>
      <c r="D134" s="1453"/>
      <c r="E134" s="1453"/>
      <c r="F134" s="2293"/>
      <c r="G134" s="433"/>
      <c r="H134" s="1274"/>
      <c r="I134" s="1917" t="s">
        <v>268</v>
      </c>
      <c r="J134" s="462"/>
      <c r="K134" s="616"/>
      <c r="L134" s="1673">
        <v>922.8</v>
      </c>
      <c r="M134" s="1872"/>
      <c r="N134" s="1186"/>
      <c r="O134" s="1257"/>
      <c r="P134" s="1258"/>
    </row>
    <row r="135" spans="1:19" ht="16.5" customHeight="1" x14ac:dyDescent="0.2">
      <c r="A135" s="1196"/>
      <c r="B135" s="1179"/>
      <c r="C135" s="1163"/>
      <c r="D135" s="1453"/>
      <c r="E135" s="1453"/>
      <c r="F135" s="1961"/>
      <c r="G135" s="433"/>
      <c r="H135" s="1274"/>
      <c r="I135" s="2006" t="s">
        <v>113</v>
      </c>
      <c r="J135" s="2007">
        <v>90</v>
      </c>
      <c r="K135" s="2008">
        <v>789.1</v>
      </c>
      <c r="L135" s="624"/>
      <c r="M135" s="1960"/>
      <c r="N135" s="1186"/>
      <c r="O135" s="2004"/>
      <c r="P135" s="1258"/>
    </row>
    <row r="136" spans="1:19" ht="29.25" customHeight="1" x14ac:dyDescent="0.2">
      <c r="A136" s="1196"/>
      <c r="B136" s="1179"/>
      <c r="C136" s="1180"/>
      <c r="D136" s="1470" t="s">
        <v>14</v>
      </c>
      <c r="E136" s="1470"/>
      <c r="F136" s="2362" t="s">
        <v>744</v>
      </c>
      <c r="G136" s="281"/>
      <c r="H136" s="1249"/>
      <c r="I136" s="1926"/>
      <c r="J136" s="1347"/>
      <c r="K136" s="1341"/>
      <c r="L136" s="1500"/>
      <c r="M136" s="2208" t="s">
        <v>56</v>
      </c>
      <c r="N136" s="215">
        <v>1</v>
      </c>
      <c r="O136" s="2210"/>
      <c r="P136" s="1082"/>
      <c r="Q136" s="1431"/>
      <c r="R136" s="1431"/>
      <c r="S136" s="500"/>
    </row>
    <row r="137" spans="1:19" ht="28.5" customHeight="1" x14ac:dyDescent="0.2">
      <c r="A137" s="2216"/>
      <c r="B137" s="2217"/>
      <c r="C137" s="2218"/>
      <c r="D137" s="1471"/>
      <c r="E137" s="1471"/>
      <c r="F137" s="2602"/>
      <c r="G137" s="2219"/>
      <c r="H137" s="2220"/>
      <c r="I137" s="2221"/>
      <c r="J137" s="1990"/>
      <c r="K137" s="1991"/>
      <c r="L137" s="2009"/>
      <c r="M137" s="176" t="s">
        <v>103</v>
      </c>
      <c r="N137" s="471"/>
      <c r="O137" s="1089"/>
      <c r="P137" s="1262">
        <v>35</v>
      </c>
      <c r="Q137" s="1431"/>
      <c r="R137" s="1431"/>
      <c r="S137" s="500"/>
    </row>
    <row r="138" spans="1:19" ht="18.75" customHeight="1" x14ac:dyDescent="0.2">
      <c r="A138" s="1196"/>
      <c r="B138" s="1179"/>
      <c r="C138" s="1163"/>
      <c r="D138" s="1453" t="s">
        <v>17</v>
      </c>
      <c r="E138" s="1453"/>
      <c r="F138" s="2354" t="s">
        <v>806</v>
      </c>
      <c r="G138" s="340"/>
      <c r="H138" s="1166"/>
      <c r="I138" s="1930"/>
      <c r="J138" s="2010"/>
      <c r="K138" s="2011"/>
      <c r="L138" s="1928"/>
      <c r="M138" s="2608" t="s">
        <v>56</v>
      </c>
      <c r="N138" s="1823">
        <v>1</v>
      </c>
      <c r="O138" s="1824"/>
      <c r="P138" s="280"/>
    </row>
    <row r="139" spans="1:19" ht="18.75" customHeight="1" x14ac:dyDescent="0.2">
      <c r="A139" s="1196"/>
      <c r="B139" s="1179"/>
      <c r="C139" s="1163"/>
      <c r="D139" s="1453"/>
      <c r="E139" s="1453"/>
      <c r="F139" s="2354"/>
      <c r="G139" s="340"/>
      <c r="H139" s="1166"/>
      <c r="I139" s="1930"/>
      <c r="J139" s="1347"/>
      <c r="K139" s="2012"/>
      <c r="L139" s="1500"/>
      <c r="M139" s="2609"/>
      <c r="N139" s="1819"/>
      <c r="O139" s="1820"/>
      <c r="P139" s="280"/>
    </row>
    <row r="140" spans="1:19" ht="18.75" customHeight="1" x14ac:dyDescent="0.2">
      <c r="A140" s="1196"/>
      <c r="B140" s="1179"/>
      <c r="C140" s="1163"/>
      <c r="D140" s="1453"/>
      <c r="E140" s="1453"/>
      <c r="F140" s="2354"/>
      <c r="G140" s="340"/>
      <c r="H140" s="1166"/>
      <c r="I140" s="1930"/>
      <c r="J140" s="1347"/>
      <c r="K140" s="1341"/>
      <c r="L140" s="1500"/>
      <c r="M140" s="1933" t="s">
        <v>130</v>
      </c>
      <c r="N140" s="1934">
        <v>15</v>
      </c>
      <c r="O140" s="1935">
        <v>100</v>
      </c>
      <c r="P140" s="1734"/>
    </row>
    <row r="141" spans="1:19" ht="26.25" customHeight="1" x14ac:dyDescent="0.2">
      <c r="A141" s="1196"/>
      <c r="B141" s="1179"/>
      <c r="C141" s="1180"/>
      <c r="D141" s="1470" t="s">
        <v>19</v>
      </c>
      <c r="E141" s="1470"/>
      <c r="F141" s="528" t="s">
        <v>807</v>
      </c>
      <c r="G141" s="340"/>
      <c r="H141" s="1166"/>
      <c r="I141" s="1930"/>
      <c r="J141" s="1347"/>
      <c r="K141" s="1341"/>
      <c r="L141" s="1500"/>
      <c r="M141" s="1831" t="s">
        <v>56</v>
      </c>
      <c r="N141" s="1833">
        <v>2</v>
      </c>
      <c r="O141" s="1834">
        <v>5</v>
      </c>
      <c r="P141" s="1835"/>
      <c r="R141" s="208"/>
      <c r="S141" s="208"/>
    </row>
    <row r="142" spans="1:19" ht="26.25" customHeight="1" x14ac:dyDescent="0.2">
      <c r="A142" s="1196"/>
      <c r="B142" s="1179"/>
      <c r="C142" s="1180"/>
      <c r="D142" s="1453"/>
      <c r="E142" s="1453"/>
      <c r="F142" s="2354" t="s">
        <v>808</v>
      </c>
      <c r="G142" s="340"/>
      <c r="H142" s="139"/>
      <c r="I142" s="1930"/>
      <c r="J142" s="1347"/>
      <c r="K142" s="1341"/>
      <c r="L142" s="1500"/>
      <c r="M142" s="2002" t="s">
        <v>65</v>
      </c>
      <c r="N142" s="1948"/>
      <c r="O142" s="1949">
        <v>10</v>
      </c>
      <c r="P142" s="1950">
        <v>30</v>
      </c>
      <c r="R142" s="208"/>
      <c r="S142" s="208"/>
    </row>
    <row r="143" spans="1:19" ht="26.25" customHeight="1" x14ac:dyDescent="0.2">
      <c r="A143" s="1178"/>
      <c r="B143" s="1179"/>
      <c r="C143" s="1180"/>
      <c r="D143" s="1453"/>
      <c r="E143" s="1453"/>
      <c r="F143" s="2355"/>
      <c r="G143" s="340"/>
      <c r="H143" s="139"/>
      <c r="I143" s="1930"/>
      <c r="J143" s="1347"/>
      <c r="K143" s="1341"/>
      <c r="L143" s="1500"/>
      <c r="M143" s="1836"/>
      <c r="N143" s="1793"/>
      <c r="O143" s="1774"/>
      <c r="P143" s="1838"/>
      <c r="R143" s="208"/>
      <c r="S143" s="208"/>
    </row>
    <row r="144" spans="1:19" ht="15.75" customHeight="1" x14ac:dyDescent="0.2">
      <c r="A144" s="1196"/>
      <c r="B144" s="1179"/>
      <c r="C144" s="1180"/>
      <c r="D144" s="1470" t="s">
        <v>21</v>
      </c>
      <c r="E144" s="1470"/>
      <c r="F144" s="2317" t="s">
        <v>198</v>
      </c>
      <c r="G144" s="1260"/>
      <c r="H144" s="1168"/>
      <c r="I144" s="1930"/>
      <c r="J144" s="1347"/>
      <c r="K144" s="1341"/>
      <c r="L144" s="1500"/>
      <c r="M144" s="2606" t="s">
        <v>62</v>
      </c>
      <c r="N144" s="1840">
        <v>1</v>
      </c>
      <c r="O144" s="1802"/>
      <c r="P144" s="1841"/>
      <c r="Q144" s="1276"/>
    </row>
    <row r="145" spans="1:20" ht="15.75" customHeight="1" x14ac:dyDescent="0.2">
      <c r="A145" s="1178"/>
      <c r="B145" s="1179"/>
      <c r="C145" s="1277"/>
      <c r="D145" s="1453"/>
      <c r="E145" s="1453"/>
      <c r="F145" s="2331"/>
      <c r="G145" s="1260"/>
      <c r="H145" s="1168"/>
      <c r="I145" s="1930"/>
      <c r="J145" s="1347"/>
      <c r="K145" s="1341"/>
      <c r="L145" s="1500"/>
      <c r="M145" s="2607"/>
      <c r="N145" s="1842"/>
      <c r="O145" s="1767"/>
      <c r="P145" s="1843"/>
      <c r="Q145" s="1276"/>
    </row>
    <row r="146" spans="1:20" ht="15.75" customHeight="1" x14ac:dyDescent="0.2">
      <c r="A146" s="1178"/>
      <c r="B146" s="1179"/>
      <c r="C146" s="1277"/>
      <c r="D146" s="1453"/>
      <c r="E146" s="1453"/>
      <c r="F146" s="2331"/>
      <c r="G146" s="1278"/>
      <c r="H146" s="1279"/>
      <c r="I146" s="1930"/>
      <c r="J146" s="1507"/>
      <c r="K146" s="1510"/>
      <c r="L146" s="1511"/>
      <c r="M146" s="2610" t="s">
        <v>83</v>
      </c>
      <c r="N146" s="2033"/>
      <c r="O146" s="1949"/>
      <c r="P146" s="2034">
        <v>100</v>
      </c>
    </row>
    <row r="147" spans="1:20" ht="13.5" customHeight="1" thickBot="1" x14ac:dyDescent="0.25">
      <c r="A147" s="1268"/>
      <c r="B147" s="1213"/>
      <c r="C147" s="1214"/>
      <c r="D147" s="1463"/>
      <c r="E147" s="1463"/>
      <c r="F147" s="1886"/>
      <c r="G147" s="2338" t="s">
        <v>16</v>
      </c>
      <c r="H147" s="2339"/>
      <c r="I147" s="2340"/>
      <c r="J147" s="165">
        <f>SUM(J132:J146)</f>
        <v>448.2</v>
      </c>
      <c r="K147" s="2001">
        <f t="shared" ref="K147" si="5">SUM(K132:K146)</f>
        <v>2459.4</v>
      </c>
      <c r="L147" s="1235">
        <f>SUM(L132:L146)</f>
        <v>1022.8</v>
      </c>
      <c r="M147" s="2611"/>
      <c r="N147" s="492"/>
      <c r="O147" s="1130"/>
      <c r="P147" s="1282"/>
      <c r="Q147" s="1253"/>
      <c r="R147" s="1253"/>
      <c r="S147" s="233"/>
      <c r="T147" s="2332"/>
    </row>
    <row r="148" spans="1:20" ht="15.75" customHeight="1" x14ac:dyDescent="0.2">
      <c r="A148" s="1205" t="s">
        <v>17</v>
      </c>
      <c r="B148" s="1206" t="s">
        <v>14</v>
      </c>
      <c r="C148" s="1207" t="s">
        <v>21</v>
      </c>
      <c r="D148" s="1452"/>
      <c r="E148" s="1452"/>
      <c r="F148" s="2346" t="s">
        <v>199</v>
      </c>
      <c r="G148" s="64" t="s">
        <v>2</v>
      </c>
      <c r="H148" s="1281">
        <v>5</v>
      </c>
      <c r="I148" s="1900" t="s">
        <v>15</v>
      </c>
      <c r="J148" s="1342">
        <f>225.9-45.1</f>
        <v>180.8</v>
      </c>
      <c r="K148" s="1938">
        <v>634.29999999999995</v>
      </c>
      <c r="L148" s="1635"/>
      <c r="M148" s="1379"/>
      <c r="N148" s="1209"/>
      <c r="O148" s="1251"/>
      <c r="P148" s="1252"/>
      <c r="R148" s="233"/>
      <c r="S148" s="233"/>
      <c r="T148" s="2332"/>
    </row>
    <row r="149" spans="1:20" ht="15.75" customHeight="1" x14ac:dyDescent="0.2">
      <c r="A149" s="1196"/>
      <c r="B149" s="1179"/>
      <c r="C149" s="1180"/>
      <c r="D149" s="1453"/>
      <c r="E149" s="1453"/>
      <c r="F149" s="2347"/>
      <c r="G149" s="532"/>
      <c r="H149" s="1249"/>
      <c r="I149" s="1936" t="s">
        <v>113</v>
      </c>
      <c r="J149" s="1342">
        <v>426.7</v>
      </c>
      <c r="K149" s="1938">
        <v>106.3</v>
      </c>
      <c r="L149" s="2014"/>
      <c r="M149" s="1380"/>
      <c r="N149" s="1186"/>
      <c r="O149" s="1257"/>
      <c r="P149" s="1258"/>
      <c r="R149" s="1893"/>
      <c r="S149" s="1893"/>
      <c r="T149" s="1893"/>
    </row>
    <row r="150" spans="1:20" ht="15.75" customHeight="1" x14ac:dyDescent="0.2">
      <c r="A150" s="1196"/>
      <c r="B150" s="1179"/>
      <c r="C150" s="1180"/>
      <c r="D150" s="1453"/>
      <c r="E150" s="1453"/>
      <c r="F150" s="1963"/>
      <c r="G150" s="532"/>
      <c r="H150" s="1249"/>
      <c r="I150" s="2006" t="s">
        <v>268</v>
      </c>
      <c r="J150" s="2013"/>
      <c r="K150" s="1346">
        <v>86.5</v>
      </c>
      <c r="L150" s="1350">
        <f>1255.8-178.6</f>
        <v>1077.2</v>
      </c>
      <c r="M150" s="1380"/>
      <c r="N150" s="1186"/>
      <c r="O150" s="1257"/>
      <c r="P150" s="1258"/>
      <c r="R150" s="1964"/>
      <c r="S150" s="1964"/>
      <c r="T150" s="1964"/>
    </row>
    <row r="151" spans="1:20" ht="15.75" customHeight="1" x14ac:dyDescent="0.2">
      <c r="A151" s="1196"/>
      <c r="B151" s="1179"/>
      <c r="C151" s="1180"/>
      <c r="D151" s="1453"/>
      <c r="E151" s="1453"/>
      <c r="F151" s="2090"/>
      <c r="G151" s="532"/>
      <c r="H151" s="1249"/>
      <c r="I151" s="2006" t="s">
        <v>110</v>
      </c>
      <c r="J151" s="2013">
        <v>2.8</v>
      </c>
      <c r="K151" s="1346"/>
      <c r="L151" s="1350"/>
      <c r="M151" s="1380"/>
      <c r="N151" s="1186"/>
      <c r="O151" s="1257"/>
      <c r="P151" s="1258"/>
      <c r="R151" s="2091"/>
      <c r="S151" s="2091"/>
      <c r="T151" s="2091"/>
    </row>
    <row r="152" spans="1:20" ht="27.75" customHeight="1" x14ac:dyDescent="0.2">
      <c r="A152" s="1196"/>
      <c r="B152" s="1179"/>
      <c r="C152" s="1180"/>
      <c r="D152" s="1470" t="s">
        <v>14</v>
      </c>
      <c r="E152" s="1470"/>
      <c r="F152" s="2317" t="s">
        <v>200</v>
      </c>
      <c r="G152" s="1260"/>
      <c r="H152" s="1168"/>
      <c r="I152" s="1937"/>
      <c r="J152" s="1347"/>
      <c r="K152" s="2012"/>
      <c r="L152" s="1500"/>
      <c r="M152" s="1845" t="s">
        <v>101</v>
      </c>
      <c r="N152" s="1801">
        <v>100</v>
      </c>
      <c r="O152" s="1085"/>
      <c r="P152" s="1082"/>
      <c r="R152" s="1893"/>
      <c r="S152" s="1893"/>
      <c r="T152" s="1893"/>
    </row>
    <row r="153" spans="1:20" ht="41.25" customHeight="1" x14ac:dyDescent="0.2">
      <c r="A153" s="1178"/>
      <c r="B153" s="1179"/>
      <c r="C153" s="1277"/>
      <c r="D153" s="1453"/>
      <c r="E153" s="1453"/>
      <c r="F153" s="2331"/>
      <c r="G153" s="1260"/>
      <c r="H153" s="1168"/>
      <c r="I153" s="1937"/>
      <c r="J153" s="1347"/>
      <c r="K153" s="2012"/>
      <c r="L153" s="1500"/>
      <c r="M153" s="1848" t="s">
        <v>128</v>
      </c>
      <c r="N153" s="1850">
        <v>100</v>
      </c>
      <c r="O153" s="1085"/>
      <c r="P153" s="1082"/>
      <c r="R153" s="1893"/>
      <c r="S153" s="1893"/>
      <c r="T153" s="1893"/>
    </row>
    <row r="154" spans="1:20" ht="15.75" customHeight="1" x14ac:dyDescent="0.2">
      <c r="A154" s="1196"/>
      <c r="B154" s="1179"/>
      <c r="C154" s="1180"/>
      <c r="D154" s="1470" t="s">
        <v>17</v>
      </c>
      <c r="E154" s="1470"/>
      <c r="F154" s="2317" t="s">
        <v>201</v>
      </c>
      <c r="G154" s="1260"/>
      <c r="H154" s="1168"/>
      <c r="I154" s="1937"/>
      <c r="J154" s="1347"/>
      <c r="K154" s="1341"/>
      <c r="L154" s="1500"/>
      <c r="M154" s="2616" t="s">
        <v>103</v>
      </c>
      <c r="N154" s="1801"/>
      <c r="O154" s="1802">
        <v>35</v>
      </c>
      <c r="P154" s="1800">
        <v>100</v>
      </c>
      <c r="R154" s="1893"/>
      <c r="S154" s="1893"/>
      <c r="T154" s="1893"/>
    </row>
    <row r="155" spans="1:20" ht="15.75" customHeight="1" x14ac:dyDescent="0.2">
      <c r="A155" s="1178"/>
      <c r="B155" s="1179"/>
      <c r="C155" s="1277"/>
      <c r="D155" s="1453"/>
      <c r="E155" s="1453"/>
      <c r="F155" s="2331"/>
      <c r="G155" s="1260"/>
      <c r="H155" s="1168"/>
      <c r="I155" s="2005"/>
      <c r="J155" s="1990"/>
      <c r="K155" s="1991"/>
      <c r="L155" s="2009"/>
      <c r="M155" s="2601"/>
      <c r="N155" s="1766"/>
      <c r="O155" s="1767"/>
      <c r="P155" s="1855"/>
      <c r="R155" s="1893"/>
      <c r="S155" s="1893"/>
      <c r="T155" s="1893"/>
    </row>
    <row r="156" spans="1:20" ht="15.75" customHeight="1" thickBot="1" x14ac:dyDescent="0.25">
      <c r="A156" s="1216"/>
      <c r="B156" s="1213"/>
      <c r="C156" s="1214"/>
      <c r="D156" s="1463"/>
      <c r="E156" s="1463"/>
      <c r="F156" s="2306"/>
      <c r="G156" s="2338" t="s">
        <v>54</v>
      </c>
      <c r="H156" s="2339"/>
      <c r="I156" s="2615"/>
      <c r="J156" s="165">
        <f>SUM(J148:J155)</f>
        <v>610.29999999999995</v>
      </c>
      <c r="K156" s="249">
        <f t="shared" ref="K156:L156" si="6">SUM(K148:K155)</f>
        <v>827.09999999999991</v>
      </c>
      <c r="L156" s="840">
        <f t="shared" si="6"/>
        <v>1077.2</v>
      </c>
      <c r="M156" s="2611"/>
      <c r="N156" s="492"/>
      <c r="O156" s="1130"/>
      <c r="P156" s="178"/>
      <c r="Q156" s="1253"/>
      <c r="R156" s="1253"/>
      <c r="S156" s="233"/>
      <c r="T156" s="2332"/>
    </row>
    <row r="157" spans="1:20" ht="29.25" customHeight="1" x14ac:dyDescent="0.2">
      <c r="A157" s="1205" t="s">
        <v>17</v>
      </c>
      <c r="B157" s="1206" t="s">
        <v>14</v>
      </c>
      <c r="C157" s="1207" t="s">
        <v>22</v>
      </c>
      <c r="D157" s="1452"/>
      <c r="E157" s="1452"/>
      <c r="F157" s="1892" t="s">
        <v>104</v>
      </c>
      <c r="G157" s="319"/>
      <c r="H157" s="1236">
        <v>2</v>
      </c>
      <c r="I157" s="1315" t="s">
        <v>15</v>
      </c>
      <c r="J157" s="1633">
        <v>332.3</v>
      </c>
      <c r="K157" s="1634">
        <v>293.5</v>
      </c>
      <c r="L157" s="1635">
        <v>330.1</v>
      </c>
      <c r="M157" s="1901"/>
      <c r="N157" s="1209"/>
      <c r="O157" s="1251"/>
      <c r="P157" s="1252"/>
      <c r="R157" s="233"/>
      <c r="S157" s="233"/>
      <c r="T157" s="2332"/>
    </row>
    <row r="158" spans="1:20" ht="21" customHeight="1" x14ac:dyDescent="0.2">
      <c r="A158" s="1196"/>
      <c r="B158" s="1179"/>
      <c r="C158" s="1176"/>
      <c r="D158" s="1469" t="s">
        <v>14</v>
      </c>
      <c r="E158" s="1470"/>
      <c r="F158" s="2317" t="s">
        <v>809</v>
      </c>
      <c r="G158" s="402"/>
      <c r="H158" s="1181"/>
      <c r="I158" s="2015"/>
      <c r="J158" s="955"/>
      <c r="K158" s="813"/>
      <c r="L158" s="97"/>
      <c r="M158" s="1889" t="s">
        <v>131</v>
      </c>
      <c r="N158" s="71">
        <v>7</v>
      </c>
      <c r="O158" s="1499">
        <v>12</v>
      </c>
      <c r="P158" s="43">
        <v>12</v>
      </c>
    </row>
    <row r="159" spans="1:20" ht="21" customHeight="1" x14ac:dyDescent="0.2">
      <c r="A159" s="1196"/>
      <c r="B159" s="1179"/>
      <c r="C159" s="1176"/>
      <c r="D159" s="1468"/>
      <c r="E159" s="1471"/>
      <c r="F159" s="2318"/>
      <c r="G159" s="402"/>
      <c r="H159" s="1181"/>
      <c r="I159" s="1974"/>
      <c r="J159" s="1972"/>
      <c r="K159" s="325"/>
      <c r="L159" s="1614"/>
      <c r="M159" s="135"/>
      <c r="N159" s="217"/>
      <c r="O159" s="134"/>
      <c r="P159" s="1084"/>
    </row>
    <row r="160" spans="1:20" ht="30" customHeight="1" x14ac:dyDescent="0.2">
      <c r="A160" s="1178"/>
      <c r="B160" s="1179"/>
      <c r="C160" s="1283"/>
      <c r="D160" s="1478" t="s">
        <v>17</v>
      </c>
      <c r="E160" s="1478"/>
      <c r="F160" s="1880" t="s">
        <v>810</v>
      </c>
      <c r="G160" s="438"/>
      <c r="H160" s="1181"/>
      <c r="I160" s="1742"/>
      <c r="J160" s="955"/>
      <c r="K160" s="1962"/>
      <c r="L160" s="99"/>
      <c r="M160" s="1901" t="s">
        <v>131</v>
      </c>
      <c r="N160" s="21">
        <v>22</v>
      </c>
      <c r="O160" s="590">
        <v>22</v>
      </c>
      <c r="P160" s="82">
        <v>22</v>
      </c>
    </row>
    <row r="161" spans="1:20" s="38" customFormat="1" ht="18.75" customHeight="1" x14ac:dyDescent="0.2">
      <c r="A161" s="1915"/>
      <c r="B161" s="1896"/>
      <c r="C161" s="207"/>
      <c r="D161" s="1466" t="s">
        <v>19</v>
      </c>
      <c r="E161" s="1466"/>
      <c r="F161" s="2317" t="s">
        <v>736</v>
      </c>
      <c r="G161" s="438"/>
      <c r="H161" s="1914"/>
      <c r="I161" s="2612"/>
      <c r="J161" s="2613"/>
      <c r="K161" s="2388"/>
      <c r="L161" s="2614"/>
      <c r="M161" s="384" t="s">
        <v>247</v>
      </c>
      <c r="N161" s="70">
        <v>685</v>
      </c>
      <c r="O161" s="140"/>
      <c r="P161" s="41"/>
    </row>
    <row r="162" spans="1:20" s="38" customFormat="1" ht="20.25" customHeight="1" x14ac:dyDescent="0.2">
      <c r="A162" s="1915"/>
      <c r="B162" s="1896"/>
      <c r="C162" s="207"/>
      <c r="D162" s="1466"/>
      <c r="E162" s="1466"/>
      <c r="F162" s="2318"/>
      <c r="G162" s="438"/>
      <c r="H162" s="1914"/>
      <c r="I162" s="2612"/>
      <c r="J162" s="2613"/>
      <c r="K162" s="2388"/>
      <c r="L162" s="2614"/>
      <c r="M162" s="384" t="s">
        <v>160</v>
      </c>
      <c r="N162" s="70">
        <v>20</v>
      </c>
      <c r="O162" s="140"/>
      <c r="P162" s="41"/>
    </row>
    <row r="163" spans="1:20" s="38" customFormat="1" ht="16.5" customHeight="1" x14ac:dyDescent="0.2">
      <c r="A163" s="1918"/>
      <c r="B163" s="1896"/>
      <c r="C163" s="1884"/>
      <c r="D163" s="1480" t="s">
        <v>21</v>
      </c>
      <c r="E163" s="1480"/>
      <c r="F163" s="2317" t="s">
        <v>728</v>
      </c>
      <c r="G163" s="1181"/>
      <c r="H163" s="1181"/>
      <c r="I163" s="1742"/>
      <c r="J163" s="955"/>
      <c r="K163" s="1883"/>
      <c r="L163" s="99"/>
      <c r="M163" s="2299" t="s">
        <v>358</v>
      </c>
      <c r="N163" s="21">
        <v>3</v>
      </c>
      <c r="O163" s="590"/>
      <c r="P163" s="592"/>
      <c r="R163" s="233"/>
      <c r="S163" s="233"/>
      <c r="T163" s="1893"/>
    </row>
    <row r="164" spans="1:20" ht="16.5" customHeight="1" thickBot="1" x14ac:dyDescent="0.25">
      <c r="A164" s="1178"/>
      <c r="B164" s="1179"/>
      <c r="C164" s="1277"/>
      <c r="D164" s="1463"/>
      <c r="E164" s="1463"/>
      <c r="F164" s="2306"/>
      <c r="G164" s="2339" t="s">
        <v>54</v>
      </c>
      <c r="H164" s="2339"/>
      <c r="I164" s="2621"/>
      <c r="J164" s="165">
        <f>SUM(J157:J163)</f>
        <v>332.3</v>
      </c>
      <c r="K164" s="249">
        <f t="shared" ref="K164:L164" si="7">SUM(K157:K163)</f>
        <v>293.5</v>
      </c>
      <c r="L164" s="840">
        <f t="shared" si="7"/>
        <v>330.1</v>
      </c>
      <c r="M164" s="2300"/>
      <c r="N164" s="492"/>
      <c r="O164" s="1130"/>
      <c r="P164" s="1282"/>
    </row>
    <row r="165" spans="1:20" ht="15.75" customHeight="1" thickBot="1" x14ac:dyDescent="0.25">
      <c r="A165" s="1284" t="s">
        <v>17</v>
      </c>
      <c r="B165" s="1285" t="s">
        <v>14</v>
      </c>
      <c r="C165" s="2590" t="s">
        <v>20</v>
      </c>
      <c r="D165" s="2591"/>
      <c r="E165" s="2591"/>
      <c r="F165" s="2591"/>
      <c r="G165" s="2591"/>
      <c r="H165" s="2591"/>
      <c r="I165" s="2592"/>
      <c r="J165" s="1606">
        <f>J156+J147+J131+J164+J107</f>
        <v>6850.3</v>
      </c>
      <c r="K165" s="1607">
        <f>K156+K147+K131+K164+K107</f>
        <v>9240.2000000000007</v>
      </c>
      <c r="L165" s="1608">
        <f>L156+L147+L131+L164+L107</f>
        <v>8709.5</v>
      </c>
      <c r="M165" s="1241"/>
      <c r="N165" s="1242"/>
      <c r="O165" s="1242"/>
      <c r="P165" s="1243"/>
    </row>
    <row r="166" spans="1:20" ht="17.25" customHeight="1" thickBot="1" x14ac:dyDescent="0.25">
      <c r="A166" s="1178" t="s">
        <v>17</v>
      </c>
      <c r="B166" s="1240" t="s">
        <v>17</v>
      </c>
      <c r="C166" s="2622" t="s">
        <v>73</v>
      </c>
      <c r="D166" s="2323"/>
      <c r="E166" s="2323"/>
      <c r="F166" s="2323"/>
      <c r="G166" s="2323"/>
      <c r="H166" s="2323"/>
      <c r="I166" s="2323"/>
      <c r="J166" s="2323"/>
      <c r="K166" s="2323"/>
      <c r="L166" s="2323"/>
      <c r="M166" s="2323"/>
      <c r="N166" s="2323"/>
      <c r="O166" s="2323"/>
      <c r="P166" s="2324"/>
    </row>
    <row r="167" spans="1:20" ht="15.75" customHeight="1" x14ac:dyDescent="0.2">
      <c r="A167" s="1286" t="s">
        <v>17</v>
      </c>
      <c r="B167" s="1287" t="s">
        <v>17</v>
      </c>
      <c r="C167" s="1248" t="s">
        <v>14</v>
      </c>
      <c r="D167" s="1452"/>
      <c r="E167" s="1452"/>
      <c r="F167" s="2305" t="s">
        <v>204</v>
      </c>
      <c r="G167" s="1894"/>
      <c r="H167" s="1218">
        <v>2</v>
      </c>
      <c r="I167" s="1289" t="s">
        <v>15</v>
      </c>
      <c r="J167" s="1086">
        <v>44</v>
      </c>
      <c r="K167" s="394">
        <v>17.2</v>
      </c>
      <c r="L167" s="1087"/>
      <c r="M167" s="336" t="s">
        <v>131</v>
      </c>
      <c r="N167" s="1687">
        <v>8</v>
      </c>
      <c r="O167" s="1415">
        <v>4</v>
      </c>
      <c r="P167" s="1290"/>
    </row>
    <row r="168" spans="1:20" ht="17.25" customHeight="1" thickBot="1" x14ac:dyDescent="0.25">
      <c r="A168" s="1291"/>
      <c r="B168" s="1199"/>
      <c r="C168" s="1214"/>
      <c r="D168" s="1449"/>
      <c r="E168" s="1449"/>
      <c r="F168" s="2306"/>
      <c r="G168" s="1895"/>
      <c r="H168" s="1215"/>
      <c r="I168" s="36" t="s">
        <v>16</v>
      </c>
      <c r="J168" s="165">
        <f t="shared" ref="J168:K168" si="8">J167</f>
        <v>44</v>
      </c>
      <c r="K168" s="249">
        <f t="shared" si="8"/>
        <v>17.2</v>
      </c>
      <c r="L168" s="429"/>
      <c r="M168" s="457" t="s">
        <v>208</v>
      </c>
      <c r="N168" s="1688">
        <v>586</v>
      </c>
      <c r="O168" s="1416">
        <v>235</v>
      </c>
      <c r="P168" s="1280"/>
    </row>
    <row r="169" spans="1:20" ht="16.5" customHeight="1" x14ac:dyDescent="0.2">
      <c r="A169" s="1205" t="s">
        <v>17</v>
      </c>
      <c r="B169" s="1206" t="s">
        <v>17</v>
      </c>
      <c r="C169" s="1481" t="s">
        <v>17</v>
      </c>
      <c r="D169" s="1456"/>
      <c r="E169" s="1452"/>
      <c r="F169" s="192" t="s">
        <v>91</v>
      </c>
      <c r="G169" s="1691"/>
      <c r="H169" s="1218">
        <v>2</v>
      </c>
      <c r="I169" s="1209" t="s">
        <v>15</v>
      </c>
      <c r="J169" s="328">
        <v>77.2</v>
      </c>
      <c r="K169" s="329">
        <v>72.5</v>
      </c>
      <c r="L169" s="623"/>
      <c r="M169" s="1891"/>
      <c r="N169" s="1209"/>
      <c r="O169" s="1251"/>
      <c r="P169" s="1252"/>
    </row>
    <row r="170" spans="1:20" s="38" customFormat="1" ht="18" customHeight="1" x14ac:dyDescent="0.2">
      <c r="A170" s="1918"/>
      <c r="B170" s="1896"/>
      <c r="C170" s="9"/>
      <c r="D170" s="1694" t="s">
        <v>14</v>
      </c>
      <c r="E170" s="1480"/>
      <c r="F170" s="2317" t="s">
        <v>97</v>
      </c>
      <c r="G170" s="1692"/>
      <c r="H170" s="1914"/>
      <c r="I170" s="1974"/>
      <c r="J170" s="1972"/>
      <c r="K170" s="261"/>
      <c r="L170" s="175"/>
      <c r="M170" s="1325" t="s">
        <v>131</v>
      </c>
      <c r="N170" s="70">
        <v>31</v>
      </c>
      <c r="O170" s="140">
        <v>6</v>
      </c>
      <c r="P170" s="41"/>
      <c r="Q170" s="80"/>
    </row>
    <row r="171" spans="1:20" s="38" customFormat="1" ht="14.25" customHeight="1" x14ac:dyDescent="0.2">
      <c r="A171" s="1918"/>
      <c r="B171" s="1896"/>
      <c r="C171" s="9"/>
      <c r="D171" s="1455"/>
      <c r="E171" s="1467"/>
      <c r="F171" s="2331"/>
      <c r="G171" s="1692"/>
      <c r="H171" s="1914"/>
      <c r="I171" s="1974"/>
      <c r="J171" s="1972"/>
      <c r="K171" s="261"/>
      <c r="L171" s="175"/>
      <c r="M171" s="1325" t="s">
        <v>70</v>
      </c>
      <c r="N171" s="21">
        <v>39</v>
      </c>
      <c r="O171" s="590">
        <v>9</v>
      </c>
      <c r="P171" s="239"/>
      <c r="Q171" s="2627"/>
      <c r="R171" s="2628"/>
    </row>
    <row r="172" spans="1:20" s="38" customFormat="1" ht="43.5" customHeight="1" x14ac:dyDescent="0.2">
      <c r="A172" s="1918"/>
      <c r="B172" s="1896"/>
      <c r="C172" s="9"/>
      <c r="D172" s="1694" t="s">
        <v>17</v>
      </c>
      <c r="E172" s="1694"/>
      <c r="F172" s="2067" t="s">
        <v>811</v>
      </c>
      <c r="G172" s="1692"/>
      <c r="H172" s="1980"/>
      <c r="I172" s="1974"/>
      <c r="J172" s="2016"/>
      <c r="K172" s="260"/>
      <c r="L172" s="232"/>
      <c r="M172" s="1316" t="s">
        <v>249</v>
      </c>
      <c r="N172" s="70">
        <v>55</v>
      </c>
      <c r="O172" s="140">
        <v>50</v>
      </c>
      <c r="P172" s="83"/>
      <c r="Q172" s="2627"/>
      <c r="R172" s="2628"/>
    </row>
    <row r="173" spans="1:20" s="38" customFormat="1" ht="15.75" customHeight="1" x14ac:dyDescent="0.2">
      <c r="A173" s="1918"/>
      <c r="B173" s="1896"/>
      <c r="C173" s="9"/>
      <c r="D173" s="1457"/>
      <c r="E173" s="1455"/>
      <c r="F173" s="1951" t="s">
        <v>365</v>
      </c>
      <c r="G173" s="1692"/>
      <c r="H173" s="1980"/>
      <c r="I173" s="217"/>
      <c r="J173" s="1968"/>
      <c r="K173" s="1970"/>
      <c r="L173" s="122"/>
      <c r="M173" s="128" t="s">
        <v>142</v>
      </c>
      <c r="N173" s="71">
        <v>11</v>
      </c>
      <c r="O173" s="138">
        <v>10</v>
      </c>
      <c r="P173" s="43"/>
      <c r="Q173" s="2627"/>
      <c r="R173" s="2628"/>
    </row>
    <row r="174" spans="1:20" s="38" customFormat="1" ht="15" customHeight="1" x14ac:dyDescent="0.2">
      <c r="A174" s="1918"/>
      <c r="B174" s="1896"/>
      <c r="C174" s="9"/>
      <c r="D174" s="1457"/>
      <c r="E174" s="1455"/>
      <c r="F174" s="199" t="s">
        <v>363</v>
      </c>
      <c r="G174" s="1692"/>
      <c r="H174" s="1913">
        <v>1</v>
      </c>
      <c r="I174" s="215" t="s">
        <v>15</v>
      </c>
      <c r="J174" s="1967">
        <v>158</v>
      </c>
      <c r="K174" s="1969">
        <f>252.8-80</f>
        <v>172.8</v>
      </c>
      <c r="L174" s="115">
        <f>185.5-30+104</f>
        <v>259.5</v>
      </c>
      <c r="M174" s="384" t="s">
        <v>131</v>
      </c>
      <c r="N174" s="70">
        <v>10</v>
      </c>
      <c r="O174" s="1392">
        <v>11</v>
      </c>
      <c r="P174" s="41">
        <v>12</v>
      </c>
      <c r="Q174" s="2627"/>
      <c r="R174" s="2628"/>
    </row>
    <row r="175" spans="1:20" s="38" customFormat="1" ht="15.75" customHeight="1" x14ac:dyDescent="0.2">
      <c r="A175" s="1918"/>
      <c r="B175" s="1896"/>
      <c r="C175" s="9"/>
      <c r="D175" s="1457"/>
      <c r="E175" s="1467"/>
      <c r="F175" s="2317" t="s">
        <v>812</v>
      </c>
      <c r="G175" s="1692"/>
      <c r="H175" s="1914"/>
      <c r="I175" s="1974"/>
      <c r="J175" s="738"/>
      <c r="K175" s="1962"/>
      <c r="L175" s="99"/>
      <c r="M175" s="127" t="s">
        <v>131</v>
      </c>
      <c r="N175" s="21"/>
      <c r="O175" s="590"/>
      <c r="P175" s="239">
        <v>52</v>
      </c>
      <c r="Q175" s="2627"/>
      <c r="R175" s="2628"/>
    </row>
    <row r="176" spans="1:20" s="38" customFormat="1" ht="15.75" customHeight="1" thickBot="1" x14ac:dyDescent="0.25">
      <c r="A176" s="1918"/>
      <c r="B176" s="1896"/>
      <c r="C176" s="9"/>
      <c r="D176" s="1457"/>
      <c r="E176" s="1467"/>
      <c r="F176" s="2331"/>
      <c r="G176" s="1692"/>
      <c r="H176" s="1914"/>
      <c r="I176" s="1941" t="s">
        <v>16</v>
      </c>
      <c r="J176" s="103">
        <f>SUM(J169:J175)</f>
        <v>235.2</v>
      </c>
      <c r="K176" s="252">
        <f t="shared" ref="K176:L176" si="9">SUM(K169:K175)</f>
        <v>245.3</v>
      </c>
      <c r="L176" s="104">
        <f t="shared" si="9"/>
        <v>259.5</v>
      </c>
      <c r="M176" s="127"/>
      <c r="N176" s="21"/>
      <c r="O176" s="590"/>
      <c r="P176" s="156"/>
    </row>
    <row r="177" spans="1:18" ht="15.75" customHeight="1" thickBot="1" x14ac:dyDescent="0.25">
      <c r="A177" s="1239" t="s">
        <v>17</v>
      </c>
      <c r="B177" s="1240" t="s">
        <v>17</v>
      </c>
      <c r="C177" s="2590" t="s">
        <v>20</v>
      </c>
      <c r="D177" s="2591"/>
      <c r="E177" s="2591"/>
      <c r="F177" s="2591"/>
      <c r="G177" s="2591"/>
      <c r="H177" s="2591"/>
      <c r="I177" s="2623"/>
      <c r="J177" s="1939">
        <f>+J168+J176</f>
        <v>279.2</v>
      </c>
      <c r="K177" s="1647">
        <f>+K168+K176</f>
        <v>262.5</v>
      </c>
      <c r="L177" s="1940">
        <f>+L168+L176</f>
        <v>259.5</v>
      </c>
      <c r="M177" s="1241"/>
      <c r="N177" s="1242"/>
      <c r="O177" s="1242"/>
      <c r="P177" s="1243"/>
    </row>
    <row r="178" spans="1:18" ht="15.75" customHeight="1" thickBot="1" x14ac:dyDescent="0.25">
      <c r="A178" s="1239" t="s">
        <v>17</v>
      </c>
      <c r="B178" s="1295" t="s">
        <v>19</v>
      </c>
      <c r="C178" s="2622" t="s">
        <v>34</v>
      </c>
      <c r="D178" s="2323"/>
      <c r="E178" s="2323"/>
      <c r="F178" s="2323"/>
      <c r="G178" s="2323"/>
      <c r="H178" s="2323"/>
      <c r="I178" s="2323"/>
      <c r="J178" s="2323"/>
      <c r="K178" s="2323"/>
      <c r="L178" s="2323"/>
      <c r="M178" s="2323"/>
      <c r="N178" s="2323"/>
      <c r="O178" s="2323"/>
      <c r="P178" s="2324"/>
    </row>
    <row r="179" spans="1:18" ht="15.75" customHeight="1" x14ac:dyDescent="0.2">
      <c r="A179" s="1205" t="s">
        <v>17</v>
      </c>
      <c r="B179" s="1206" t="s">
        <v>19</v>
      </c>
      <c r="C179" s="1207" t="s">
        <v>14</v>
      </c>
      <c r="D179" s="1445"/>
      <c r="E179" s="1445"/>
      <c r="F179" s="2325" t="s">
        <v>35</v>
      </c>
      <c r="G179" s="1894"/>
      <c r="H179" s="1208">
        <v>6</v>
      </c>
      <c r="I179" s="33" t="s">
        <v>15</v>
      </c>
      <c r="J179" s="1649">
        <v>2182.4</v>
      </c>
      <c r="K179" s="1650">
        <v>1897.2</v>
      </c>
      <c r="L179" s="2020">
        <v>1859.2</v>
      </c>
      <c r="M179" s="1296"/>
      <c r="N179" s="1209"/>
      <c r="O179" s="1251"/>
      <c r="P179" s="1252"/>
    </row>
    <row r="180" spans="1:18" ht="15.75" customHeight="1" x14ac:dyDescent="0.2">
      <c r="A180" s="1196"/>
      <c r="B180" s="1179"/>
      <c r="C180" s="1180"/>
      <c r="D180" s="1446"/>
      <c r="E180" s="1446"/>
      <c r="F180" s="2326"/>
      <c r="G180" s="1966"/>
      <c r="H180" s="1168"/>
      <c r="I180" s="184" t="s">
        <v>110</v>
      </c>
      <c r="J180" s="2019">
        <f>56.4+7.4</f>
        <v>63.8</v>
      </c>
      <c r="K180" s="2023"/>
      <c r="L180" s="2021"/>
      <c r="M180" s="1259"/>
      <c r="N180" s="1186"/>
      <c r="O180" s="1257"/>
      <c r="P180" s="1258"/>
    </row>
    <row r="181" spans="1:18" ht="15.75" customHeight="1" x14ac:dyDescent="0.2">
      <c r="A181" s="1196"/>
      <c r="B181" s="1179"/>
      <c r="C181" s="1180"/>
      <c r="D181" s="1446"/>
      <c r="E181" s="1446"/>
      <c r="F181" s="2326"/>
      <c r="G181" s="1916"/>
      <c r="H181" s="1168"/>
      <c r="I181" s="1978" t="s">
        <v>18</v>
      </c>
      <c r="J181" s="2017">
        <v>7.4</v>
      </c>
      <c r="K181" s="2018">
        <v>7.4</v>
      </c>
      <c r="L181" s="2022">
        <v>7.4</v>
      </c>
      <c r="M181" s="1259"/>
      <c r="N181" s="1186"/>
      <c r="O181" s="1257"/>
      <c r="P181" s="1258"/>
    </row>
    <row r="182" spans="1:18" ht="95.25" customHeight="1" x14ac:dyDescent="0.2">
      <c r="A182" s="1196"/>
      <c r="B182" s="1179"/>
      <c r="C182" s="1254"/>
      <c r="D182" s="1472" t="s">
        <v>14</v>
      </c>
      <c r="E182" s="1472"/>
      <c r="F182" s="73" t="s">
        <v>813</v>
      </c>
      <c r="G182" s="1916"/>
      <c r="H182" s="1168"/>
      <c r="I182" s="34"/>
      <c r="J182" s="955"/>
      <c r="K182" s="1962"/>
      <c r="L182" s="99"/>
      <c r="M182" s="176" t="s">
        <v>211</v>
      </c>
      <c r="N182" s="70">
        <v>16</v>
      </c>
      <c r="O182" s="1392">
        <v>15</v>
      </c>
      <c r="P182" s="1393">
        <v>15</v>
      </c>
    </row>
    <row r="183" spans="1:18" s="233" customFormat="1" ht="30.75" customHeight="1" x14ac:dyDescent="0.2">
      <c r="A183" s="1196"/>
      <c r="B183" s="1179"/>
      <c r="C183" s="1254"/>
      <c r="D183" s="1453" t="s">
        <v>17</v>
      </c>
      <c r="E183" s="1453"/>
      <c r="F183" s="632" t="s">
        <v>95</v>
      </c>
      <c r="G183" s="1916"/>
      <c r="H183" s="1168"/>
      <c r="I183" s="34"/>
      <c r="J183" s="955"/>
      <c r="K183" s="1962"/>
      <c r="L183" s="99"/>
      <c r="M183" s="176" t="s">
        <v>131</v>
      </c>
      <c r="N183" s="70">
        <v>93</v>
      </c>
      <c r="O183" s="1392">
        <v>93</v>
      </c>
      <c r="P183" s="1393">
        <f>+N183</f>
        <v>93</v>
      </c>
    </row>
    <row r="184" spans="1:18" ht="28.5" customHeight="1" x14ac:dyDescent="0.2">
      <c r="A184" s="1196"/>
      <c r="B184" s="1179"/>
      <c r="C184" s="1254"/>
      <c r="D184" s="1482" t="s">
        <v>19</v>
      </c>
      <c r="E184" s="1472"/>
      <c r="F184" s="632" t="s">
        <v>40</v>
      </c>
      <c r="G184" s="2232"/>
      <c r="H184" s="1168"/>
      <c r="I184" s="34"/>
      <c r="J184" s="955"/>
      <c r="K184" s="2231"/>
      <c r="L184" s="99"/>
      <c r="M184" s="2209" t="s">
        <v>212</v>
      </c>
      <c r="N184" s="35">
        <v>30</v>
      </c>
      <c r="O184" s="1395">
        <v>30</v>
      </c>
      <c r="P184" s="1396">
        <v>30</v>
      </c>
    </row>
    <row r="185" spans="1:18" ht="29.25" customHeight="1" x14ac:dyDescent="0.2">
      <c r="A185" s="1196"/>
      <c r="B185" s="1179"/>
      <c r="C185" s="1254"/>
      <c r="D185" s="1453" t="s">
        <v>21</v>
      </c>
      <c r="E185" s="1453"/>
      <c r="F185" s="632" t="s">
        <v>42</v>
      </c>
      <c r="G185" s="1916"/>
      <c r="H185" s="1168"/>
      <c r="I185" s="34"/>
      <c r="J185" s="955"/>
      <c r="K185" s="1962"/>
      <c r="L185" s="99"/>
      <c r="M185" s="2209" t="s">
        <v>213</v>
      </c>
      <c r="N185" s="35">
        <v>3</v>
      </c>
      <c r="O185" s="1395">
        <v>3</v>
      </c>
      <c r="P185" s="1396">
        <f>+N185</f>
        <v>3</v>
      </c>
    </row>
    <row r="186" spans="1:18" ht="18" customHeight="1" x14ac:dyDescent="0.2">
      <c r="A186" s="1196"/>
      <c r="B186" s="1179"/>
      <c r="C186" s="1254"/>
      <c r="D186" s="1472" t="s">
        <v>22</v>
      </c>
      <c r="E186" s="1472"/>
      <c r="F186" s="73" t="s">
        <v>39</v>
      </c>
      <c r="G186" s="1916"/>
      <c r="H186" s="1168"/>
      <c r="I186" s="34"/>
      <c r="J186" s="955"/>
      <c r="K186" s="1962"/>
      <c r="L186" s="99"/>
      <c r="M186" s="176" t="s">
        <v>43</v>
      </c>
      <c r="N186" s="70">
        <v>35</v>
      </c>
      <c r="O186" s="1392">
        <v>37</v>
      </c>
      <c r="P186" s="1393">
        <v>38</v>
      </c>
      <c r="Q186" s="233"/>
      <c r="R186" s="1906"/>
    </row>
    <row r="187" spans="1:18" ht="30.75" customHeight="1" x14ac:dyDescent="0.2">
      <c r="A187" s="1196"/>
      <c r="B187" s="1179"/>
      <c r="C187" s="1180"/>
      <c r="D187" s="1446" t="s">
        <v>106</v>
      </c>
      <c r="E187" s="1446"/>
      <c r="F187" s="242" t="s">
        <v>127</v>
      </c>
      <c r="G187" s="1916"/>
      <c r="H187" s="1168"/>
      <c r="I187" s="34"/>
      <c r="J187" s="955"/>
      <c r="K187" s="1962"/>
      <c r="L187" s="99"/>
      <c r="M187" s="1889" t="s">
        <v>214</v>
      </c>
      <c r="N187" s="70">
        <v>7</v>
      </c>
      <c r="O187" s="1392">
        <v>3</v>
      </c>
      <c r="P187" s="1393"/>
      <c r="Q187" s="233"/>
      <c r="R187" s="1906"/>
    </row>
    <row r="188" spans="1:18" ht="14.25" customHeight="1" x14ac:dyDescent="0.2">
      <c r="A188" s="1196"/>
      <c r="B188" s="1179"/>
      <c r="C188" s="1180"/>
      <c r="D188" s="1474" t="s">
        <v>107</v>
      </c>
      <c r="E188" s="1474"/>
      <c r="F188" s="1897" t="s">
        <v>41</v>
      </c>
      <c r="G188" s="1916"/>
      <c r="H188" s="1168"/>
      <c r="I188" s="34"/>
      <c r="J188" s="955"/>
      <c r="K188" s="1962"/>
      <c r="L188" s="99"/>
      <c r="M188" s="2313" t="s">
        <v>215</v>
      </c>
      <c r="N188" s="21">
        <v>101</v>
      </c>
      <c r="O188" s="589">
        <v>101</v>
      </c>
      <c r="P188" s="1394">
        <f>+N188</f>
        <v>101</v>
      </c>
      <c r="Q188" s="233"/>
      <c r="R188" s="1906"/>
    </row>
    <row r="189" spans="1:18" ht="14.25" customHeight="1" x14ac:dyDescent="0.2">
      <c r="A189" s="1196"/>
      <c r="B189" s="1179"/>
      <c r="C189" s="1180"/>
      <c r="D189" s="1475"/>
      <c r="E189" s="1475"/>
      <c r="F189" s="588"/>
      <c r="G189" s="1916"/>
      <c r="H189" s="1168"/>
      <c r="I189" s="21"/>
      <c r="J189" s="955"/>
      <c r="K189" s="1962"/>
      <c r="L189" s="99"/>
      <c r="M189" s="2314"/>
      <c r="N189" s="21"/>
      <c r="O189" s="589"/>
      <c r="P189" s="1394"/>
      <c r="Q189" s="233"/>
      <c r="R189" s="1906"/>
    </row>
    <row r="190" spans="1:18" ht="27" customHeight="1" x14ac:dyDescent="0.2">
      <c r="A190" s="1196"/>
      <c r="B190" s="1179"/>
      <c r="C190" s="1254"/>
      <c r="D190" s="1453" t="s">
        <v>382</v>
      </c>
      <c r="E190" s="1453"/>
      <c r="F190" s="124" t="s">
        <v>50</v>
      </c>
      <c r="G190" s="50"/>
      <c r="H190" s="114"/>
      <c r="I190" s="21"/>
      <c r="J190" s="955"/>
      <c r="K190" s="1962"/>
      <c r="L190" s="99"/>
      <c r="M190" s="384" t="s">
        <v>131</v>
      </c>
      <c r="N190" s="70">
        <v>14</v>
      </c>
      <c r="O190" s="1392">
        <v>10</v>
      </c>
      <c r="P190" s="1393">
        <v>5</v>
      </c>
      <c r="Q190" s="1103"/>
      <c r="R190" s="1906"/>
    </row>
    <row r="191" spans="1:18" ht="29.25" customHeight="1" x14ac:dyDescent="0.2">
      <c r="A191" s="1196"/>
      <c r="B191" s="1179"/>
      <c r="C191" s="1254"/>
      <c r="D191" s="1472" t="s">
        <v>383</v>
      </c>
      <c r="E191" s="1472"/>
      <c r="F191" s="199" t="s">
        <v>743</v>
      </c>
      <c r="G191" s="50"/>
      <c r="H191" s="114"/>
      <c r="I191" s="21"/>
      <c r="J191" s="955"/>
      <c r="K191" s="1962"/>
      <c r="L191" s="99"/>
      <c r="M191" s="384" t="s">
        <v>131</v>
      </c>
      <c r="N191" s="70"/>
      <c r="O191" s="1392"/>
      <c r="P191" s="1393">
        <v>1</v>
      </c>
      <c r="Q191" s="1103"/>
      <c r="R191" s="1957"/>
    </row>
    <row r="192" spans="1:18" ht="30.75" customHeight="1" x14ac:dyDescent="0.2">
      <c r="A192" s="1196"/>
      <c r="B192" s="1179"/>
      <c r="C192" s="1254"/>
      <c r="D192" s="1472" t="s">
        <v>5</v>
      </c>
      <c r="E192" s="1472"/>
      <c r="F192" s="199" t="s">
        <v>61</v>
      </c>
      <c r="G192" s="50"/>
      <c r="H192" s="114"/>
      <c r="I192" s="21"/>
      <c r="J192" s="955"/>
      <c r="K192" s="1962"/>
      <c r="L192" s="99"/>
      <c r="M192" s="384" t="s">
        <v>131</v>
      </c>
      <c r="N192" s="35">
        <v>10</v>
      </c>
      <c r="O192" s="1395">
        <v>10</v>
      </c>
      <c r="P192" s="1396">
        <v>10</v>
      </c>
    </row>
    <row r="193" spans="1:28" ht="18" customHeight="1" x14ac:dyDescent="0.2">
      <c r="A193" s="1196"/>
      <c r="B193" s="1179"/>
      <c r="C193" s="1254"/>
      <c r="D193" s="1472" t="s">
        <v>384</v>
      </c>
      <c r="E193" s="1472"/>
      <c r="F193" s="1881" t="s">
        <v>86</v>
      </c>
      <c r="G193" s="134"/>
      <c r="H193" s="114"/>
      <c r="I193" s="21"/>
      <c r="J193" s="955"/>
      <c r="K193" s="1962"/>
      <c r="L193" s="99"/>
      <c r="M193" s="384" t="s">
        <v>131</v>
      </c>
      <c r="N193" s="35">
        <v>12</v>
      </c>
      <c r="O193" s="1395">
        <v>6</v>
      </c>
      <c r="P193" s="1396">
        <v>6</v>
      </c>
    </row>
    <row r="194" spans="1:28" ht="27.75" customHeight="1" x14ac:dyDescent="0.2">
      <c r="A194" s="1196"/>
      <c r="B194" s="1179"/>
      <c r="C194" s="1180"/>
      <c r="D194" s="1446" t="s">
        <v>385</v>
      </c>
      <c r="E194" s="1446"/>
      <c r="F194" s="2317" t="s">
        <v>817</v>
      </c>
      <c r="G194" s="2319" t="s">
        <v>49</v>
      </c>
      <c r="H194" s="1168"/>
      <c r="I194" s="34"/>
      <c r="J194" s="955"/>
      <c r="K194" s="1962"/>
      <c r="L194" s="99"/>
      <c r="M194" s="1901" t="s">
        <v>217</v>
      </c>
      <c r="N194" s="35">
        <v>2</v>
      </c>
      <c r="O194" s="1395">
        <v>2</v>
      </c>
      <c r="P194" s="1396">
        <v>2</v>
      </c>
    </row>
    <row r="195" spans="1:28" ht="27.75" customHeight="1" x14ac:dyDescent="0.2">
      <c r="A195" s="1196"/>
      <c r="B195" s="1179"/>
      <c r="C195" s="1180"/>
      <c r="D195" s="1446"/>
      <c r="E195" s="1446"/>
      <c r="F195" s="2318"/>
      <c r="G195" s="2320"/>
      <c r="H195" s="1168"/>
      <c r="I195" s="34"/>
      <c r="J195" s="955"/>
      <c r="K195" s="1962"/>
      <c r="L195" s="99"/>
      <c r="M195" s="176" t="s">
        <v>233</v>
      </c>
      <c r="N195" s="71">
        <v>5</v>
      </c>
      <c r="O195" s="17">
        <v>2</v>
      </c>
      <c r="P195" s="1397">
        <v>2</v>
      </c>
    </row>
    <row r="196" spans="1:28" ht="14.25" customHeight="1" x14ac:dyDescent="0.2">
      <c r="A196" s="1196"/>
      <c r="B196" s="1179"/>
      <c r="C196" s="1180"/>
      <c r="D196" s="1474" t="s">
        <v>386</v>
      </c>
      <c r="E196" s="1474"/>
      <c r="F196" s="2297" t="s">
        <v>171</v>
      </c>
      <c r="G196" s="430"/>
      <c r="H196" s="1181"/>
      <c r="I196" s="217"/>
      <c r="J196" s="646"/>
      <c r="K196" s="1970"/>
      <c r="L196" s="122"/>
      <c r="M196" s="1889" t="s">
        <v>131</v>
      </c>
      <c r="N196" s="71">
        <v>33</v>
      </c>
      <c r="O196" s="17">
        <v>33</v>
      </c>
      <c r="P196" s="1397">
        <v>33</v>
      </c>
    </row>
    <row r="197" spans="1:28" ht="14.25" customHeight="1" thickBot="1" x14ac:dyDescent="0.25">
      <c r="A197" s="1268"/>
      <c r="B197" s="1213"/>
      <c r="C197" s="1214"/>
      <c r="D197" s="1449"/>
      <c r="E197" s="1449"/>
      <c r="F197" s="2298"/>
      <c r="G197" s="1895"/>
      <c r="H197" s="1297"/>
      <c r="I197" s="36" t="s">
        <v>16</v>
      </c>
      <c r="J197" s="165">
        <f>SUM(J179:J196)</f>
        <v>2253.6000000000004</v>
      </c>
      <c r="K197" s="249">
        <f>SUM(K179:K196)</f>
        <v>1904.6000000000001</v>
      </c>
      <c r="L197" s="840">
        <f>SUM(L179:L196)</f>
        <v>1866.6000000000001</v>
      </c>
      <c r="M197" s="470"/>
      <c r="N197" s="1191"/>
      <c r="O197" s="1292"/>
      <c r="P197" s="1293"/>
    </row>
    <row r="198" spans="1:28" s="38" customFormat="1" ht="26.25" customHeight="1" x14ac:dyDescent="0.2">
      <c r="A198" s="2617" t="s">
        <v>17</v>
      </c>
      <c r="B198" s="2618" t="s">
        <v>19</v>
      </c>
      <c r="C198" s="9" t="s">
        <v>17</v>
      </c>
      <c r="D198" s="1954"/>
      <c r="E198" s="1955"/>
      <c r="F198" s="2361" t="s">
        <v>741</v>
      </c>
      <c r="G198" s="2619"/>
      <c r="H198" s="2382">
        <v>2</v>
      </c>
      <c r="I198" s="1698" t="s">
        <v>15</v>
      </c>
      <c r="J198" s="348">
        <v>31.3</v>
      </c>
      <c r="K198" s="250">
        <v>31.3</v>
      </c>
      <c r="L198" s="100">
        <v>31.3</v>
      </c>
      <c r="M198" s="2389" t="s">
        <v>742</v>
      </c>
      <c r="N198" s="1698">
        <v>300</v>
      </c>
      <c r="O198" s="146">
        <v>300</v>
      </c>
      <c r="P198" s="586">
        <v>300</v>
      </c>
    </row>
    <row r="199" spans="1:28" s="38" customFormat="1" ht="16.5" customHeight="1" thickBot="1" x14ac:dyDescent="0.25">
      <c r="A199" s="2302"/>
      <c r="B199" s="2304"/>
      <c r="C199" s="196"/>
      <c r="D199" s="1459"/>
      <c r="E199" s="1476"/>
      <c r="F199" s="2298"/>
      <c r="G199" s="2308"/>
      <c r="H199" s="2383"/>
      <c r="I199" s="36" t="s">
        <v>16</v>
      </c>
      <c r="J199" s="103">
        <f>SUM(J198:J198)</f>
        <v>31.3</v>
      </c>
      <c r="K199" s="284">
        <f>SUM(K198:K198)</f>
        <v>31.3</v>
      </c>
      <c r="L199" s="308">
        <f>SUM(L198:L198)</f>
        <v>31.3</v>
      </c>
      <c r="M199" s="2300"/>
      <c r="N199" s="514"/>
      <c r="O199" s="147"/>
      <c r="P199" s="587"/>
    </row>
    <row r="200" spans="1:28" ht="19.5" customHeight="1" x14ac:dyDescent="0.2">
      <c r="A200" s="1205" t="s">
        <v>17</v>
      </c>
      <c r="B200" s="1206" t="s">
        <v>19</v>
      </c>
      <c r="C200" s="1294" t="s">
        <v>19</v>
      </c>
      <c r="D200" s="1456"/>
      <c r="E200" s="1452"/>
      <c r="F200" s="2305" t="s">
        <v>170</v>
      </c>
      <c r="G200" s="2307" t="s">
        <v>47</v>
      </c>
      <c r="H200" s="319">
        <v>2</v>
      </c>
      <c r="I200" s="33" t="s">
        <v>15</v>
      </c>
      <c r="J200" s="1633">
        <v>35</v>
      </c>
      <c r="K200" s="1634"/>
      <c r="L200" s="1635"/>
      <c r="M200" s="336" t="s">
        <v>219</v>
      </c>
      <c r="N200" s="234">
        <v>3</v>
      </c>
      <c r="O200" s="1251"/>
      <c r="P200" s="1252"/>
    </row>
    <row r="201" spans="1:28" ht="19.5" customHeight="1" x14ac:dyDescent="0.2">
      <c r="A201" s="1196"/>
      <c r="B201" s="1179"/>
      <c r="C201" s="1265"/>
      <c r="D201" s="1447"/>
      <c r="E201" s="1453"/>
      <c r="F201" s="2331"/>
      <c r="G201" s="2635"/>
      <c r="H201" s="316"/>
      <c r="I201" s="34"/>
      <c r="J201" s="1637"/>
      <c r="K201" s="1638"/>
      <c r="L201" s="1639"/>
      <c r="M201" s="127"/>
      <c r="N201" s="1299"/>
      <c r="O201" s="1257"/>
      <c r="P201" s="1258"/>
    </row>
    <row r="202" spans="1:28" ht="15" customHeight="1" thickBot="1" x14ac:dyDescent="0.25">
      <c r="A202" s="1268"/>
      <c r="B202" s="1213"/>
      <c r="C202" s="1298"/>
      <c r="D202" s="1460"/>
      <c r="E202" s="1463"/>
      <c r="F202" s="1886"/>
      <c r="G202" s="397" t="s">
        <v>239</v>
      </c>
      <c r="H202" s="1300"/>
      <c r="I202" s="285" t="s">
        <v>16</v>
      </c>
      <c r="J202" s="345">
        <f t="shared" ref="J202" si="10">+J200</f>
        <v>35</v>
      </c>
      <c r="K202" s="1656"/>
      <c r="L202" s="841"/>
      <c r="M202" s="177"/>
      <c r="N202" s="1186"/>
      <c r="O202" s="1257"/>
      <c r="P202" s="1258"/>
    </row>
    <row r="203" spans="1:28" ht="15" customHeight="1" x14ac:dyDescent="0.2">
      <c r="A203" s="1205" t="s">
        <v>17</v>
      </c>
      <c r="B203" s="1206" t="s">
        <v>19</v>
      </c>
      <c r="C203" s="1248" t="s">
        <v>21</v>
      </c>
      <c r="D203" s="1452"/>
      <c r="E203" s="1452"/>
      <c r="F203" s="2292" t="s">
        <v>98</v>
      </c>
      <c r="G203" s="193"/>
      <c r="H203" s="319">
        <v>6</v>
      </c>
      <c r="I203" s="234" t="s">
        <v>15</v>
      </c>
      <c r="J203" s="1556">
        <v>2239</v>
      </c>
      <c r="K203" s="1557">
        <v>2182.8000000000002</v>
      </c>
      <c r="L203" s="1558">
        <v>2119.9</v>
      </c>
      <c r="M203" s="1891"/>
      <c r="N203" s="1209"/>
      <c r="O203" s="1251"/>
      <c r="P203" s="1252"/>
      <c r="Q203" s="1905"/>
    </row>
    <row r="204" spans="1:28" ht="15" customHeight="1" x14ac:dyDescent="0.2">
      <c r="A204" s="1196"/>
      <c r="B204" s="1179"/>
      <c r="C204" s="1254"/>
      <c r="D204" s="1453"/>
      <c r="E204" s="1453"/>
      <c r="F204" s="2293"/>
      <c r="G204" s="235"/>
      <c r="H204" s="316"/>
      <c r="I204" s="276" t="s">
        <v>110</v>
      </c>
      <c r="J204" s="444">
        <v>6</v>
      </c>
      <c r="K204" s="366"/>
      <c r="L204" s="1560"/>
      <c r="M204" s="1901"/>
      <c r="N204" s="1186"/>
      <c r="O204" s="1257"/>
      <c r="P204" s="1258"/>
      <c r="Q204" s="1905"/>
    </row>
    <row r="205" spans="1:28" ht="15" customHeight="1" x14ac:dyDescent="0.2">
      <c r="A205" s="1196"/>
      <c r="B205" s="1179"/>
      <c r="C205" s="1254"/>
      <c r="D205" s="1453"/>
      <c r="E205" s="1453"/>
      <c r="F205" s="1961"/>
      <c r="G205" s="235"/>
      <c r="H205" s="316"/>
      <c r="I205" s="1739" t="s">
        <v>3</v>
      </c>
      <c r="J205" s="1740">
        <v>143</v>
      </c>
      <c r="K205" s="2072">
        <v>127.7</v>
      </c>
      <c r="L205" s="2074"/>
      <c r="M205" s="1973"/>
      <c r="N205" s="1186"/>
      <c r="O205" s="1257"/>
      <c r="P205" s="1258"/>
      <c r="Q205" s="1965"/>
    </row>
    <row r="206" spans="1:28" s="1302" customFormat="1" ht="18" customHeight="1" x14ac:dyDescent="0.2">
      <c r="A206" s="1196"/>
      <c r="B206" s="1179"/>
      <c r="C206" s="1265"/>
      <c r="D206" s="1945" t="s">
        <v>14</v>
      </c>
      <c r="E206" s="1472"/>
      <c r="F206" s="403" t="s">
        <v>85</v>
      </c>
      <c r="G206" s="391"/>
      <c r="H206" s="316"/>
      <c r="I206" s="34"/>
      <c r="J206" s="955"/>
      <c r="K206" s="2070"/>
      <c r="L206" s="2071"/>
      <c r="M206" s="176" t="s">
        <v>220</v>
      </c>
      <c r="N206" s="480">
        <v>92</v>
      </c>
      <c r="O206" s="136">
        <v>92</v>
      </c>
      <c r="P206" s="669">
        <v>92</v>
      </c>
      <c r="Q206" s="1253"/>
      <c r="R206" s="1301"/>
      <c r="S206" s="1301"/>
      <c r="T206" s="1301"/>
      <c r="U206" s="1301"/>
      <c r="V206" s="1301"/>
      <c r="W206" s="1301"/>
      <c r="X206" s="1301"/>
      <c r="Y206" s="1301"/>
      <c r="Z206" s="1301"/>
      <c r="AA206" s="1301"/>
      <c r="AB206" s="1301"/>
    </row>
    <row r="207" spans="1:28" s="1302" customFormat="1" ht="28.5" customHeight="1" x14ac:dyDescent="0.2">
      <c r="A207" s="1196"/>
      <c r="B207" s="1179"/>
      <c r="C207" s="189"/>
      <c r="D207" s="1461" t="s">
        <v>17</v>
      </c>
      <c r="E207" s="1461"/>
      <c r="F207" s="2625" t="s">
        <v>92</v>
      </c>
      <c r="G207" s="392"/>
      <c r="H207" s="316"/>
      <c r="I207" s="187"/>
      <c r="J207" s="2025"/>
      <c r="K207" s="2026"/>
      <c r="L207" s="99"/>
      <c r="M207" s="452" t="s">
        <v>221</v>
      </c>
      <c r="N207" s="1876">
        <v>59</v>
      </c>
      <c r="O207" s="19">
        <v>79</v>
      </c>
      <c r="P207" s="1403">
        <v>89</v>
      </c>
      <c r="Q207" s="1301"/>
      <c r="R207" s="1301"/>
      <c r="S207" s="1301"/>
      <c r="T207" s="1301"/>
      <c r="U207" s="1301"/>
      <c r="V207" s="1301"/>
      <c r="W207" s="1301"/>
      <c r="X207" s="1301"/>
      <c r="Y207" s="1301"/>
      <c r="Z207" s="1301"/>
      <c r="AA207" s="1301"/>
      <c r="AB207" s="1301"/>
    </row>
    <row r="208" spans="1:28" s="1302" customFormat="1" ht="29.25" customHeight="1" x14ac:dyDescent="0.2">
      <c r="A208" s="1196"/>
      <c r="B208" s="1179"/>
      <c r="C208" s="189"/>
      <c r="D208" s="1461"/>
      <c r="E208" s="1461"/>
      <c r="F208" s="2626"/>
      <c r="G208" s="391"/>
      <c r="H208" s="316"/>
      <c r="I208" s="2027"/>
      <c r="J208" s="2028"/>
      <c r="K208" s="2029"/>
      <c r="L208" s="2030"/>
      <c r="M208" s="515" t="s">
        <v>222</v>
      </c>
      <c r="N208" s="479">
        <v>20</v>
      </c>
      <c r="O208" s="26">
        <v>10</v>
      </c>
      <c r="P208" s="1757"/>
      <c r="Q208" s="1301"/>
      <c r="R208" s="1301"/>
      <c r="S208" s="1301"/>
      <c r="T208" s="1301"/>
      <c r="U208" s="1301"/>
      <c r="V208" s="1301"/>
      <c r="W208" s="1301"/>
      <c r="X208" s="1301"/>
      <c r="Y208" s="1301"/>
      <c r="Z208" s="1301"/>
      <c r="AA208" s="1301"/>
      <c r="AB208" s="1301"/>
    </row>
    <row r="209" spans="1:28" s="14" customFormat="1" ht="42" customHeight="1" x14ac:dyDescent="0.2">
      <c r="A209" s="1918"/>
      <c r="B209" s="1896"/>
      <c r="C209" s="189"/>
      <c r="D209" s="1483" t="s">
        <v>19</v>
      </c>
      <c r="E209" s="1483"/>
      <c r="F209" s="1898" t="s">
        <v>814</v>
      </c>
      <c r="G209" s="392"/>
      <c r="H209" s="375"/>
      <c r="I209" s="187"/>
      <c r="J209" s="955"/>
      <c r="K209" s="1429"/>
      <c r="L209" s="1942"/>
      <c r="M209" s="452" t="s">
        <v>220</v>
      </c>
      <c r="N209" s="519">
        <v>1</v>
      </c>
      <c r="O209" s="589"/>
      <c r="P209" s="1856"/>
      <c r="Q209" s="1"/>
      <c r="R209" s="1"/>
      <c r="S209" s="1"/>
      <c r="T209" s="1"/>
      <c r="U209" s="1"/>
      <c r="V209" s="1"/>
      <c r="W209" s="1"/>
      <c r="X209" s="1"/>
      <c r="Y209" s="1"/>
      <c r="Z209" s="1"/>
      <c r="AA209" s="1"/>
      <c r="AB209" s="1"/>
    </row>
    <row r="210" spans="1:28" s="1302" customFormat="1" ht="31.5" customHeight="1" x14ac:dyDescent="0.2">
      <c r="A210" s="1196"/>
      <c r="B210" s="1175"/>
      <c r="C210" s="189"/>
      <c r="D210" s="1461" t="s">
        <v>21</v>
      </c>
      <c r="E210" s="1461"/>
      <c r="F210" s="2624" t="s">
        <v>816</v>
      </c>
      <c r="G210" s="392"/>
      <c r="H210" s="316"/>
      <c r="I210" s="187"/>
      <c r="J210" s="955"/>
      <c r="K210" s="2070"/>
      <c r="L210" s="99"/>
      <c r="M210" s="2024" t="s">
        <v>223</v>
      </c>
      <c r="N210" s="502">
        <v>4</v>
      </c>
      <c r="O210" s="1392"/>
      <c r="P210" s="1262"/>
      <c r="Q210" s="1301"/>
      <c r="R210" s="1301"/>
      <c r="S210" s="1301"/>
      <c r="T210" s="1301"/>
      <c r="U210" s="1301"/>
      <c r="V210" s="1301"/>
      <c r="W210" s="1301"/>
      <c r="X210" s="1301"/>
      <c r="Y210" s="1301"/>
      <c r="Z210" s="1301"/>
      <c r="AA210" s="1301"/>
      <c r="AB210" s="1301"/>
    </row>
    <row r="211" spans="1:28" s="1302" customFormat="1" ht="20.25" customHeight="1" x14ac:dyDescent="0.2">
      <c r="A211" s="1196"/>
      <c r="B211" s="1175"/>
      <c r="C211" s="189"/>
      <c r="D211" s="1461"/>
      <c r="E211" s="1461"/>
      <c r="F211" s="2625"/>
      <c r="G211" s="392"/>
      <c r="H211" s="316"/>
      <c r="I211" s="187"/>
      <c r="J211" s="955"/>
      <c r="K211" s="2070"/>
      <c r="L211" s="99"/>
      <c r="M211" s="2279" t="s">
        <v>376</v>
      </c>
      <c r="N211" s="1719">
        <v>2</v>
      </c>
      <c r="O211" s="1720">
        <v>2</v>
      </c>
      <c r="P211" s="1083"/>
      <c r="Q211" s="1301"/>
      <c r="R211" s="1301"/>
      <c r="S211" s="1301"/>
      <c r="T211" s="1301"/>
      <c r="U211" s="1301"/>
      <c r="V211" s="1301"/>
      <c r="W211" s="1301"/>
      <c r="X211" s="1301"/>
      <c r="Y211" s="1301"/>
      <c r="Z211" s="1301"/>
      <c r="AA211" s="1301"/>
      <c r="AB211" s="1301"/>
    </row>
    <row r="212" spans="1:28" s="1302" customFormat="1" ht="20.25" customHeight="1" x14ac:dyDescent="0.2">
      <c r="A212" s="1196"/>
      <c r="B212" s="1175"/>
      <c r="C212" s="189"/>
      <c r="D212" s="1461"/>
      <c r="E212" s="1461"/>
      <c r="F212" s="2625"/>
      <c r="G212" s="392"/>
      <c r="H212" s="316"/>
      <c r="I212" s="187"/>
      <c r="J212" s="955"/>
      <c r="K212" s="2070"/>
      <c r="L212" s="99"/>
      <c r="M212" s="2279"/>
      <c r="N212" s="21"/>
      <c r="O212" s="589"/>
      <c r="P212" s="1083"/>
      <c r="Q212" s="1301"/>
      <c r="R212" s="1301"/>
      <c r="S212" s="1301"/>
      <c r="T212" s="1301"/>
      <c r="U212" s="1301"/>
      <c r="V212" s="1301"/>
      <c r="W212" s="1301"/>
      <c r="X212" s="1301"/>
      <c r="Y212" s="1301"/>
      <c r="Z212" s="1301"/>
      <c r="AA212" s="1301"/>
      <c r="AB212" s="1301"/>
    </row>
    <row r="213" spans="1:28" ht="42.75" customHeight="1" x14ac:dyDescent="0.2">
      <c r="A213" s="1196"/>
      <c r="B213" s="1175"/>
      <c r="C213" s="189"/>
      <c r="D213" s="1461"/>
      <c r="E213" s="1461"/>
      <c r="F213" s="2626"/>
      <c r="G213" s="391"/>
      <c r="H213" s="316"/>
      <c r="I213" s="1404"/>
      <c r="J213" s="646"/>
      <c r="K213" s="2073"/>
      <c r="L213" s="122"/>
      <c r="M213" s="515" t="s">
        <v>747</v>
      </c>
      <c r="N213" s="502">
        <v>2</v>
      </c>
      <c r="O213" s="1392">
        <v>2</v>
      </c>
      <c r="P213" s="1304"/>
    </row>
    <row r="214" spans="1:28" ht="29.25" customHeight="1" x14ac:dyDescent="0.2">
      <c r="A214" s="1196"/>
      <c r="B214" s="1179"/>
      <c r="C214" s="189"/>
      <c r="D214" s="1484" t="s">
        <v>22</v>
      </c>
      <c r="E214" s="1484"/>
      <c r="F214" s="2624" t="s">
        <v>815</v>
      </c>
      <c r="G214" s="392"/>
      <c r="H214" s="1702">
        <v>5</v>
      </c>
      <c r="I214" s="1739" t="s">
        <v>15</v>
      </c>
      <c r="J214" s="1740">
        <v>237.1</v>
      </c>
      <c r="K214" s="2223">
        <v>692.9</v>
      </c>
      <c r="L214" s="2225"/>
      <c r="M214" s="495" t="s">
        <v>377</v>
      </c>
      <c r="N214" s="519">
        <v>30</v>
      </c>
      <c r="O214" s="17">
        <v>100</v>
      </c>
      <c r="P214" s="1082"/>
      <c r="Q214" s="1253"/>
    </row>
    <row r="215" spans="1:28" ht="16.5" customHeight="1" x14ac:dyDescent="0.2">
      <c r="A215" s="1196"/>
      <c r="B215" s="1305"/>
      <c r="C215" s="191"/>
      <c r="D215" s="1462"/>
      <c r="E215" s="1462"/>
      <c r="F215" s="2625"/>
      <c r="G215" s="392"/>
      <c r="H215" s="1702">
        <v>6</v>
      </c>
      <c r="I215" s="1408" t="s">
        <v>110</v>
      </c>
      <c r="J215" s="327">
        <v>5</v>
      </c>
      <c r="K215" s="1737"/>
      <c r="L215" s="1399"/>
      <c r="M215" s="2279"/>
      <c r="N215" s="504"/>
      <c r="O215" s="590"/>
      <c r="P215" s="51"/>
    </row>
    <row r="216" spans="1:28" ht="14.25" customHeight="1" thickBot="1" x14ac:dyDescent="0.25">
      <c r="A216" s="1196"/>
      <c r="B216" s="1305"/>
      <c r="C216" s="191"/>
      <c r="D216" s="1462"/>
      <c r="E216" s="1462"/>
      <c r="F216" s="2636"/>
      <c r="G216" s="393"/>
      <c r="H216" s="1300"/>
      <c r="I216" s="16" t="s">
        <v>16</v>
      </c>
      <c r="J216" s="165">
        <f>SUM(J203:J215)</f>
        <v>2630.1</v>
      </c>
      <c r="K216" s="249">
        <f>SUM(K203:K215)</f>
        <v>3003.4</v>
      </c>
      <c r="L216" s="1235">
        <f t="shared" ref="L216" si="11">SUM(L203:L215)</f>
        <v>2119.9</v>
      </c>
      <c r="M216" s="2280"/>
      <c r="N216" s="492"/>
      <c r="O216" s="1130"/>
      <c r="P216" s="1282"/>
    </row>
    <row r="217" spans="1:28" s="1307" customFormat="1" ht="14.25" customHeight="1" thickBot="1" x14ac:dyDescent="0.25">
      <c r="A217" s="1306" t="s">
        <v>17</v>
      </c>
      <c r="B217" s="1285" t="s">
        <v>21</v>
      </c>
      <c r="C217" s="2590" t="s">
        <v>20</v>
      </c>
      <c r="D217" s="2591"/>
      <c r="E217" s="2591"/>
      <c r="F217" s="2591"/>
      <c r="G217" s="2591"/>
      <c r="H217" s="2591"/>
      <c r="I217" s="2591"/>
      <c r="J217" s="1606">
        <f>+J197+J202+J216+J199</f>
        <v>4950.0000000000009</v>
      </c>
      <c r="K217" s="1607">
        <f>+K197+K202+K216+K199</f>
        <v>4939.3</v>
      </c>
      <c r="L217" s="1643">
        <f>+L197+L202+L216+L199</f>
        <v>4017.8</v>
      </c>
      <c r="M217" s="1241"/>
      <c r="N217" s="1405"/>
      <c r="O217" s="1405"/>
      <c r="P217" s="1406"/>
    </row>
    <row r="218" spans="1:28" s="1142" customFormat="1" ht="14.25" customHeight="1" thickBot="1" x14ac:dyDescent="0.25">
      <c r="A218" s="1306" t="s">
        <v>17</v>
      </c>
      <c r="B218" s="2593" t="s">
        <v>6</v>
      </c>
      <c r="C218" s="2594"/>
      <c r="D218" s="2594"/>
      <c r="E218" s="2594"/>
      <c r="F218" s="2594"/>
      <c r="G218" s="2594"/>
      <c r="H218" s="2594"/>
      <c r="I218" s="2594"/>
      <c r="J218" s="1943">
        <f>J217+J177+J165</f>
        <v>12079.5</v>
      </c>
      <c r="K218" s="1665">
        <f>K217+K177+K165</f>
        <v>14442</v>
      </c>
      <c r="L218" s="1666">
        <f>L217+L177+L165</f>
        <v>12986.8</v>
      </c>
      <c r="M218" s="1244"/>
      <c r="N218" s="1138"/>
      <c r="O218" s="1138"/>
      <c r="P218" s="1139"/>
      <c r="R218" s="1145"/>
      <c r="T218" s="1145"/>
    </row>
    <row r="219" spans="1:28" s="1142" customFormat="1" ht="14.25" customHeight="1" thickBot="1" x14ac:dyDescent="0.25">
      <c r="A219" s="1308" t="s">
        <v>5</v>
      </c>
      <c r="B219" s="2637" t="s">
        <v>7</v>
      </c>
      <c r="C219" s="2254"/>
      <c r="D219" s="2254"/>
      <c r="E219" s="2254"/>
      <c r="F219" s="2254"/>
      <c r="G219" s="2254"/>
      <c r="H219" s="2254"/>
      <c r="I219" s="2254"/>
      <c r="J219" s="1944">
        <f>J218+J102</f>
        <v>91154.099999999991</v>
      </c>
      <c r="K219" s="1669">
        <f>K218+K102</f>
        <v>94042.699999999983</v>
      </c>
      <c r="L219" s="1670">
        <f>L218+L102</f>
        <v>92171.199999999997</v>
      </c>
      <c r="M219" s="1309"/>
      <c r="N219" s="1310"/>
      <c r="O219" s="1310"/>
      <c r="P219" s="1311"/>
    </row>
    <row r="220" spans="1:28" s="1142" customFormat="1" ht="23.25" customHeight="1" thickBot="1" x14ac:dyDescent="0.25">
      <c r="A220" s="2620" t="s">
        <v>0</v>
      </c>
      <c r="B220" s="2620"/>
      <c r="C220" s="2620"/>
      <c r="D220" s="2620"/>
      <c r="E220" s="2620"/>
      <c r="F220" s="2620"/>
      <c r="G220" s="2620"/>
      <c r="H220" s="2620"/>
      <c r="I220" s="2620"/>
      <c r="J220" s="2620"/>
      <c r="K220" s="2620"/>
      <c r="L220" s="2620"/>
      <c r="M220" s="2031"/>
      <c r="N220" s="2031"/>
      <c r="O220" s="2031"/>
      <c r="P220" s="2031"/>
    </row>
    <row r="221" spans="1:28" s="1142" customFormat="1" ht="59.25" customHeight="1" thickBot="1" x14ac:dyDescent="0.25">
      <c r="A221" s="2258" t="s">
        <v>1</v>
      </c>
      <c r="B221" s="2259"/>
      <c r="C221" s="2259"/>
      <c r="D221" s="2259"/>
      <c r="E221" s="2259"/>
      <c r="F221" s="2259"/>
      <c r="G221" s="2259"/>
      <c r="H221" s="2259"/>
      <c r="I221" s="2638"/>
      <c r="J221" s="1127" t="s">
        <v>819</v>
      </c>
      <c r="K221" s="1442" t="s">
        <v>126</v>
      </c>
      <c r="L221" s="1440" t="s">
        <v>379</v>
      </c>
      <c r="M221" s="203"/>
      <c r="N221" s="1140"/>
      <c r="O221" s="1140"/>
      <c r="P221" s="1140"/>
      <c r="S221" s="1145"/>
    </row>
    <row r="222" spans="1:28" s="1142" customFormat="1" ht="13.5" customHeight="1" x14ac:dyDescent="0.2">
      <c r="A222" s="2260" t="s">
        <v>24</v>
      </c>
      <c r="B222" s="2261"/>
      <c r="C222" s="2261"/>
      <c r="D222" s="2261"/>
      <c r="E222" s="2261"/>
      <c r="F222" s="2261"/>
      <c r="G222" s="2261"/>
      <c r="H222" s="2261"/>
      <c r="I222" s="2639"/>
      <c r="J222" s="1439">
        <f>SUM(J223:J229)</f>
        <v>90497.900000000009</v>
      </c>
      <c r="K222" s="1443">
        <f>SUM(K223:K229)</f>
        <v>93404.900000000009</v>
      </c>
      <c r="L222" s="1441">
        <f>SUM(L223:L229)</f>
        <v>92171.199999999997</v>
      </c>
      <c r="M222" s="203"/>
      <c r="N222" s="1140"/>
      <c r="O222" s="1140"/>
      <c r="P222" s="1140"/>
    </row>
    <row r="223" spans="1:28" s="1142" customFormat="1" ht="14.25" customHeight="1" x14ac:dyDescent="0.2">
      <c r="A223" s="2241" t="s">
        <v>27</v>
      </c>
      <c r="B223" s="2242"/>
      <c r="C223" s="2242"/>
      <c r="D223" s="2242"/>
      <c r="E223" s="2242"/>
      <c r="F223" s="2242"/>
      <c r="G223" s="2242"/>
      <c r="H223" s="2242"/>
      <c r="I223" s="2243"/>
      <c r="J223" s="219">
        <f>SUMIF(I13:I215,"sb",J13:J215)</f>
        <v>38884.100000000013</v>
      </c>
      <c r="K223" s="268">
        <f>SUMIF(I13:I215,"sb",K13:K215)</f>
        <v>41997.30000000001</v>
      </c>
      <c r="L223" s="294">
        <f>SUMIF(I13:I215,"sb",L13:L215)</f>
        <v>40041.599999999999</v>
      </c>
      <c r="M223" s="369"/>
      <c r="N223" s="1140"/>
      <c r="O223" s="1140"/>
      <c r="P223" s="1140"/>
    </row>
    <row r="224" spans="1:28" s="1142" customFormat="1" ht="18" customHeight="1" x14ac:dyDescent="0.2">
      <c r="A224" s="2241" t="s">
        <v>111</v>
      </c>
      <c r="B224" s="2242"/>
      <c r="C224" s="2242"/>
      <c r="D224" s="2242"/>
      <c r="E224" s="2242"/>
      <c r="F224" s="2242"/>
      <c r="G224" s="2242"/>
      <c r="H224" s="2242"/>
      <c r="I224" s="2243"/>
      <c r="J224" s="444">
        <f>SUMIF(I13:I215,"sb(l)",J13:J215)</f>
        <v>603.69999999999993</v>
      </c>
      <c r="K224" s="366">
        <f>SUMIF(I13:I215,"sb(l)",K13:K215)</f>
        <v>0</v>
      </c>
      <c r="L224" s="1560">
        <f>SUMIF(I13:I215,"sb(l)",L13:L215)</f>
        <v>0</v>
      </c>
      <c r="M224" s="202"/>
      <c r="N224" s="1140"/>
      <c r="O224" s="1140"/>
      <c r="P224" s="1140"/>
    </row>
    <row r="225" spans="1:23" s="1142" customFormat="1" ht="15.75" customHeight="1" x14ac:dyDescent="0.2">
      <c r="A225" s="2241" t="s">
        <v>32</v>
      </c>
      <c r="B225" s="2242"/>
      <c r="C225" s="2242"/>
      <c r="D225" s="2242"/>
      <c r="E225" s="2242"/>
      <c r="F225" s="2242"/>
      <c r="G225" s="2242"/>
      <c r="H225" s="2242"/>
      <c r="I225" s="2243"/>
      <c r="J225" s="219">
        <f>SUMIF(I13:I215,"sb(sp)",J13:J215)</f>
        <v>5544.9</v>
      </c>
      <c r="K225" s="268">
        <f>SUMIF(I13:I215,"sb(sp)",K13:K215)</f>
        <v>5544.9</v>
      </c>
      <c r="L225" s="294">
        <f>SUMIF(I13:I215,"sb(sp)",L13:L215)</f>
        <v>5544.9</v>
      </c>
      <c r="M225" s="202"/>
      <c r="N225" s="1140"/>
      <c r="O225" s="1140"/>
      <c r="P225" s="1140"/>
    </row>
    <row r="226" spans="1:23" s="1142" customFormat="1" ht="15.75" customHeight="1" x14ac:dyDescent="0.2">
      <c r="A226" s="2241" t="s">
        <v>269</v>
      </c>
      <c r="B226" s="2242"/>
      <c r="C226" s="2242"/>
      <c r="D226" s="2242"/>
      <c r="E226" s="2242"/>
      <c r="F226" s="2242"/>
      <c r="G226" s="2242"/>
      <c r="H226" s="2242"/>
      <c r="I226" s="2243"/>
      <c r="J226" s="219">
        <f>SUMIF(I13:I215,"sb(p)",J13:J215)</f>
        <v>2900</v>
      </c>
      <c r="K226" s="268">
        <f>SUMIF(I13:I215,"sb(p)",K13:K215)</f>
        <v>2986.5</v>
      </c>
      <c r="L226" s="294">
        <f>SUMIF(I13:I215,"sb(p)",L13:L215)</f>
        <v>4900</v>
      </c>
      <c r="M226" s="202"/>
      <c r="N226" s="1140"/>
      <c r="O226" s="1140"/>
      <c r="P226" s="1140"/>
    </row>
    <row r="227" spans="1:23" s="1142" customFormat="1" ht="15.75" customHeight="1" x14ac:dyDescent="0.2">
      <c r="A227" s="2241" t="s">
        <v>28</v>
      </c>
      <c r="B227" s="2242"/>
      <c r="C227" s="2242"/>
      <c r="D227" s="2242"/>
      <c r="E227" s="2242"/>
      <c r="F227" s="2242"/>
      <c r="G227" s="2242"/>
      <c r="H227" s="2242"/>
      <c r="I227" s="2243"/>
      <c r="J227" s="220">
        <f>SUMIF(I13:I215,"sb(vb)",J13:J215)</f>
        <v>40730.400000000001</v>
      </c>
      <c r="K227" s="269">
        <f>SUMIF(I13:I215,"sb(vb)",K13:K215)</f>
        <v>40920.699999999997</v>
      </c>
      <c r="L227" s="351">
        <f>SUMIF(I13:I215,"sb(vb)",L13:L215)</f>
        <v>41031.5</v>
      </c>
      <c r="M227" s="202"/>
      <c r="N227" s="1140"/>
      <c r="O227" s="1140"/>
      <c r="P227" s="1140"/>
      <c r="T227" s="1145"/>
    </row>
    <row r="228" spans="1:23" ht="30" customHeight="1" x14ac:dyDescent="0.2">
      <c r="A228" s="2241" t="s">
        <v>227</v>
      </c>
      <c r="B228" s="2242"/>
      <c r="C228" s="2242"/>
      <c r="D228" s="2242"/>
      <c r="E228" s="2242"/>
      <c r="F228" s="2242"/>
      <c r="G228" s="2242"/>
      <c r="H228" s="2242"/>
      <c r="I228" s="2243"/>
      <c r="J228" s="462">
        <f>SUMIF(I13:I216,"sb(esa)",J13:J216)</f>
        <v>43.3</v>
      </c>
      <c r="K228" s="616">
        <f>SUMIF(I13:I216,"sb(esa)",K13:K216)</f>
        <v>7.7</v>
      </c>
      <c r="L228" s="1673">
        <f>SUMIF(I13:I216,"sb(esa)",L13:L216)</f>
        <v>0</v>
      </c>
      <c r="M228" s="202"/>
      <c r="N228" s="1140"/>
      <c r="O228" s="1140"/>
      <c r="P228" s="1140"/>
      <c r="Q228" s="1142"/>
      <c r="R228" s="1142"/>
      <c r="S228" s="1142"/>
      <c r="T228" s="1142"/>
      <c r="U228" s="1142"/>
      <c r="V228" s="1142"/>
      <c r="W228" s="1142"/>
    </row>
    <row r="229" spans="1:23" ht="28.5" customHeight="1" thickBot="1" x14ac:dyDescent="0.25">
      <c r="A229" s="2250" t="s">
        <v>818</v>
      </c>
      <c r="B229" s="2251"/>
      <c r="C229" s="2251"/>
      <c r="D229" s="2251"/>
      <c r="E229" s="2251"/>
      <c r="F229" s="2251"/>
      <c r="G229" s="2251"/>
      <c r="H229" s="2251"/>
      <c r="I229" s="2252"/>
      <c r="J229" s="222">
        <f>SUMIF(I13:I216,"sb(es)",J13:J216)</f>
        <v>1791.5000000000002</v>
      </c>
      <c r="K229" s="270">
        <f>SUMIF(I13:I216,"sb(es)",K13:K216)</f>
        <v>1947.8</v>
      </c>
      <c r="L229" s="354">
        <f>SUMIF(I13:I216,"sb(es)",L13:L216)</f>
        <v>653.20000000000005</v>
      </c>
      <c r="M229" s="202"/>
      <c r="N229" s="1140"/>
      <c r="O229" s="1140"/>
      <c r="P229" s="1140"/>
      <c r="Q229" s="1142"/>
      <c r="R229" s="1142"/>
      <c r="S229" s="1142"/>
      <c r="T229" s="1142"/>
      <c r="U229" s="1142"/>
      <c r="V229" s="1142"/>
      <c r="W229" s="1142"/>
    </row>
    <row r="230" spans="1:23" ht="17.25" customHeight="1" thickBot="1" x14ac:dyDescent="0.25">
      <c r="A230" s="2253" t="s">
        <v>25</v>
      </c>
      <c r="B230" s="2254"/>
      <c r="C230" s="2254"/>
      <c r="D230" s="2254"/>
      <c r="E230" s="2254"/>
      <c r="F230" s="2254"/>
      <c r="G230" s="2254"/>
      <c r="H230" s="2254"/>
      <c r="I230" s="2634"/>
      <c r="J230" s="583">
        <f>SUM(J231:J232)</f>
        <v>656.2</v>
      </c>
      <c r="K230" s="584">
        <f>SUM(K231:K232)</f>
        <v>637.79999999999995</v>
      </c>
      <c r="L230" s="1676">
        <f>SUM(L231:L231)</f>
        <v>0</v>
      </c>
      <c r="M230" s="203"/>
      <c r="N230" s="1140"/>
      <c r="O230" s="1140"/>
      <c r="P230" s="1140"/>
      <c r="Q230" s="1142"/>
      <c r="R230" s="1142"/>
      <c r="S230" s="1142"/>
      <c r="T230" s="1142"/>
      <c r="V230" s="1142"/>
      <c r="W230" s="1142"/>
    </row>
    <row r="231" spans="1:23" ht="15" customHeight="1" x14ac:dyDescent="0.2">
      <c r="A231" s="2629" t="s">
        <v>118</v>
      </c>
      <c r="B231" s="2630"/>
      <c r="C231" s="2630"/>
      <c r="D231" s="2630"/>
      <c r="E231" s="2630"/>
      <c r="F231" s="2630"/>
      <c r="G231" s="2630"/>
      <c r="H231" s="2630"/>
      <c r="I231" s="2631"/>
      <c r="J231" s="221">
        <f>SUMIF(I13:I215,"lrvb",J13:J215)</f>
        <v>146.80000000000001</v>
      </c>
      <c r="K231" s="307">
        <f>SUMIF(I13:I215,"lrvb",K13:K215)</f>
        <v>128.4</v>
      </c>
      <c r="L231" s="353">
        <f>SUMIF(I13:I215,"lrvb",L13:L215)</f>
        <v>0</v>
      </c>
      <c r="M231" s="202"/>
      <c r="N231" s="1140"/>
      <c r="O231" s="1140"/>
      <c r="P231" s="1140"/>
    </row>
    <row r="232" spans="1:23" ht="15" customHeight="1" thickBot="1" x14ac:dyDescent="0.25">
      <c r="A232" s="2521" t="s">
        <v>754</v>
      </c>
      <c r="B232" s="2522"/>
      <c r="C232" s="2522"/>
      <c r="D232" s="2522"/>
      <c r="E232" s="2522"/>
      <c r="F232" s="2522"/>
      <c r="G232" s="2522"/>
      <c r="H232" s="2522"/>
      <c r="I232" s="2523"/>
      <c r="J232" s="221">
        <f>SUMIF(I14:I216,"es",J14:J216)</f>
        <v>509.4</v>
      </c>
      <c r="K232" s="2083">
        <f>SUMIF(I14:I216,"es",K14:K216)</f>
        <v>509.4</v>
      </c>
      <c r="L232" s="2084"/>
      <c r="M232" s="202"/>
      <c r="N232" s="1140"/>
      <c r="O232" s="1140"/>
      <c r="P232" s="1140"/>
    </row>
    <row r="233" spans="1:23" ht="16.5" customHeight="1" thickBot="1" x14ac:dyDescent="0.25">
      <c r="A233" s="2238" t="s">
        <v>26</v>
      </c>
      <c r="B233" s="2239"/>
      <c r="C233" s="2239"/>
      <c r="D233" s="2239"/>
      <c r="E233" s="2239"/>
      <c r="F233" s="2239"/>
      <c r="G233" s="2239"/>
      <c r="H233" s="2239"/>
      <c r="I233" s="2632"/>
      <c r="J233" s="223">
        <f>J230+J222</f>
        <v>91154.1</v>
      </c>
      <c r="K233" s="271">
        <f>K230+K222</f>
        <v>94042.700000000012</v>
      </c>
      <c r="L233" s="355">
        <f>L230+L222</f>
        <v>92171.199999999997</v>
      </c>
      <c r="M233" s="203"/>
    </row>
    <row r="235" spans="1:23" ht="22.5" customHeight="1" x14ac:dyDescent="0.2">
      <c r="A235" s="2633" t="s">
        <v>271</v>
      </c>
      <c r="B235" s="2633"/>
      <c r="C235" s="2633"/>
      <c r="D235" s="2633"/>
      <c r="E235" s="2633"/>
      <c r="F235" s="2633"/>
      <c r="G235" s="2633"/>
      <c r="H235" s="2633"/>
      <c r="I235" s="2633"/>
      <c r="J235" s="2633"/>
      <c r="K235" s="2633"/>
      <c r="L235" s="2633"/>
      <c r="M235" s="2633"/>
      <c r="N235" s="2633"/>
      <c r="O235" s="2633"/>
      <c r="P235" s="2633"/>
    </row>
    <row r="236" spans="1:23" x14ac:dyDescent="0.2">
      <c r="F236" s="1145"/>
      <c r="G236" s="1905"/>
      <c r="H236" s="1905"/>
      <c r="I236" s="1255"/>
      <c r="J236" s="1303"/>
      <c r="K236" s="1303"/>
      <c r="L236" s="1303"/>
    </row>
    <row r="237" spans="1:23" x14ac:dyDescent="0.2">
      <c r="F237" s="1145"/>
      <c r="G237" s="1905"/>
      <c r="H237" s="1905"/>
      <c r="I237" s="1255"/>
      <c r="J237" s="1303"/>
      <c r="K237" s="1303"/>
      <c r="L237" s="1303"/>
    </row>
    <row r="238" spans="1:23" x14ac:dyDescent="0.2">
      <c r="F238" s="1145"/>
      <c r="G238" s="1905"/>
      <c r="H238" s="1905"/>
      <c r="I238" s="1255"/>
      <c r="J238" s="1303"/>
      <c r="K238" s="1303"/>
      <c r="L238" s="1303"/>
    </row>
    <row r="239" spans="1:23" x14ac:dyDescent="0.2">
      <c r="F239" s="1145"/>
      <c r="G239" s="1905"/>
      <c r="H239" s="1905"/>
      <c r="I239" s="1255"/>
      <c r="J239" s="1303"/>
      <c r="K239" s="1303"/>
      <c r="L239" s="1303"/>
    </row>
    <row r="240" spans="1:23" x14ac:dyDescent="0.2">
      <c r="F240" s="1145"/>
      <c r="G240" s="1905"/>
      <c r="H240" s="1905"/>
      <c r="I240" s="1255"/>
      <c r="J240" s="1303"/>
      <c r="K240" s="1303"/>
      <c r="L240" s="1303"/>
    </row>
    <row r="241" spans="1:13" x14ac:dyDescent="0.2">
      <c r="F241" s="1145"/>
      <c r="G241" s="1905"/>
      <c r="H241" s="1905"/>
      <c r="I241" s="1255"/>
      <c r="J241" s="1303"/>
      <c r="K241" s="1303"/>
      <c r="L241" s="1303"/>
    </row>
    <row r="242" spans="1:13" x14ac:dyDescent="0.2">
      <c r="F242" s="1145"/>
      <c r="G242" s="1905"/>
      <c r="H242" s="1905"/>
      <c r="I242" s="1255"/>
      <c r="J242" s="1303"/>
      <c r="K242" s="1303"/>
      <c r="L242" s="1303"/>
    </row>
    <row r="243" spans="1:13" x14ac:dyDescent="0.2">
      <c r="F243" s="1145"/>
      <c r="G243" s="1905"/>
      <c r="H243" s="1905"/>
      <c r="I243" s="1255"/>
      <c r="J243" s="1303"/>
      <c r="K243" s="1303"/>
      <c r="L243" s="1303"/>
    </row>
    <row r="244" spans="1:13" x14ac:dyDescent="0.2">
      <c r="F244" s="1145"/>
      <c r="G244" s="1905"/>
      <c r="H244" s="1905"/>
      <c r="I244" s="1255"/>
      <c r="J244" s="1303"/>
      <c r="K244" s="1303"/>
      <c r="L244" s="1303"/>
    </row>
    <row r="245" spans="1:13" x14ac:dyDescent="0.2">
      <c r="A245" s="1266"/>
      <c r="B245" s="1266"/>
      <c r="C245" s="1266"/>
      <c r="D245" s="1454"/>
      <c r="E245" s="1477"/>
      <c r="F245" s="1145"/>
      <c r="G245" s="1905"/>
      <c r="H245" s="1905"/>
      <c r="I245" s="1255"/>
      <c r="J245" s="1303"/>
      <c r="K245" s="1303"/>
      <c r="L245" s="1303"/>
      <c r="M245" s="1145"/>
    </row>
    <row r="246" spans="1:13" x14ac:dyDescent="0.2">
      <c r="A246" s="1266"/>
      <c r="B246" s="1266"/>
      <c r="C246" s="1266"/>
      <c r="D246" s="1454"/>
      <c r="E246" s="1477"/>
      <c r="F246" s="1145"/>
      <c r="G246" s="1905"/>
      <c r="H246" s="1905"/>
      <c r="I246" s="1255"/>
      <c r="J246" s="1303"/>
      <c r="K246" s="1303"/>
      <c r="L246" s="1303"/>
      <c r="M246" s="1145"/>
    </row>
    <row r="247" spans="1:13" x14ac:dyDescent="0.2">
      <c r="A247" s="1266"/>
      <c r="B247" s="1266"/>
      <c r="C247" s="1266"/>
      <c r="D247" s="1454"/>
      <c r="E247" s="1477"/>
      <c r="F247" s="1145"/>
      <c r="G247" s="1905"/>
      <c r="H247" s="1905"/>
      <c r="I247" s="1255"/>
      <c r="J247" s="1303"/>
      <c r="K247" s="1303"/>
      <c r="L247" s="1303"/>
      <c r="M247" s="1145"/>
    </row>
    <row r="248" spans="1:13" x14ac:dyDescent="0.2">
      <c r="A248" s="1266"/>
      <c r="B248" s="1266"/>
      <c r="C248" s="1266"/>
      <c r="D248" s="1454"/>
      <c r="E248" s="1477"/>
      <c r="F248" s="1145"/>
      <c r="G248" s="1905"/>
      <c r="H248" s="1905"/>
      <c r="I248" s="1255"/>
      <c r="J248" s="1303"/>
      <c r="K248" s="1303"/>
      <c r="L248" s="1303"/>
      <c r="M248" s="1145"/>
    </row>
    <row r="249" spans="1:13" x14ac:dyDescent="0.2">
      <c r="A249" s="1266"/>
      <c r="B249" s="1266"/>
      <c r="C249" s="1266"/>
      <c r="D249" s="1454"/>
      <c r="E249" s="1477"/>
      <c r="F249" s="1145"/>
      <c r="G249" s="1905"/>
      <c r="H249" s="1905"/>
      <c r="I249" s="1255"/>
      <c r="J249" s="1303"/>
      <c r="K249" s="1303"/>
      <c r="L249" s="1303"/>
      <c r="M249" s="1145"/>
    </row>
    <row r="250" spans="1:13" x14ac:dyDescent="0.2">
      <c r="A250" s="1266"/>
      <c r="B250" s="1266"/>
      <c r="C250" s="1266"/>
      <c r="D250" s="1454"/>
      <c r="E250" s="1477"/>
      <c r="F250" s="1145"/>
      <c r="G250" s="1905"/>
      <c r="H250" s="1905"/>
      <c r="I250" s="1255"/>
      <c r="J250" s="1303"/>
      <c r="K250" s="1303"/>
      <c r="L250" s="1303"/>
      <c r="M250" s="1145"/>
    </row>
    <row r="251" spans="1:13" x14ac:dyDescent="0.2">
      <c r="A251" s="1266"/>
      <c r="B251" s="1266"/>
      <c r="C251" s="1266"/>
      <c r="D251" s="1454"/>
      <c r="E251" s="1477"/>
      <c r="F251" s="1145"/>
      <c r="G251" s="1905"/>
      <c r="H251" s="1905"/>
      <c r="I251" s="1255"/>
      <c r="J251" s="1303"/>
      <c r="K251" s="1303"/>
      <c r="L251" s="1303"/>
      <c r="M251" s="1145"/>
    </row>
    <row r="252" spans="1:13" x14ac:dyDescent="0.2">
      <c r="A252" s="1266"/>
      <c r="B252" s="1266"/>
      <c r="C252" s="1266"/>
      <c r="D252" s="1454"/>
      <c r="E252" s="1477"/>
      <c r="F252" s="1145"/>
      <c r="G252" s="1905"/>
      <c r="H252" s="1905"/>
      <c r="I252" s="1255"/>
      <c r="J252" s="1303"/>
      <c r="K252" s="1303"/>
      <c r="L252" s="1303"/>
      <c r="M252" s="1145"/>
    </row>
    <row r="253" spans="1:13" x14ac:dyDescent="0.2">
      <c r="A253" s="1266"/>
      <c r="B253" s="1266"/>
      <c r="C253" s="1266"/>
      <c r="D253" s="1454"/>
      <c r="E253" s="1477"/>
      <c r="F253" s="1145"/>
      <c r="G253" s="1905"/>
      <c r="H253" s="1905"/>
      <c r="I253" s="1255"/>
      <c r="J253" s="1303"/>
      <c r="K253" s="1303"/>
      <c r="L253" s="1303"/>
      <c r="M253" s="1145"/>
    </row>
    <row r="254" spans="1:13" x14ac:dyDescent="0.2">
      <c r="A254" s="1266"/>
      <c r="B254" s="1266"/>
      <c r="C254" s="1266"/>
      <c r="D254" s="1454"/>
      <c r="E254" s="1477"/>
      <c r="F254" s="1145"/>
      <c r="G254" s="1905"/>
      <c r="H254" s="1905"/>
      <c r="I254" s="1255"/>
      <c r="J254" s="1303"/>
      <c r="K254" s="1303"/>
      <c r="L254" s="1303"/>
      <c r="M254" s="1145"/>
    </row>
    <row r="255" spans="1:13" x14ac:dyDescent="0.2">
      <c r="A255" s="1266"/>
      <c r="B255" s="1266"/>
      <c r="C255" s="1266"/>
      <c r="D255" s="1454"/>
      <c r="E255" s="1477"/>
      <c r="F255" s="1145"/>
      <c r="G255" s="1905"/>
      <c r="H255" s="1905"/>
      <c r="I255" s="1255"/>
      <c r="J255" s="1303"/>
      <c r="K255" s="1303"/>
      <c r="L255" s="1303"/>
      <c r="M255" s="1145"/>
    </row>
    <row r="256" spans="1:13" x14ac:dyDescent="0.2">
      <c r="A256" s="1266"/>
      <c r="B256" s="1266"/>
      <c r="C256" s="1266"/>
      <c r="D256" s="1454"/>
      <c r="E256" s="1477"/>
      <c r="F256" s="1145"/>
      <c r="G256" s="1905"/>
      <c r="H256" s="1905"/>
      <c r="I256" s="1255"/>
      <c r="J256" s="1303"/>
      <c r="K256" s="1303"/>
      <c r="L256" s="1303"/>
      <c r="M256" s="1145"/>
    </row>
    <row r="257" spans="1:13" x14ac:dyDescent="0.2">
      <c r="A257" s="1266"/>
      <c r="B257" s="1266"/>
      <c r="C257" s="1266"/>
      <c r="D257" s="1454"/>
      <c r="E257" s="1477"/>
      <c r="F257" s="1145"/>
      <c r="G257" s="1905"/>
      <c r="H257" s="1905"/>
      <c r="I257" s="1255"/>
      <c r="J257" s="1303"/>
      <c r="K257" s="1303"/>
      <c r="L257" s="1303"/>
      <c r="M257" s="1145"/>
    </row>
  </sheetData>
  <mergeCells count="151">
    <mergeCell ref="M50:M52"/>
    <mergeCell ref="Q171:R175"/>
    <mergeCell ref="A231:I231"/>
    <mergeCell ref="A233:I233"/>
    <mergeCell ref="A235:P235"/>
    <mergeCell ref="A230:I230"/>
    <mergeCell ref="F200:F201"/>
    <mergeCell ref="G200:G201"/>
    <mergeCell ref="F203:F204"/>
    <mergeCell ref="F214:F216"/>
    <mergeCell ref="M215:M216"/>
    <mergeCell ref="C217:I217"/>
    <mergeCell ref="B218:I218"/>
    <mergeCell ref="B219:I219"/>
    <mergeCell ref="F207:F208"/>
    <mergeCell ref="M211:M212"/>
    <mergeCell ref="A226:I226"/>
    <mergeCell ref="A227:I227"/>
    <mergeCell ref="A228:I228"/>
    <mergeCell ref="A229:I229"/>
    <mergeCell ref="A221:I221"/>
    <mergeCell ref="A222:I222"/>
    <mergeCell ref="A223:I223"/>
    <mergeCell ref="A224:I224"/>
    <mergeCell ref="A225:I225"/>
    <mergeCell ref="A198:A199"/>
    <mergeCell ref="B198:B199"/>
    <mergeCell ref="G198:G199"/>
    <mergeCell ref="H198:H199"/>
    <mergeCell ref="A220:L220"/>
    <mergeCell ref="F170:F171"/>
    <mergeCell ref="G164:I164"/>
    <mergeCell ref="C165:I165"/>
    <mergeCell ref="C166:P166"/>
    <mergeCell ref="F167:F168"/>
    <mergeCell ref="F163:F164"/>
    <mergeCell ref="C177:I177"/>
    <mergeCell ref="C178:P178"/>
    <mergeCell ref="F179:F181"/>
    <mergeCell ref="F175:F176"/>
    <mergeCell ref="F198:F199"/>
    <mergeCell ref="M198:M199"/>
    <mergeCell ref="M188:M189"/>
    <mergeCell ref="F194:F195"/>
    <mergeCell ref="G194:G195"/>
    <mergeCell ref="F196:F197"/>
    <mergeCell ref="F210:F213"/>
    <mergeCell ref="T156:T157"/>
    <mergeCell ref="F158:F159"/>
    <mergeCell ref="F161:F162"/>
    <mergeCell ref="I161:I162"/>
    <mergeCell ref="J161:J162"/>
    <mergeCell ref="K161:K162"/>
    <mergeCell ref="L161:L162"/>
    <mergeCell ref="M163:M164"/>
    <mergeCell ref="F152:F153"/>
    <mergeCell ref="G156:I156"/>
    <mergeCell ref="M154:M156"/>
    <mergeCell ref="F154:F156"/>
    <mergeCell ref="M144:M145"/>
    <mergeCell ref="G147:I147"/>
    <mergeCell ref="T147:T148"/>
    <mergeCell ref="F148:F149"/>
    <mergeCell ref="F132:F134"/>
    <mergeCell ref="F138:F140"/>
    <mergeCell ref="M138:M139"/>
    <mergeCell ref="F142:F143"/>
    <mergeCell ref="F144:F146"/>
    <mergeCell ref="M146:M147"/>
    <mergeCell ref="M113:M114"/>
    <mergeCell ref="M115:M116"/>
    <mergeCell ref="F117:F118"/>
    <mergeCell ref="M117:M118"/>
    <mergeCell ref="F108:F110"/>
    <mergeCell ref="F136:F137"/>
    <mergeCell ref="F113:F116"/>
    <mergeCell ref="F129:F131"/>
    <mergeCell ref="F123:F124"/>
    <mergeCell ref="F125:F126"/>
    <mergeCell ref="F120:F121"/>
    <mergeCell ref="M120:M121"/>
    <mergeCell ref="F127:F128"/>
    <mergeCell ref="M127:M128"/>
    <mergeCell ref="M93:M94"/>
    <mergeCell ref="F95:F96"/>
    <mergeCell ref="F99:F100"/>
    <mergeCell ref="M95:M96"/>
    <mergeCell ref="F80:F81"/>
    <mergeCell ref="F92:F94"/>
    <mergeCell ref="M90:M91"/>
    <mergeCell ref="A105:A107"/>
    <mergeCell ref="B105:B107"/>
    <mergeCell ref="C105:C107"/>
    <mergeCell ref="F105:F107"/>
    <mergeCell ref="G105:G107"/>
    <mergeCell ref="M105:M107"/>
    <mergeCell ref="F97:F98"/>
    <mergeCell ref="C101:I101"/>
    <mergeCell ref="B102:I102"/>
    <mergeCell ref="B103:P103"/>
    <mergeCell ref="C104:P104"/>
    <mergeCell ref="F90:F91"/>
    <mergeCell ref="F86:F87"/>
    <mergeCell ref="F56:F57"/>
    <mergeCell ref="F58:F60"/>
    <mergeCell ref="F65:F66"/>
    <mergeCell ref="F68:F69"/>
    <mergeCell ref="G68:G69"/>
    <mergeCell ref="F78:F79"/>
    <mergeCell ref="F13:F14"/>
    <mergeCell ref="G13:G14"/>
    <mergeCell ref="G81:I81"/>
    <mergeCell ref="R38:R39"/>
    <mergeCell ref="S38:S39"/>
    <mergeCell ref="F44:F46"/>
    <mergeCell ref="A10:P10"/>
    <mergeCell ref="B11:P11"/>
    <mergeCell ref="C12:P12"/>
    <mergeCell ref="F19:F22"/>
    <mergeCell ref="F23:F25"/>
    <mergeCell ref="F26:F28"/>
    <mergeCell ref="F29:F31"/>
    <mergeCell ref="F33:F34"/>
    <mergeCell ref="F35:F36"/>
    <mergeCell ref="M35:M36"/>
    <mergeCell ref="F37:F43"/>
    <mergeCell ref="M44:M46"/>
    <mergeCell ref="A232:I232"/>
    <mergeCell ref="M1:P1"/>
    <mergeCell ref="A2:P2"/>
    <mergeCell ref="A3:P3"/>
    <mergeCell ref="A4:P4"/>
    <mergeCell ref="O5:P5"/>
    <mergeCell ref="A6:A8"/>
    <mergeCell ref="B6:B8"/>
    <mergeCell ref="C6:C8"/>
    <mergeCell ref="D6:D8"/>
    <mergeCell ref="E6:E8"/>
    <mergeCell ref="J6:J8"/>
    <mergeCell ref="K6:K8"/>
    <mergeCell ref="L6:L8"/>
    <mergeCell ref="M6:P6"/>
    <mergeCell ref="N7:P7"/>
    <mergeCell ref="M7:M8"/>
    <mergeCell ref="F6:F8"/>
    <mergeCell ref="G6:G8"/>
    <mergeCell ref="H6:H8"/>
    <mergeCell ref="I6:I8"/>
    <mergeCell ref="A9:P9"/>
    <mergeCell ref="F47:F49"/>
    <mergeCell ref="F50:F52"/>
  </mergeCells>
  <printOptions horizontalCentered="1"/>
  <pageMargins left="0.70866141732283472" right="0.39370078740157483" top="0.39370078740157483" bottom="0.39370078740157483" header="0.31496062992125984" footer="0.31496062992125984"/>
  <pageSetup paperSize="9" scale="72" orientation="portrait" r:id="rId1"/>
  <rowBreaks count="5" manualBreakCount="5">
    <brk id="53" max="15" man="1"/>
    <brk id="91" max="15" man="1"/>
    <brk id="137" max="15" man="1"/>
    <brk id="183" max="15" man="1"/>
    <brk id="219" max="15" man="1"/>
  </rowBreaks>
  <colBreaks count="1" manualBreakCount="1">
    <brk id="16" max="1048575" man="1"/>
  </col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292"/>
  <sheetViews>
    <sheetView zoomScaleNormal="100" zoomScaleSheetLayoutView="50" workbookViewId="0">
      <selection activeCell="Z11" sqref="Z11"/>
    </sheetView>
  </sheetViews>
  <sheetFormatPr defaultRowHeight="12.75" x14ac:dyDescent="0.2"/>
  <cols>
    <col min="1" max="3" width="2.7109375" style="1141" customWidth="1"/>
    <col min="4" max="4" width="2.7109375" style="1444" customWidth="1"/>
    <col min="5" max="5" width="2.7109375" style="1473" customWidth="1"/>
    <col min="6" max="6" width="32.28515625" style="1142" customWidth="1"/>
    <col min="7" max="8" width="3" style="1140" customWidth="1"/>
    <col min="9" max="9" width="12.85546875" style="1143" customWidth="1"/>
    <col min="10" max="10" width="7.42578125" style="1143" customWidth="1"/>
    <col min="11" max="11" width="9.42578125" style="1144" customWidth="1"/>
    <col min="12" max="14" width="8.85546875" style="1144" customWidth="1"/>
    <col min="15" max="15" width="23.5703125" style="1142" customWidth="1"/>
    <col min="16" max="16" width="7" style="1140" customWidth="1"/>
    <col min="17" max="19" width="6.42578125" style="2147" customWidth="1"/>
    <col min="20" max="20" width="11.140625" style="1145" customWidth="1"/>
    <col min="21" max="16384" width="9.140625" style="1145"/>
  </cols>
  <sheetData>
    <row r="1" spans="1:22" ht="28.5" customHeight="1" x14ac:dyDescent="0.2">
      <c r="O1" s="2716" t="s">
        <v>381</v>
      </c>
      <c r="P1" s="2716"/>
      <c r="Q1" s="2716"/>
      <c r="R1" s="2716"/>
      <c r="S1" s="2716"/>
    </row>
    <row r="2" spans="1:22" s="1146" customFormat="1" ht="15.75" x14ac:dyDescent="0.2">
      <c r="A2" s="2525" t="s">
        <v>750</v>
      </c>
      <c r="B2" s="2525"/>
      <c r="C2" s="2525"/>
      <c r="D2" s="2525"/>
      <c r="E2" s="2525"/>
      <c r="F2" s="2525"/>
      <c r="G2" s="2525"/>
      <c r="H2" s="2525"/>
      <c r="I2" s="2525"/>
      <c r="J2" s="2525"/>
      <c r="K2" s="2525"/>
      <c r="L2" s="2525"/>
      <c r="M2" s="2525"/>
      <c r="N2" s="2525"/>
      <c r="O2" s="2525"/>
      <c r="P2" s="2525"/>
      <c r="Q2" s="2525"/>
      <c r="R2" s="2525"/>
      <c r="S2" s="2525"/>
    </row>
    <row r="3" spans="1:22" s="1146" customFormat="1" ht="19.5" customHeight="1" x14ac:dyDescent="0.2">
      <c r="A3" s="2496" t="s">
        <v>30</v>
      </c>
      <c r="B3" s="2496"/>
      <c r="C3" s="2496"/>
      <c r="D3" s="2496"/>
      <c r="E3" s="2496"/>
      <c r="F3" s="2496"/>
      <c r="G3" s="2496"/>
      <c r="H3" s="2496"/>
      <c r="I3" s="2496"/>
      <c r="J3" s="2496"/>
      <c r="K3" s="2496"/>
      <c r="L3" s="2496"/>
      <c r="M3" s="2496"/>
      <c r="N3" s="2496"/>
      <c r="O3" s="2496"/>
      <c r="P3" s="2496"/>
      <c r="Q3" s="2496"/>
      <c r="R3" s="2496"/>
      <c r="S3" s="2496"/>
    </row>
    <row r="4" spans="1:22" s="1146" customFormat="1" ht="19.5" customHeight="1" x14ac:dyDescent="0.2">
      <c r="A4" s="2497" t="s">
        <v>55</v>
      </c>
      <c r="B4" s="2497"/>
      <c r="C4" s="2497"/>
      <c r="D4" s="2497"/>
      <c r="E4" s="2497"/>
      <c r="F4" s="2497"/>
      <c r="G4" s="2497"/>
      <c r="H4" s="2497"/>
      <c r="I4" s="2497"/>
      <c r="J4" s="2497"/>
      <c r="K4" s="2497"/>
      <c r="L4" s="2497"/>
      <c r="M4" s="2497"/>
      <c r="N4" s="2497"/>
      <c r="O4" s="2497"/>
      <c r="P4" s="2497"/>
      <c r="Q4" s="2497"/>
      <c r="R4" s="2497"/>
      <c r="S4" s="2497"/>
    </row>
    <row r="5" spans="1:22" ht="15.75" customHeight="1" thickBot="1" x14ac:dyDescent="0.25">
      <c r="A5" s="90"/>
      <c r="B5" s="90"/>
      <c r="F5" s="2135"/>
      <c r="G5" s="2135"/>
      <c r="H5" s="2135"/>
      <c r="I5" s="2135"/>
      <c r="J5" s="1332"/>
      <c r="K5" s="2135"/>
      <c r="L5" s="2135"/>
      <c r="M5" s="2135"/>
      <c r="N5" s="2135"/>
      <c r="O5" s="2135"/>
      <c r="P5" s="2135"/>
      <c r="Q5" s="2181"/>
      <c r="R5" s="2707" t="s">
        <v>76</v>
      </c>
      <c r="S5" s="2707"/>
    </row>
    <row r="6" spans="1:22" ht="24" customHeight="1" x14ac:dyDescent="0.2">
      <c r="A6" s="2526" t="s">
        <v>8</v>
      </c>
      <c r="B6" s="2529" t="s">
        <v>9</v>
      </c>
      <c r="C6" s="2532" t="s">
        <v>10</v>
      </c>
      <c r="D6" s="2532" t="s">
        <v>396</v>
      </c>
      <c r="E6" s="2532" t="s">
        <v>397</v>
      </c>
      <c r="F6" s="2550" t="s">
        <v>122</v>
      </c>
      <c r="G6" s="2553" t="s">
        <v>11</v>
      </c>
      <c r="H6" s="2556" t="s">
        <v>12</v>
      </c>
      <c r="I6" s="2709" t="s">
        <v>350</v>
      </c>
      <c r="J6" s="2704" t="s">
        <v>13</v>
      </c>
      <c r="K6" s="2541" t="s">
        <v>123</v>
      </c>
      <c r="L6" s="2535" t="s">
        <v>819</v>
      </c>
      <c r="M6" s="2538" t="s">
        <v>124</v>
      </c>
      <c r="N6" s="2541" t="s">
        <v>331</v>
      </c>
      <c r="O6" s="2489" t="s">
        <v>125</v>
      </c>
      <c r="P6" s="2490"/>
      <c r="Q6" s="2490"/>
      <c r="R6" s="2490"/>
      <c r="S6" s="2703"/>
    </row>
    <row r="7" spans="1:22" ht="15.75" customHeight="1" x14ac:dyDescent="0.2">
      <c r="A7" s="2527"/>
      <c r="B7" s="2530"/>
      <c r="C7" s="2533"/>
      <c r="D7" s="2533"/>
      <c r="E7" s="2533"/>
      <c r="F7" s="2551"/>
      <c r="G7" s="2554"/>
      <c r="H7" s="2557"/>
      <c r="I7" s="2710"/>
      <c r="J7" s="2705"/>
      <c r="K7" s="2542"/>
      <c r="L7" s="2536"/>
      <c r="M7" s="2539"/>
      <c r="N7" s="2542"/>
      <c r="O7" s="2517" t="s">
        <v>23</v>
      </c>
      <c r="P7" s="2708" t="s">
        <v>59</v>
      </c>
      <c r="Q7" s="2547"/>
      <c r="R7" s="2547"/>
      <c r="S7" s="2548"/>
    </row>
    <row r="8" spans="1:22" ht="93.75" customHeight="1" thickBot="1" x14ac:dyDescent="0.25">
      <c r="A8" s="2528"/>
      <c r="B8" s="2531"/>
      <c r="C8" s="2534"/>
      <c r="D8" s="2534"/>
      <c r="E8" s="2534"/>
      <c r="F8" s="2552"/>
      <c r="G8" s="2555"/>
      <c r="H8" s="2558"/>
      <c r="I8" s="2711"/>
      <c r="J8" s="2706"/>
      <c r="K8" s="2543"/>
      <c r="L8" s="2537"/>
      <c r="M8" s="2540"/>
      <c r="N8" s="2543"/>
      <c r="O8" s="2518"/>
      <c r="P8" s="362" t="s">
        <v>60</v>
      </c>
      <c r="Q8" s="1094" t="s">
        <v>82</v>
      </c>
      <c r="R8" s="362" t="s">
        <v>121</v>
      </c>
      <c r="S8" s="363" t="s">
        <v>332</v>
      </c>
    </row>
    <row r="9" spans="1:22" ht="15.75" customHeight="1" thickBot="1" x14ac:dyDescent="0.25">
      <c r="A9" s="2468" t="s">
        <v>67</v>
      </c>
      <c r="B9" s="2469"/>
      <c r="C9" s="2469"/>
      <c r="D9" s="2469"/>
      <c r="E9" s="2469"/>
      <c r="F9" s="2469"/>
      <c r="G9" s="2469"/>
      <c r="H9" s="2469"/>
      <c r="I9" s="2469"/>
      <c r="J9" s="2469"/>
      <c r="K9" s="2469"/>
      <c r="L9" s="2469"/>
      <c r="M9" s="2469"/>
      <c r="N9" s="2469"/>
      <c r="O9" s="2469"/>
      <c r="P9" s="2469"/>
      <c r="Q9" s="2469"/>
      <c r="R9" s="2469"/>
      <c r="S9" s="2470"/>
    </row>
    <row r="10" spans="1:22" s="1148" customFormat="1" ht="15.75" customHeight="1" thickBot="1" x14ac:dyDescent="0.25">
      <c r="A10" s="2471" t="s">
        <v>31</v>
      </c>
      <c r="B10" s="2472"/>
      <c r="C10" s="2472"/>
      <c r="D10" s="2472"/>
      <c r="E10" s="2472"/>
      <c r="F10" s="2472"/>
      <c r="G10" s="2472"/>
      <c r="H10" s="2472"/>
      <c r="I10" s="2472"/>
      <c r="J10" s="2472"/>
      <c r="K10" s="2472"/>
      <c r="L10" s="2472"/>
      <c r="M10" s="2472"/>
      <c r="N10" s="2472"/>
      <c r="O10" s="2472"/>
      <c r="P10" s="2472"/>
      <c r="Q10" s="2472"/>
      <c r="R10" s="2472"/>
      <c r="S10" s="2473"/>
      <c r="T10" s="1147"/>
    </row>
    <row r="11" spans="1:22" s="1148" customFormat="1" ht="15.75" customHeight="1" thickBot="1" x14ac:dyDescent="0.25">
      <c r="A11" s="1149" t="s">
        <v>14</v>
      </c>
      <c r="B11" s="2560" t="s">
        <v>36</v>
      </c>
      <c r="C11" s="2561"/>
      <c r="D11" s="2561"/>
      <c r="E11" s="2561"/>
      <c r="F11" s="2561"/>
      <c r="G11" s="2561"/>
      <c r="H11" s="2561"/>
      <c r="I11" s="2561"/>
      <c r="J11" s="2561"/>
      <c r="K11" s="2561"/>
      <c r="L11" s="2561"/>
      <c r="M11" s="2561"/>
      <c r="N11" s="2561"/>
      <c r="O11" s="2561"/>
      <c r="P11" s="2561"/>
      <c r="Q11" s="2561"/>
      <c r="R11" s="2561"/>
      <c r="S11" s="2562"/>
    </row>
    <row r="12" spans="1:22" s="1148" customFormat="1" ht="15.75" customHeight="1" thickBot="1" x14ac:dyDescent="0.25">
      <c r="A12" s="1150" t="s">
        <v>14</v>
      </c>
      <c r="B12" s="1151" t="s">
        <v>14</v>
      </c>
      <c r="C12" s="2563" t="s">
        <v>72</v>
      </c>
      <c r="D12" s="2455"/>
      <c r="E12" s="2455"/>
      <c r="F12" s="2455"/>
      <c r="G12" s="2455"/>
      <c r="H12" s="2455"/>
      <c r="I12" s="2455"/>
      <c r="J12" s="2455"/>
      <c r="K12" s="2455"/>
      <c r="L12" s="2455"/>
      <c r="M12" s="2455"/>
      <c r="N12" s="2455"/>
      <c r="O12" s="2455"/>
      <c r="P12" s="2455"/>
      <c r="Q12" s="2455"/>
      <c r="R12" s="2455"/>
      <c r="S12" s="2456"/>
    </row>
    <row r="13" spans="1:22" s="1148" customFormat="1" ht="32.25" customHeight="1" x14ac:dyDescent="0.2">
      <c r="A13" s="1152" t="s">
        <v>14</v>
      </c>
      <c r="B13" s="1153" t="s">
        <v>14</v>
      </c>
      <c r="C13" s="1154" t="s">
        <v>14</v>
      </c>
      <c r="D13" s="1452"/>
      <c r="E13" s="1452"/>
      <c r="F13" s="2132" t="s">
        <v>45</v>
      </c>
      <c r="G13" s="2133" t="s">
        <v>239</v>
      </c>
      <c r="H13" s="1155">
        <v>2</v>
      </c>
      <c r="I13" s="2167" t="s">
        <v>351</v>
      </c>
      <c r="J13" s="276" t="s">
        <v>66</v>
      </c>
      <c r="K13" s="1555">
        <v>593.70000000000005</v>
      </c>
      <c r="L13" s="1556"/>
      <c r="M13" s="1557"/>
      <c r="N13" s="1558"/>
      <c r="O13" s="499"/>
      <c r="P13" s="1114"/>
      <c r="Q13" s="1109"/>
      <c r="R13" s="1096"/>
      <c r="S13" s="1114"/>
    </row>
    <row r="14" spans="1:22" s="1148" customFormat="1" ht="14.25" customHeight="1" x14ac:dyDescent="0.2">
      <c r="A14" s="1156"/>
      <c r="B14" s="1157"/>
      <c r="C14" s="1158"/>
      <c r="D14" s="1469" t="s">
        <v>14</v>
      </c>
      <c r="E14" s="1470"/>
      <c r="F14" s="2450" t="s">
        <v>165</v>
      </c>
      <c r="G14" s="447"/>
      <c r="H14" s="1159"/>
      <c r="I14" s="2157"/>
      <c r="J14" s="276" t="s">
        <v>15</v>
      </c>
      <c r="K14" s="1555">
        <v>13891</v>
      </c>
      <c r="L14" s="323">
        <v>15105.7</v>
      </c>
      <c r="M14" s="435">
        <f>+L14</f>
        <v>15105.7</v>
      </c>
      <c r="N14" s="245">
        <f>+M14</f>
        <v>15105.7</v>
      </c>
      <c r="O14" s="1129" t="s">
        <v>131</v>
      </c>
      <c r="P14" s="2171">
        <v>47</v>
      </c>
      <c r="Q14" s="172">
        <v>47</v>
      </c>
      <c r="R14" s="2173">
        <v>47</v>
      </c>
      <c r="S14" s="2171">
        <v>47</v>
      </c>
      <c r="T14" s="1119"/>
      <c r="U14" s="1119"/>
      <c r="V14" s="1119"/>
    </row>
    <row r="15" spans="1:22" s="1148" customFormat="1" ht="14.25" customHeight="1" x14ac:dyDescent="0.2">
      <c r="A15" s="1156"/>
      <c r="B15" s="1157"/>
      <c r="C15" s="1158"/>
      <c r="D15" s="1447"/>
      <c r="E15" s="1453"/>
      <c r="F15" s="2451"/>
      <c r="G15" s="447"/>
      <c r="H15" s="1159"/>
      <c r="I15" s="2157"/>
      <c r="J15" s="467" t="s">
        <v>18</v>
      </c>
      <c r="K15" s="1559">
        <f>7713.9+97.1</f>
        <v>7811</v>
      </c>
      <c r="L15" s="1756">
        <v>8365.7999999999993</v>
      </c>
      <c r="M15" s="366">
        <v>8365.7999999999993</v>
      </c>
      <c r="N15" s="366">
        <v>8365.7999999999993</v>
      </c>
      <c r="O15" s="449" t="s">
        <v>132</v>
      </c>
      <c r="P15" s="2171">
        <v>7967</v>
      </c>
      <c r="Q15" s="172">
        <v>7947</v>
      </c>
      <c r="R15" s="1721">
        <v>7950</v>
      </c>
      <c r="S15" s="2171">
        <v>7950</v>
      </c>
      <c r="T15" s="1119"/>
      <c r="U15" s="1119"/>
      <c r="V15" s="1119"/>
    </row>
    <row r="16" spans="1:22" s="1148" customFormat="1" ht="15" customHeight="1" x14ac:dyDescent="0.2">
      <c r="A16" s="1156"/>
      <c r="B16" s="1160"/>
      <c r="C16" s="1158"/>
      <c r="D16" s="1447"/>
      <c r="E16" s="1453"/>
      <c r="F16" s="2451"/>
      <c r="G16" s="447"/>
      <c r="H16" s="1159"/>
      <c r="I16" s="2157"/>
      <c r="J16" s="467" t="s">
        <v>18</v>
      </c>
      <c r="K16" s="1555">
        <v>53.2</v>
      </c>
      <c r="L16" s="444">
        <v>0</v>
      </c>
      <c r="M16" s="366">
        <v>0</v>
      </c>
      <c r="N16" s="1560">
        <v>0</v>
      </c>
      <c r="O16" s="2124"/>
      <c r="P16" s="1750"/>
      <c r="Q16" s="2128"/>
      <c r="R16" s="2138"/>
      <c r="S16" s="1750"/>
      <c r="T16" s="1119"/>
    </row>
    <row r="17" spans="1:22" s="1148" customFormat="1" ht="15.75" customHeight="1" thickBot="1" x14ac:dyDescent="0.25">
      <c r="A17" s="1156"/>
      <c r="B17" s="1160"/>
      <c r="C17" s="1158"/>
      <c r="D17" s="1468"/>
      <c r="E17" s="1471"/>
      <c r="F17" s="2452"/>
      <c r="G17" s="447"/>
      <c r="H17" s="1159"/>
      <c r="I17" s="2157"/>
      <c r="J17" s="1105" t="s">
        <v>44</v>
      </c>
      <c r="K17" s="1561">
        <f>3649.9+5</f>
        <v>3654.9</v>
      </c>
      <c r="L17" s="1562">
        <v>3671.5</v>
      </c>
      <c r="M17" s="1563">
        <v>3671.5</v>
      </c>
      <c r="N17" s="1564">
        <v>3671.5</v>
      </c>
      <c r="O17" s="1121"/>
      <c r="P17" s="1211"/>
      <c r="Q17" s="1104"/>
      <c r="R17" s="1329"/>
      <c r="S17" s="1211"/>
      <c r="T17" s="1115"/>
    </row>
    <row r="18" spans="1:22" s="1148" customFormat="1" ht="15.75" customHeight="1" x14ac:dyDescent="0.2">
      <c r="A18" s="1156"/>
      <c r="B18" s="1160"/>
      <c r="C18" s="1158"/>
      <c r="D18" s="1447" t="s">
        <v>17</v>
      </c>
      <c r="E18" s="1453"/>
      <c r="F18" s="2450" t="s">
        <v>166</v>
      </c>
      <c r="G18" s="447"/>
      <c r="H18" s="1159"/>
      <c r="I18" s="2157"/>
      <c r="J18" s="234" t="s">
        <v>18</v>
      </c>
      <c r="K18" s="1565">
        <f>281.1+12.2</f>
        <v>293.3</v>
      </c>
      <c r="L18" s="1658">
        <v>435.2</v>
      </c>
      <c r="M18" s="2088">
        <v>435.2</v>
      </c>
      <c r="N18" s="1659">
        <v>435.2</v>
      </c>
      <c r="O18" s="2130" t="s">
        <v>131</v>
      </c>
      <c r="P18" s="1113">
        <v>7</v>
      </c>
      <c r="Q18" s="1109">
        <v>7</v>
      </c>
      <c r="R18" s="1096">
        <v>7</v>
      </c>
      <c r="S18" s="1114">
        <v>7</v>
      </c>
    </row>
    <row r="19" spans="1:22" s="1148" customFormat="1" ht="14.25" customHeight="1" x14ac:dyDescent="0.2">
      <c r="A19" s="1156"/>
      <c r="B19" s="1157"/>
      <c r="C19" s="1158"/>
      <c r="D19" s="1447"/>
      <c r="E19" s="1453"/>
      <c r="F19" s="2451"/>
      <c r="G19" s="447"/>
      <c r="H19" s="1159"/>
      <c r="I19" s="2157"/>
      <c r="J19" s="227"/>
      <c r="K19" s="1566"/>
      <c r="L19" s="1567"/>
      <c r="M19" s="1568"/>
      <c r="N19" s="1569"/>
      <c r="O19" s="449" t="s">
        <v>132</v>
      </c>
      <c r="P19" s="2171">
        <v>301</v>
      </c>
      <c r="Q19" s="172">
        <v>340</v>
      </c>
      <c r="R19" s="1721">
        <v>340</v>
      </c>
      <c r="S19" s="2171">
        <v>340</v>
      </c>
    </row>
    <row r="20" spans="1:22" s="1148" customFormat="1" ht="15" customHeight="1" thickBot="1" x14ac:dyDescent="0.25">
      <c r="A20" s="1156"/>
      <c r="B20" s="1160"/>
      <c r="C20" s="1158"/>
      <c r="D20" s="1447"/>
      <c r="E20" s="1453"/>
      <c r="F20" s="2451"/>
      <c r="G20" s="447"/>
      <c r="H20" s="1159"/>
      <c r="I20" s="2157"/>
      <c r="J20" s="1105"/>
      <c r="K20" s="1561"/>
      <c r="L20" s="1562"/>
      <c r="M20" s="1563"/>
      <c r="N20" s="1564"/>
      <c r="O20" s="1121"/>
      <c r="P20" s="1211"/>
      <c r="Q20" s="1104"/>
      <c r="R20" s="1329"/>
      <c r="S20" s="1211"/>
    </row>
    <row r="21" spans="1:22" s="1148" customFormat="1" ht="12.75" customHeight="1" x14ac:dyDescent="0.2">
      <c r="A21" s="1161"/>
      <c r="B21" s="1160"/>
      <c r="C21" s="1162"/>
      <c r="D21" s="1452" t="s">
        <v>19</v>
      </c>
      <c r="E21" s="1452"/>
      <c r="F21" s="2564" t="s">
        <v>74</v>
      </c>
      <c r="G21" s="447"/>
      <c r="H21" s="1438"/>
      <c r="I21" s="2157"/>
      <c r="J21" s="467" t="s">
        <v>15</v>
      </c>
      <c r="K21" s="1559">
        <v>870.1</v>
      </c>
      <c r="L21" s="323">
        <v>960.7</v>
      </c>
      <c r="M21" s="435">
        <f>+L21</f>
        <v>960.7</v>
      </c>
      <c r="N21" s="245">
        <f>+M21</f>
        <v>960.7</v>
      </c>
      <c r="O21" s="441" t="s">
        <v>131</v>
      </c>
      <c r="P21" s="1750">
        <v>4</v>
      </c>
      <c r="Q21" s="1101">
        <v>4</v>
      </c>
      <c r="R21" s="2128">
        <v>4</v>
      </c>
      <c r="S21" s="1750">
        <v>4</v>
      </c>
    </row>
    <row r="22" spans="1:22" s="1148" customFormat="1" ht="15.75" customHeight="1" x14ac:dyDescent="0.2">
      <c r="A22" s="1161"/>
      <c r="B22" s="1160"/>
      <c r="C22" s="1163"/>
      <c r="D22" s="1453"/>
      <c r="E22" s="1453"/>
      <c r="F22" s="2451"/>
      <c r="G22" s="447"/>
      <c r="H22" s="1438"/>
      <c r="I22" s="2157"/>
      <c r="J22" s="467" t="s">
        <v>18</v>
      </c>
      <c r="K22" s="1555">
        <f>1396.9+37.5</f>
        <v>1434.4</v>
      </c>
      <c r="L22" s="444">
        <v>1527</v>
      </c>
      <c r="M22" s="366">
        <v>1527</v>
      </c>
      <c r="N22" s="2089">
        <v>1527</v>
      </c>
      <c r="O22" s="449" t="s">
        <v>132</v>
      </c>
      <c r="P22" s="2171">
        <v>1319</v>
      </c>
      <c r="Q22" s="1722">
        <v>1301</v>
      </c>
      <c r="R22" s="1721">
        <v>1300</v>
      </c>
      <c r="S22" s="2171">
        <v>1300</v>
      </c>
    </row>
    <row r="23" spans="1:22" s="1148" customFormat="1" ht="15.75" customHeight="1" thickBot="1" x14ac:dyDescent="0.25">
      <c r="A23" s="1161"/>
      <c r="B23" s="1160"/>
      <c r="C23" s="1163"/>
      <c r="D23" s="1463"/>
      <c r="E23" s="1463"/>
      <c r="F23" s="2467"/>
      <c r="G23" s="447"/>
      <c r="H23" s="1159"/>
      <c r="I23" s="2157"/>
      <c r="J23" s="276" t="s">
        <v>44</v>
      </c>
      <c r="K23" s="1555">
        <v>423</v>
      </c>
      <c r="L23" s="444">
        <f>367.2+49.2</f>
        <v>416.4</v>
      </c>
      <c r="M23" s="366">
        <f>+L23</f>
        <v>416.4</v>
      </c>
      <c r="N23" s="1560">
        <f>+M23</f>
        <v>416.4</v>
      </c>
      <c r="O23" s="733" t="s">
        <v>731</v>
      </c>
      <c r="P23" s="1750">
        <v>925</v>
      </c>
      <c r="Q23" s="2128">
        <v>904</v>
      </c>
      <c r="R23" s="139">
        <v>900</v>
      </c>
      <c r="S23" s="1750">
        <v>900</v>
      </c>
    </row>
    <row r="24" spans="1:22" s="1148" customFormat="1" ht="15.75" customHeight="1" x14ac:dyDescent="0.2">
      <c r="A24" s="1164"/>
      <c r="B24" s="1157"/>
      <c r="C24" s="1163"/>
      <c r="D24" s="1453" t="s">
        <v>21</v>
      </c>
      <c r="E24" s="1453"/>
      <c r="F24" s="2451" t="s">
        <v>167</v>
      </c>
      <c r="G24" s="447"/>
      <c r="H24" s="1165"/>
      <c r="I24" s="2153"/>
      <c r="J24" s="487" t="s">
        <v>15</v>
      </c>
      <c r="K24" s="1565">
        <v>6762</v>
      </c>
      <c r="L24" s="1919">
        <v>7204.1</v>
      </c>
      <c r="M24" s="1501">
        <f>+L24</f>
        <v>7204.1</v>
      </c>
      <c r="N24" s="1690">
        <f>+M24</f>
        <v>7204.1</v>
      </c>
      <c r="O24" s="442" t="s">
        <v>131</v>
      </c>
      <c r="P24" s="387">
        <v>32</v>
      </c>
      <c r="Q24" s="1099">
        <v>32</v>
      </c>
      <c r="R24" s="388">
        <v>32</v>
      </c>
      <c r="S24" s="387">
        <v>32</v>
      </c>
    </row>
    <row r="25" spans="1:22" s="1148" customFormat="1" ht="15.75" customHeight="1" x14ac:dyDescent="0.2">
      <c r="A25" s="1164"/>
      <c r="B25" s="1157"/>
      <c r="C25" s="1163"/>
      <c r="D25" s="1453"/>
      <c r="E25" s="1453"/>
      <c r="F25" s="2451"/>
      <c r="G25" s="447"/>
      <c r="H25" s="1165"/>
      <c r="I25" s="2153"/>
      <c r="J25" s="467" t="s">
        <v>18</v>
      </c>
      <c r="K25" s="1574">
        <f>24101.1+73.9+720</f>
        <v>24895</v>
      </c>
      <c r="L25" s="1575">
        <f>9646.6+16535.9</f>
        <v>26182.5</v>
      </c>
      <c r="M25" s="259">
        <v>26182.5</v>
      </c>
      <c r="N25" s="259">
        <v>26182.5</v>
      </c>
      <c r="O25" s="473" t="s">
        <v>132</v>
      </c>
      <c r="P25" s="130">
        <v>17398</v>
      </c>
      <c r="Q25" s="1110">
        <v>17606</v>
      </c>
      <c r="R25" s="136">
        <v>17606</v>
      </c>
      <c r="S25" s="130">
        <v>17606</v>
      </c>
    </row>
    <row r="26" spans="1:22" s="1148" customFormat="1" ht="15.75" customHeight="1" x14ac:dyDescent="0.2">
      <c r="A26" s="1164"/>
      <c r="B26" s="1157"/>
      <c r="C26" s="1163"/>
      <c r="D26" s="1453"/>
      <c r="E26" s="1453"/>
      <c r="F26" s="2451"/>
      <c r="G26" s="447"/>
      <c r="H26" s="1165"/>
      <c r="I26" s="2153"/>
      <c r="J26" s="276" t="s">
        <v>18</v>
      </c>
      <c r="K26" s="1555">
        <v>983.1</v>
      </c>
      <c r="L26" s="444">
        <v>1056.2</v>
      </c>
      <c r="M26" s="366">
        <v>1056.2</v>
      </c>
      <c r="N26" s="1686">
        <v>1056.2</v>
      </c>
      <c r="O26" s="733" t="s">
        <v>175</v>
      </c>
      <c r="P26" s="1750">
        <v>17217</v>
      </c>
      <c r="Q26" s="1101">
        <v>17423</v>
      </c>
      <c r="R26" s="139">
        <v>17420</v>
      </c>
      <c r="S26" s="1750">
        <v>17420</v>
      </c>
    </row>
    <row r="27" spans="1:22" s="1148" customFormat="1" ht="15.75" customHeight="1" x14ac:dyDescent="0.2">
      <c r="A27" s="1164"/>
      <c r="B27" s="1157"/>
      <c r="C27" s="1163"/>
      <c r="D27" s="1453"/>
      <c r="E27" s="1453"/>
      <c r="F27" s="2451"/>
      <c r="G27" s="447"/>
      <c r="H27" s="1165"/>
      <c r="I27" s="2153"/>
      <c r="J27" s="276" t="s">
        <v>18</v>
      </c>
      <c r="K27" s="1555">
        <v>78.900000000000006</v>
      </c>
      <c r="L27" s="1576">
        <v>0</v>
      </c>
      <c r="M27" s="1571">
        <v>0</v>
      </c>
      <c r="N27" s="1572">
        <v>0</v>
      </c>
      <c r="O27" s="733"/>
      <c r="P27" s="1750"/>
      <c r="Q27" s="1101"/>
      <c r="R27" s="139"/>
      <c r="S27" s="1750"/>
    </row>
    <row r="28" spans="1:22" s="1148" customFormat="1" ht="19.5" customHeight="1" x14ac:dyDescent="0.2">
      <c r="A28" s="1164"/>
      <c r="B28" s="1157"/>
      <c r="C28" s="1163"/>
      <c r="D28" s="1453"/>
      <c r="E28" s="1453"/>
      <c r="F28" s="2451"/>
      <c r="G28" s="447"/>
      <c r="H28" s="1165"/>
      <c r="I28" s="2153"/>
      <c r="J28" s="227" t="s">
        <v>44</v>
      </c>
      <c r="K28" s="1230">
        <f>1014.3+27.8</f>
        <v>1042.0999999999999</v>
      </c>
      <c r="L28" s="854">
        <v>1035.4000000000001</v>
      </c>
      <c r="M28" s="813">
        <f>+L28</f>
        <v>1035.4000000000001</v>
      </c>
      <c r="N28" s="97">
        <f>+M28</f>
        <v>1035.4000000000001</v>
      </c>
      <c r="O28" s="733"/>
      <c r="P28" s="1750"/>
      <c r="Q28" s="1101"/>
      <c r="R28" s="139"/>
      <c r="S28" s="1750"/>
    </row>
    <row r="29" spans="1:22" s="1148" customFormat="1" ht="21" customHeight="1" x14ac:dyDescent="0.2">
      <c r="A29" s="1164"/>
      <c r="B29" s="1157"/>
      <c r="C29" s="1163"/>
      <c r="D29" s="1453"/>
      <c r="E29" s="1470" t="s">
        <v>14</v>
      </c>
      <c r="F29" s="2450" t="s">
        <v>753</v>
      </c>
      <c r="G29" s="447"/>
      <c r="H29" s="1165"/>
      <c r="I29" s="2153"/>
      <c r="J29" s="194" t="s">
        <v>15</v>
      </c>
      <c r="K29" s="1230"/>
      <c r="L29" s="339">
        <v>66.8</v>
      </c>
      <c r="M29" s="737">
        <v>113</v>
      </c>
      <c r="N29" s="132"/>
      <c r="O29" s="449" t="s">
        <v>131</v>
      </c>
      <c r="P29" s="2171"/>
      <c r="Q29" s="1722">
        <v>6</v>
      </c>
      <c r="R29" s="1721">
        <v>6</v>
      </c>
      <c r="S29" s="2171"/>
      <c r="T29" s="1119"/>
      <c r="U29" s="1119"/>
      <c r="V29" s="1119"/>
    </row>
    <row r="30" spans="1:22" s="1148" customFormat="1" ht="21" customHeight="1" thickBot="1" x14ac:dyDescent="0.25">
      <c r="A30" s="1164"/>
      <c r="B30" s="1157"/>
      <c r="C30" s="1163"/>
      <c r="D30" s="1453"/>
      <c r="E30" s="1453"/>
      <c r="F30" s="2467"/>
      <c r="G30" s="447"/>
      <c r="H30" s="1165"/>
      <c r="I30" s="2153"/>
      <c r="J30" s="1117" t="s">
        <v>4</v>
      </c>
      <c r="K30" s="1596"/>
      <c r="L30" s="2079">
        <v>509.4</v>
      </c>
      <c r="M30" s="2080">
        <v>509.4</v>
      </c>
      <c r="N30" s="1858"/>
      <c r="O30" s="1121"/>
      <c r="P30" s="1211"/>
      <c r="Q30" s="2189"/>
      <c r="R30" s="1329"/>
      <c r="S30" s="1211"/>
    </row>
    <row r="31" spans="1:22" s="1148" customFormat="1" ht="21.75" customHeight="1" x14ac:dyDescent="0.2">
      <c r="A31" s="1164"/>
      <c r="B31" s="1157"/>
      <c r="C31" s="1163"/>
      <c r="D31" s="1452" t="s">
        <v>22</v>
      </c>
      <c r="E31" s="1452"/>
      <c r="F31" s="2564" t="s">
        <v>168</v>
      </c>
      <c r="G31" s="447"/>
      <c r="H31" s="1165"/>
      <c r="I31" s="2153"/>
      <c r="J31" s="234" t="s">
        <v>18</v>
      </c>
      <c r="K31" s="1565">
        <f>1264.5+66.4</f>
        <v>1330.9</v>
      </c>
      <c r="L31" s="1556">
        <v>1854.4</v>
      </c>
      <c r="M31" s="1557">
        <v>1854.4</v>
      </c>
      <c r="N31" s="1558">
        <v>1854.4</v>
      </c>
      <c r="O31" s="442" t="s">
        <v>131</v>
      </c>
      <c r="P31" s="387">
        <v>5</v>
      </c>
      <c r="Q31" s="1099">
        <v>5</v>
      </c>
      <c r="R31" s="388">
        <v>5</v>
      </c>
      <c r="S31" s="387">
        <v>5</v>
      </c>
    </row>
    <row r="32" spans="1:22" s="1148" customFormat="1" ht="21.75" customHeight="1" thickBot="1" x14ac:dyDescent="0.25">
      <c r="A32" s="1164"/>
      <c r="B32" s="1157"/>
      <c r="C32" s="1163"/>
      <c r="D32" s="1463"/>
      <c r="E32" s="1463"/>
      <c r="F32" s="2467"/>
      <c r="G32" s="447"/>
      <c r="H32" s="1165"/>
      <c r="I32" s="2153"/>
      <c r="J32" s="1105"/>
      <c r="K32" s="1561"/>
      <c r="L32" s="1562"/>
      <c r="M32" s="1563"/>
      <c r="N32" s="1564"/>
      <c r="O32" s="474" t="s">
        <v>132</v>
      </c>
      <c r="P32" s="133">
        <v>989</v>
      </c>
      <c r="Q32" s="1111">
        <v>1100</v>
      </c>
      <c r="R32" s="1077">
        <v>1100</v>
      </c>
      <c r="S32" s="133">
        <v>1100</v>
      </c>
    </row>
    <row r="33" spans="1:23" s="1148" customFormat="1" ht="21.75" customHeight="1" x14ac:dyDescent="0.2">
      <c r="A33" s="1164"/>
      <c r="B33" s="1157"/>
      <c r="C33" s="1163"/>
      <c r="D33" s="1453" t="s">
        <v>106</v>
      </c>
      <c r="E33" s="1453"/>
      <c r="F33" s="2354" t="s">
        <v>394</v>
      </c>
      <c r="G33" s="142"/>
      <c r="H33" s="1166"/>
      <c r="I33" s="2184"/>
      <c r="J33" s="227" t="s">
        <v>15</v>
      </c>
      <c r="K33" s="1566">
        <v>174.4</v>
      </c>
      <c r="L33" s="1575">
        <v>55.8</v>
      </c>
      <c r="M33" s="259">
        <v>55.8</v>
      </c>
      <c r="N33" s="543">
        <v>55.8</v>
      </c>
      <c r="O33" s="2587" t="s">
        <v>333</v>
      </c>
      <c r="P33" s="1114">
        <v>2050</v>
      </c>
      <c r="Q33" s="1109">
        <v>2019</v>
      </c>
      <c r="R33" s="1095">
        <v>2020</v>
      </c>
      <c r="S33" s="1114">
        <v>2020</v>
      </c>
    </row>
    <row r="34" spans="1:23" s="1169" customFormat="1" ht="19.5" customHeight="1" x14ac:dyDescent="0.2">
      <c r="A34" s="1156"/>
      <c r="B34" s="1157"/>
      <c r="C34" s="1162"/>
      <c r="D34" s="1453"/>
      <c r="E34" s="1453"/>
      <c r="F34" s="2355"/>
      <c r="G34" s="1167"/>
      <c r="H34" s="1168"/>
      <c r="I34" s="2157"/>
      <c r="J34" s="217"/>
      <c r="K34" s="1559"/>
      <c r="L34" s="1570"/>
      <c r="M34" s="1571"/>
      <c r="N34" s="1572"/>
      <c r="O34" s="2712"/>
      <c r="P34" s="2172"/>
      <c r="Q34" s="1102"/>
      <c r="R34" s="143"/>
      <c r="S34" s="2172"/>
    </row>
    <row r="35" spans="1:23" s="1148" customFormat="1" ht="15.75" customHeight="1" x14ac:dyDescent="0.2">
      <c r="A35" s="1164"/>
      <c r="B35" s="1157"/>
      <c r="C35" s="1163"/>
      <c r="D35" s="1470" t="s">
        <v>107</v>
      </c>
      <c r="E35" s="1470"/>
      <c r="F35" s="2450" t="s">
        <v>134</v>
      </c>
      <c r="G35" s="447"/>
      <c r="H35" s="1165"/>
      <c r="I35" s="2153"/>
      <c r="J35" s="276" t="s">
        <v>15</v>
      </c>
      <c r="K35" s="1555">
        <v>1.7</v>
      </c>
      <c r="L35" s="444"/>
      <c r="M35" s="366"/>
      <c r="N35" s="1560"/>
      <c r="O35" s="2123" t="s">
        <v>133</v>
      </c>
      <c r="P35" s="455" t="s">
        <v>135</v>
      </c>
      <c r="Q35" s="1112"/>
      <c r="R35" s="1097"/>
      <c r="S35" s="1098"/>
      <c r="T35" s="1147"/>
    </row>
    <row r="36" spans="1:23" s="1148" customFormat="1" ht="15" customHeight="1" thickBot="1" x14ac:dyDescent="0.25">
      <c r="A36" s="1164"/>
      <c r="B36" s="1157"/>
      <c r="C36" s="1163"/>
      <c r="D36" s="1453"/>
      <c r="E36" s="1453"/>
      <c r="F36" s="2452"/>
      <c r="G36" s="447"/>
      <c r="H36" s="1165"/>
      <c r="I36" s="2153"/>
      <c r="J36" s="194" t="s">
        <v>18</v>
      </c>
      <c r="K36" s="1574">
        <v>0.6</v>
      </c>
      <c r="L36" s="1577"/>
      <c r="M36" s="1578"/>
      <c r="N36" s="1579"/>
      <c r="O36" s="733"/>
      <c r="P36" s="1750"/>
      <c r="Q36" s="174"/>
      <c r="R36" s="143"/>
      <c r="S36" s="2172"/>
    </row>
    <row r="37" spans="1:23" s="1148" customFormat="1" ht="16.5" customHeight="1" x14ac:dyDescent="0.2">
      <c r="A37" s="1161"/>
      <c r="B37" s="1157"/>
      <c r="C37" s="1163"/>
      <c r="D37" s="1470" t="s">
        <v>382</v>
      </c>
      <c r="E37" s="1470"/>
      <c r="F37" s="2450" t="s">
        <v>164</v>
      </c>
      <c r="G37" s="2131"/>
      <c r="H37" s="1159"/>
      <c r="I37" s="2157"/>
      <c r="J37" s="234" t="s">
        <v>15</v>
      </c>
      <c r="K37" s="1586">
        <v>5729.4</v>
      </c>
      <c r="L37" s="309">
        <f>6222.8-127-237.1</f>
        <v>5858.7</v>
      </c>
      <c r="M37" s="350">
        <f>+L37</f>
        <v>5858.7</v>
      </c>
      <c r="N37" s="341">
        <f>+M37</f>
        <v>5858.7</v>
      </c>
      <c r="O37" s="442" t="s">
        <v>131</v>
      </c>
      <c r="P37" s="387">
        <v>6</v>
      </c>
      <c r="Q37" s="1099">
        <v>6</v>
      </c>
      <c r="R37" s="386">
        <v>6</v>
      </c>
      <c r="S37" s="387">
        <v>6</v>
      </c>
    </row>
    <row r="38" spans="1:23" s="1148" customFormat="1" ht="15.75" customHeight="1" x14ac:dyDescent="0.2">
      <c r="A38" s="1161"/>
      <c r="B38" s="1157"/>
      <c r="C38" s="1163"/>
      <c r="D38" s="1453"/>
      <c r="E38" s="1453"/>
      <c r="F38" s="2451"/>
      <c r="G38" s="2131"/>
      <c r="H38" s="1159"/>
      <c r="I38" s="2157"/>
      <c r="J38" s="276" t="s">
        <v>18</v>
      </c>
      <c r="K38" s="1418">
        <v>129.80000000000001</v>
      </c>
      <c r="L38" s="444">
        <v>137.80000000000001</v>
      </c>
      <c r="M38" s="366">
        <f t="shared" ref="M38:N38" si="0">+L38</f>
        <v>137.80000000000001</v>
      </c>
      <c r="N38" s="1560">
        <f t="shared" si="0"/>
        <v>137.80000000000001</v>
      </c>
      <c r="O38" s="449" t="s">
        <v>132</v>
      </c>
      <c r="P38" s="2226">
        <v>5430</v>
      </c>
      <c r="Q38" s="1722">
        <v>5564</v>
      </c>
      <c r="R38" s="1721">
        <v>5560</v>
      </c>
      <c r="S38" s="2226">
        <v>5560</v>
      </c>
      <c r="U38" s="2436"/>
      <c r="V38" s="2436"/>
      <c r="W38" s="2436"/>
    </row>
    <row r="39" spans="1:23" s="1148" customFormat="1" ht="15.75" customHeight="1" x14ac:dyDescent="0.2">
      <c r="A39" s="1161"/>
      <c r="B39" s="1157"/>
      <c r="C39" s="1163"/>
      <c r="D39" s="1453"/>
      <c r="E39" s="1453"/>
      <c r="F39" s="2451"/>
      <c r="G39" s="2222"/>
      <c r="H39" s="1159"/>
      <c r="I39" s="2224"/>
      <c r="J39" s="276" t="s">
        <v>18</v>
      </c>
      <c r="K39" s="1230"/>
      <c r="L39" s="1577">
        <v>237.1</v>
      </c>
      <c r="M39" s="1578"/>
      <c r="N39" s="1579"/>
      <c r="O39" s="733"/>
      <c r="P39" s="2227"/>
      <c r="Q39" s="1102"/>
      <c r="R39" s="143"/>
      <c r="S39" s="2227"/>
      <c r="U39" s="2436"/>
      <c r="V39" s="2436"/>
      <c r="W39" s="2436"/>
    </row>
    <row r="40" spans="1:23" s="1148" customFormat="1" ht="43.5" customHeight="1" x14ac:dyDescent="0.2">
      <c r="A40" s="1161"/>
      <c r="B40" s="1157"/>
      <c r="C40" s="1163"/>
      <c r="D40" s="1453"/>
      <c r="E40" s="1453"/>
      <c r="F40" s="2451"/>
      <c r="G40" s="2131"/>
      <c r="H40" s="1159"/>
      <c r="I40" s="2157"/>
      <c r="J40" s="227" t="s">
        <v>44</v>
      </c>
      <c r="K40" s="1230">
        <f>324.5+3.5</f>
        <v>328</v>
      </c>
      <c r="L40" s="1577">
        <v>330</v>
      </c>
      <c r="M40" s="1578">
        <f t="shared" ref="M40:N40" si="1">+L40</f>
        <v>330</v>
      </c>
      <c r="N40" s="1579">
        <f t="shared" si="1"/>
        <v>330</v>
      </c>
      <c r="O40" s="449" t="s">
        <v>334</v>
      </c>
      <c r="P40" s="130"/>
      <c r="Q40" s="1100">
        <f>SUM(Q41:Q43)</f>
        <v>230</v>
      </c>
      <c r="R40" s="136">
        <f t="shared" ref="R40:S40" si="2">SUM(R41:R43)</f>
        <v>230</v>
      </c>
      <c r="S40" s="130">
        <f t="shared" si="2"/>
        <v>230</v>
      </c>
      <c r="U40" s="2436"/>
      <c r="V40" s="2436"/>
      <c r="W40" s="2436"/>
    </row>
    <row r="41" spans="1:23" s="1148" customFormat="1" ht="17.25" customHeight="1" x14ac:dyDescent="0.2">
      <c r="A41" s="1161"/>
      <c r="B41" s="1157"/>
      <c r="C41" s="1163"/>
      <c r="D41" s="1453"/>
      <c r="E41" s="1453"/>
      <c r="F41" s="2451"/>
      <c r="G41" s="2131"/>
      <c r="H41" s="1159"/>
      <c r="I41" s="2157"/>
      <c r="J41" s="227"/>
      <c r="K41" s="1417"/>
      <c r="L41" s="1575"/>
      <c r="M41" s="259"/>
      <c r="N41" s="543"/>
      <c r="O41" s="473" t="s">
        <v>335</v>
      </c>
      <c r="P41" s="130"/>
      <c r="Q41" s="1100">
        <v>100</v>
      </c>
      <c r="R41" s="136">
        <v>100</v>
      </c>
      <c r="S41" s="130">
        <v>100</v>
      </c>
      <c r="U41" s="2128"/>
      <c r="V41" s="2128"/>
      <c r="W41" s="2128"/>
    </row>
    <row r="42" spans="1:23" s="1148" customFormat="1" ht="18" customHeight="1" x14ac:dyDescent="0.2">
      <c r="A42" s="1161"/>
      <c r="B42" s="1157"/>
      <c r="C42" s="1163"/>
      <c r="D42" s="1453"/>
      <c r="E42" s="1453"/>
      <c r="F42" s="2451"/>
      <c r="G42" s="2131"/>
      <c r="H42" s="1159"/>
      <c r="I42" s="2157"/>
      <c r="J42" s="227"/>
      <c r="K42" s="1417"/>
      <c r="L42" s="1575"/>
      <c r="M42" s="259"/>
      <c r="N42" s="543"/>
      <c r="O42" s="473" t="s">
        <v>336</v>
      </c>
      <c r="P42" s="130"/>
      <c r="Q42" s="1100">
        <v>15</v>
      </c>
      <c r="R42" s="136">
        <v>15</v>
      </c>
      <c r="S42" s="130">
        <v>15</v>
      </c>
      <c r="U42" s="2128"/>
      <c r="V42" s="2128"/>
      <c r="W42" s="2128"/>
    </row>
    <row r="43" spans="1:23" s="1148" customFormat="1" ht="30" customHeight="1" x14ac:dyDescent="0.2">
      <c r="A43" s="1161"/>
      <c r="B43" s="1157"/>
      <c r="C43" s="1163"/>
      <c r="D43" s="1453"/>
      <c r="E43" s="1453"/>
      <c r="F43" s="2451"/>
      <c r="G43" s="2131"/>
      <c r="H43" s="1159"/>
      <c r="I43" s="2157"/>
      <c r="J43" s="227"/>
      <c r="K43" s="1417"/>
      <c r="L43" s="1575"/>
      <c r="M43" s="259"/>
      <c r="N43" s="543"/>
      <c r="O43" s="473" t="s">
        <v>337</v>
      </c>
      <c r="P43" s="130"/>
      <c r="Q43" s="1100">
        <v>115</v>
      </c>
      <c r="R43" s="136">
        <v>115</v>
      </c>
      <c r="S43" s="130">
        <v>115</v>
      </c>
      <c r="U43" s="2128"/>
      <c r="V43" s="2128"/>
      <c r="W43" s="2128"/>
    </row>
    <row r="44" spans="1:23" s="1148" customFormat="1" ht="55.5" customHeight="1" thickBot="1" x14ac:dyDescent="0.25">
      <c r="A44" s="1161"/>
      <c r="B44" s="1157"/>
      <c r="C44" s="1163"/>
      <c r="D44" s="1471"/>
      <c r="E44" s="1471"/>
      <c r="F44" s="2452"/>
      <c r="G44" s="2131"/>
      <c r="H44" s="1159"/>
      <c r="I44" s="2157"/>
      <c r="J44" s="1105"/>
      <c r="K44" s="1580"/>
      <c r="L44" s="1562"/>
      <c r="M44" s="1563"/>
      <c r="N44" s="1564"/>
      <c r="O44" s="474" t="s">
        <v>338</v>
      </c>
      <c r="P44" s="133"/>
      <c r="Q44" s="1170">
        <v>5000</v>
      </c>
      <c r="R44" s="1077">
        <v>5000</v>
      </c>
      <c r="S44" s="133">
        <v>5000</v>
      </c>
      <c r="U44" s="2128"/>
      <c r="V44" s="2128"/>
      <c r="W44" s="2128"/>
    </row>
    <row r="45" spans="1:23" s="1148" customFormat="1" ht="12.75" customHeight="1" x14ac:dyDescent="0.2">
      <c r="A45" s="1161"/>
      <c r="B45" s="1157"/>
      <c r="C45" s="1163"/>
      <c r="D45" s="1453" t="s">
        <v>383</v>
      </c>
      <c r="E45" s="1453"/>
      <c r="F45" s="2434" t="s">
        <v>51</v>
      </c>
      <c r="G45" s="2122"/>
      <c r="H45" s="1159"/>
      <c r="I45" s="2157"/>
      <c r="J45" s="467" t="s">
        <v>15</v>
      </c>
      <c r="K45" s="1559">
        <v>324.2</v>
      </c>
      <c r="L45" s="1920">
        <v>333.6</v>
      </c>
      <c r="M45" s="1501">
        <f>+L45</f>
        <v>333.6</v>
      </c>
      <c r="N45" s="1690">
        <f>+M45</f>
        <v>333.6</v>
      </c>
      <c r="O45" s="2124" t="s">
        <v>136</v>
      </c>
      <c r="P45" s="1750">
        <v>5450</v>
      </c>
      <c r="Q45" s="1116">
        <v>8500</v>
      </c>
      <c r="R45" s="1095">
        <v>8500</v>
      </c>
      <c r="S45" s="1114">
        <v>8501</v>
      </c>
    </row>
    <row r="46" spans="1:23" s="1148" customFormat="1" x14ac:dyDescent="0.2">
      <c r="A46" s="1161"/>
      <c r="B46" s="1157"/>
      <c r="C46" s="1163"/>
      <c r="D46" s="1453"/>
      <c r="E46" s="1453"/>
      <c r="F46" s="2435"/>
      <c r="G46" s="2122"/>
      <c r="H46" s="1159"/>
      <c r="I46" s="2157"/>
      <c r="J46" s="276" t="s">
        <v>18</v>
      </c>
      <c r="K46" s="1555">
        <v>252.8</v>
      </c>
      <c r="L46" s="444">
        <v>339.1</v>
      </c>
      <c r="M46" s="259">
        <v>339.1</v>
      </c>
      <c r="N46" s="543">
        <v>339.1</v>
      </c>
      <c r="O46" s="2124"/>
      <c r="P46" s="1750"/>
      <c r="Q46" s="1020"/>
      <c r="R46" s="139"/>
      <c r="S46" s="1750"/>
    </row>
    <row r="47" spans="1:23" s="1148" customFormat="1" ht="13.5" thickBot="1" x14ac:dyDescent="0.25">
      <c r="A47" s="1161"/>
      <c r="B47" s="1157"/>
      <c r="C47" s="1163"/>
      <c r="D47" s="1453"/>
      <c r="E47" s="1453"/>
      <c r="F47" s="2559"/>
      <c r="G47" s="2122"/>
      <c r="H47" s="1159"/>
      <c r="I47" s="2157"/>
      <c r="J47" s="194" t="s">
        <v>44</v>
      </c>
      <c r="K47" s="1555">
        <v>20</v>
      </c>
      <c r="L47" s="444">
        <v>20</v>
      </c>
      <c r="M47" s="366">
        <v>20</v>
      </c>
      <c r="N47" s="1560">
        <v>20</v>
      </c>
      <c r="O47" s="2124"/>
      <c r="P47" s="1750"/>
      <c r="Q47" s="1020"/>
      <c r="R47" s="139"/>
      <c r="S47" s="1750"/>
    </row>
    <row r="48" spans="1:23" s="1148" customFormat="1" ht="14.25" customHeight="1" x14ac:dyDescent="0.2">
      <c r="A48" s="1161"/>
      <c r="B48" s="1157"/>
      <c r="C48" s="1163"/>
      <c r="D48" s="1470" t="s">
        <v>5</v>
      </c>
      <c r="E48" s="1470"/>
      <c r="F48" s="2359" t="s">
        <v>137</v>
      </c>
      <c r="G48" s="2122"/>
      <c r="H48" s="1159"/>
      <c r="I48" s="2157"/>
      <c r="J48" s="487" t="s">
        <v>226</v>
      </c>
      <c r="K48" s="1390">
        <v>43.3</v>
      </c>
      <c r="L48" s="1581">
        <v>43.3</v>
      </c>
      <c r="M48" s="1118">
        <v>7.7</v>
      </c>
      <c r="N48" s="1573"/>
      <c r="O48" s="2137" t="s">
        <v>87</v>
      </c>
      <c r="P48" s="1114">
        <v>85</v>
      </c>
      <c r="Q48" s="1116">
        <v>85</v>
      </c>
      <c r="R48" s="1095">
        <v>100</v>
      </c>
      <c r="S48" s="1114">
        <v>0</v>
      </c>
    </row>
    <row r="49" spans="1:19" s="1148" customFormat="1" ht="14.25" customHeight="1" x14ac:dyDescent="0.2">
      <c r="A49" s="1161"/>
      <c r="B49" s="1157"/>
      <c r="C49" s="1163"/>
      <c r="D49" s="1453"/>
      <c r="E49" s="1453"/>
      <c r="F49" s="2293"/>
      <c r="G49" s="2122"/>
      <c r="H49" s="1159"/>
      <c r="I49" s="2157"/>
      <c r="J49" s="276" t="s">
        <v>15</v>
      </c>
      <c r="K49" s="1574">
        <v>3.8</v>
      </c>
      <c r="L49" s="1577">
        <v>3.8</v>
      </c>
      <c r="M49" s="366">
        <v>0.7</v>
      </c>
      <c r="N49" s="1560"/>
      <c r="O49" s="2124"/>
      <c r="P49" s="1750"/>
      <c r="Q49" s="1020"/>
      <c r="R49" s="139"/>
      <c r="S49" s="1750"/>
    </row>
    <row r="50" spans="1:19" s="1148" customFormat="1" ht="14.25" customHeight="1" thickBot="1" x14ac:dyDescent="0.25">
      <c r="A50" s="1161"/>
      <c r="B50" s="1157"/>
      <c r="C50" s="1163"/>
      <c r="D50" s="1471"/>
      <c r="E50" s="1471"/>
      <c r="F50" s="2426"/>
      <c r="G50" s="2122"/>
      <c r="H50" s="1159"/>
      <c r="I50" s="2157"/>
      <c r="J50" s="1117" t="s">
        <v>3</v>
      </c>
      <c r="K50" s="1582">
        <v>3.8</v>
      </c>
      <c r="L50" s="1583">
        <v>3.8</v>
      </c>
      <c r="M50" s="1584">
        <v>0.7</v>
      </c>
      <c r="N50" s="1585"/>
      <c r="O50" s="470"/>
      <c r="P50" s="1211"/>
      <c r="Q50" s="1122"/>
      <c r="R50" s="1329"/>
      <c r="S50" s="1211"/>
    </row>
    <row r="51" spans="1:19" s="1148" customFormat="1" ht="12.75" customHeight="1" x14ac:dyDescent="0.2">
      <c r="A51" s="1171"/>
      <c r="B51" s="1160"/>
      <c r="C51" s="1158"/>
      <c r="D51" s="1447" t="s">
        <v>384</v>
      </c>
      <c r="E51" s="1453"/>
      <c r="F51" s="2359" t="s">
        <v>177</v>
      </c>
      <c r="G51" s="2127"/>
      <c r="H51" s="1369"/>
      <c r="I51" s="2153"/>
      <c r="J51" s="487" t="s">
        <v>15</v>
      </c>
      <c r="K51" s="1586">
        <v>387.8</v>
      </c>
      <c r="L51" s="1919">
        <v>430.5</v>
      </c>
      <c r="M51" s="1501">
        <f>+L51</f>
        <v>430.5</v>
      </c>
      <c r="N51" s="1690">
        <f>+M51</f>
        <v>430.5</v>
      </c>
      <c r="O51" s="2137" t="s">
        <v>136</v>
      </c>
      <c r="P51" s="1114">
        <v>152</v>
      </c>
      <c r="Q51" s="1116">
        <v>150</v>
      </c>
      <c r="R51" s="1095">
        <v>150</v>
      </c>
      <c r="S51" s="1114">
        <v>150</v>
      </c>
    </row>
    <row r="52" spans="1:19" s="1148" customFormat="1" ht="12.75" customHeight="1" x14ac:dyDescent="0.2">
      <c r="A52" s="1171"/>
      <c r="B52" s="1160"/>
      <c r="C52" s="1158"/>
      <c r="D52" s="1447"/>
      <c r="E52" s="1453"/>
      <c r="F52" s="2293"/>
      <c r="G52" s="2127"/>
      <c r="H52" s="1165"/>
      <c r="I52" s="2153"/>
      <c r="J52" s="467" t="s">
        <v>18</v>
      </c>
      <c r="K52" s="1418">
        <f>139.1+5.6</f>
        <v>144.69999999999999</v>
      </c>
      <c r="L52" s="181">
        <v>151.1</v>
      </c>
      <c r="M52" s="259">
        <v>151.1</v>
      </c>
      <c r="N52" s="543">
        <v>151.1</v>
      </c>
      <c r="O52" s="2124"/>
      <c r="P52" s="312"/>
      <c r="Q52" s="1092"/>
      <c r="R52" s="311"/>
      <c r="S52" s="1750"/>
    </row>
    <row r="53" spans="1:19" s="1148" customFormat="1" ht="14.25" customHeight="1" thickBot="1" x14ac:dyDescent="0.25">
      <c r="A53" s="1171"/>
      <c r="B53" s="1160"/>
      <c r="C53" s="1158"/>
      <c r="D53" s="1447"/>
      <c r="E53" s="1453"/>
      <c r="F53" s="2426"/>
      <c r="G53" s="2127"/>
      <c r="H53" s="1165"/>
      <c r="I53" s="2153"/>
      <c r="J53" s="194" t="s">
        <v>44</v>
      </c>
      <c r="K53" s="1418">
        <v>40</v>
      </c>
      <c r="L53" s="1419">
        <v>39.6</v>
      </c>
      <c r="M53" s="366">
        <f>+L53</f>
        <v>39.6</v>
      </c>
      <c r="N53" s="1560">
        <f>+M53</f>
        <v>39.6</v>
      </c>
      <c r="O53" s="2124"/>
      <c r="P53" s="312"/>
      <c r="Q53" s="1092"/>
      <c r="R53" s="311"/>
      <c r="S53" s="312"/>
    </row>
    <row r="54" spans="1:19" s="1148" customFormat="1" ht="42" customHeight="1" x14ac:dyDescent="0.2">
      <c r="A54" s="1171"/>
      <c r="B54" s="1160"/>
      <c r="C54" s="1158"/>
      <c r="D54" s="1469" t="s">
        <v>385</v>
      </c>
      <c r="E54" s="1470"/>
      <c r="F54" s="2112" t="s">
        <v>178</v>
      </c>
      <c r="G54" s="2122"/>
      <c r="H54" s="1159"/>
      <c r="I54" s="2157"/>
      <c r="J54" s="234" t="s">
        <v>15</v>
      </c>
      <c r="K54" s="1565">
        <v>175.2</v>
      </c>
      <c r="L54" s="348">
        <v>218.5</v>
      </c>
      <c r="M54" s="250">
        <f>+L54</f>
        <v>218.5</v>
      </c>
      <c r="N54" s="100">
        <f>+M54</f>
        <v>218.5</v>
      </c>
      <c r="O54" s="442" t="s">
        <v>339</v>
      </c>
      <c r="P54" s="387">
        <v>695</v>
      </c>
      <c r="Q54" s="1091">
        <v>695</v>
      </c>
      <c r="R54" s="388">
        <v>695</v>
      </c>
      <c r="S54" s="387">
        <v>695</v>
      </c>
    </row>
    <row r="55" spans="1:19" ht="21" customHeight="1" x14ac:dyDescent="0.2">
      <c r="A55" s="1171"/>
      <c r="B55" s="1160"/>
      <c r="C55" s="1158"/>
      <c r="D55" s="1447"/>
      <c r="E55" s="1453"/>
      <c r="F55" s="2093"/>
      <c r="G55" s="2122"/>
      <c r="H55" s="1159"/>
      <c r="I55" s="2157"/>
      <c r="J55" s="194" t="s">
        <v>44</v>
      </c>
      <c r="K55" s="1574">
        <v>32</v>
      </c>
      <c r="L55" s="2168">
        <v>32</v>
      </c>
      <c r="M55" s="1578">
        <v>32</v>
      </c>
      <c r="N55" s="1579">
        <v>32</v>
      </c>
      <c r="O55" s="733" t="s">
        <v>340</v>
      </c>
      <c r="P55" s="1750"/>
      <c r="Q55" s="1020">
        <v>20</v>
      </c>
      <c r="R55" s="139">
        <v>20</v>
      </c>
      <c r="S55" s="1750">
        <v>20</v>
      </c>
    </row>
    <row r="56" spans="1:19" ht="30.75" customHeight="1" thickBot="1" x14ac:dyDescent="0.25">
      <c r="A56" s="1171"/>
      <c r="B56" s="1160"/>
      <c r="C56" s="1158"/>
      <c r="D56" s="1468"/>
      <c r="E56" s="1453"/>
      <c r="F56" s="2093"/>
      <c r="G56" s="2122"/>
      <c r="H56" s="1159"/>
      <c r="I56" s="2157"/>
      <c r="J56" s="227"/>
      <c r="K56" s="1566"/>
      <c r="L56" s="1589"/>
      <c r="M56" s="1563"/>
      <c r="N56" s="1564"/>
      <c r="O56" s="474" t="s">
        <v>139</v>
      </c>
      <c r="P56" s="133">
        <v>15000</v>
      </c>
      <c r="Q56" s="481">
        <v>15000</v>
      </c>
      <c r="R56" s="1111">
        <v>15000</v>
      </c>
      <c r="S56" s="1125">
        <v>15000</v>
      </c>
    </row>
    <row r="57" spans="1:19" ht="21" customHeight="1" x14ac:dyDescent="0.2">
      <c r="A57" s="1171"/>
      <c r="B57" s="1160"/>
      <c r="C57" s="1158"/>
      <c r="D57" s="1447" t="s">
        <v>386</v>
      </c>
      <c r="E57" s="1470"/>
      <c r="F57" s="2297" t="s">
        <v>395</v>
      </c>
      <c r="G57" s="2122"/>
      <c r="H57" s="1172"/>
      <c r="I57" s="1018"/>
      <c r="J57" s="234" t="s">
        <v>15</v>
      </c>
      <c r="K57" s="1565">
        <v>10.1</v>
      </c>
      <c r="L57" s="1590">
        <v>10.1</v>
      </c>
      <c r="M57" s="1557">
        <v>10.1</v>
      </c>
      <c r="N57" s="1558">
        <v>10.1</v>
      </c>
      <c r="O57" s="442" t="s">
        <v>141</v>
      </c>
      <c r="P57" s="387">
        <v>168</v>
      </c>
      <c r="Q57" s="1091">
        <v>158</v>
      </c>
      <c r="R57" s="388">
        <v>160</v>
      </c>
      <c r="S57" s="1173">
        <v>160</v>
      </c>
    </row>
    <row r="58" spans="1:19" ht="21" customHeight="1" thickBot="1" x14ac:dyDescent="0.25">
      <c r="A58" s="1171"/>
      <c r="B58" s="1160"/>
      <c r="C58" s="1158"/>
      <c r="D58" s="1447"/>
      <c r="E58" s="1453"/>
      <c r="F58" s="2355"/>
      <c r="G58" s="724"/>
      <c r="H58" s="1172"/>
      <c r="I58" s="1018"/>
      <c r="J58" s="1105"/>
      <c r="K58" s="1561"/>
      <c r="L58" s="1591"/>
      <c r="M58" s="1563"/>
      <c r="N58" s="1564"/>
      <c r="O58" s="474" t="s">
        <v>142</v>
      </c>
      <c r="P58" s="133">
        <v>16</v>
      </c>
      <c r="Q58" s="1117">
        <v>9</v>
      </c>
      <c r="R58" s="1077">
        <v>9</v>
      </c>
      <c r="S58" s="170">
        <v>9</v>
      </c>
    </row>
    <row r="59" spans="1:19" ht="28.5" customHeight="1" x14ac:dyDescent="0.2">
      <c r="A59" s="1156"/>
      <c r="B59" s="1160"/>
      <c r="C59" s="1158"/>
      <c r="D59" s="1469" t="s">
        <v>387</v>
      </c>
      <c r="E59" s="1470"/>
      <c r="F59" s="2359" t="s">
        <v>341</v>
      </c>
      <c r="G59" s="2122"/>
      <c r="H59" s="1172"/>
      <c r="I59" s="2157"/>
      <c r="J59" s="234" t="s">
        <v>15</v>
      </c>
      <c r="K59" s="1565"/>
      <c r="L59" s="1556">
        <v>7</v>
      </c>
      <c r="M59" s="1557"/>
      <c r="N59" s="1558"/>
      <c r="O59" s="442" t="s">
        <v>342</v>
      </c>
      <c r="P59" s="387"/>
      <c r="Q59" s="487">
        <v>1</v>
      </c>
      <c r="R59" s="388"/>
      <c r="S59" s="387"/>
    </row>
    <row r="60" spans="1:19" ht="15.75" customHeight="1" x14ac:dyDescent="0.2">
      <c r="A60" s="1156"/>
      <c r="B60" s="1160"/>
      <c r="C60" s="1158"/>
      <c r="D60" s="1447"/>
      <c r="E60" s="1453"/>
      <c r="F60" s="2293"/>
      <c r="G60" s="2122"/>
      <c r="H60" s="1172"/>
      <c r="I60" s="2157"/>
      <c r="J60" s="467"/>
      <c r="K60" s="1559"/>
      <c r="L60" s="1570"/>
      <c r="M60" s="1571"/>
      <c r="N60" s="1572"/>
      <c r="O60" s="473" t="s">
        <v>343</v>
      </c>
      <c r="P60" s="130"/>
      <c r="Q60" s="276">
        <v>5</v>
      </c>
      <c r="R60" s="137"/>
      <c r="S60" s="130"/>
    </row>
    <row r="61" spans="1:19" ht="18" customHeight="1" x14ac:dyDescent="0.2">
      <c r="A61" s="1156"/>
      <c r="B61" s="1160"/>
      <c r="C61" s="1158"/>
      <c r="D61" s="1468"/>
      <c r="E61" s="1471"/>
      <c r="F61" s="2426"/>
      <c r="G61" s="2122"/>
      <c r="H61" s="1172"/>
      <c r="I61" s="2157"/>
      <c r="J61" s="194" t="s">
        <v>18</v>
      </c>
      <c r="K61" s="1574"/>
      <c r="L61" s="1577"/>
      <c r="M61" s="1578">
        <v>27</v>
      </c>
      <c r="N61" s="1579">
        <v>27</v>
      </c>
      <c r="O61" s="733" t="s">
        <v>141</v>
      </c>
      <c r="P61" s="1750"/>
      <c r="Q61" s="227"/>
      <c r="R61" s="139">
        <v>30</v>
      </c>
      <c r="S61" s="1750">
        <v>30</v>
      </c>
    </row>
    <row r="62" spans="1:19" ht="42" customHeight="1" thickBot="1" x14ac:dyDescent="0.25">
      <c r="A62" s="1156"/>
      <c r="B62" s="1160"/>
      <c r="C62" s="1158"/>
      <c r="D62" s="1447" t="s">
        <v>388</v>
      </c>
      <c r="E62" s="1453"/>
      <c r="F62" s="2126" t="s">
        <v>241</v>
      </c>
      <c r="G62" s="724"/>
      <c r="H62" s="1172"/>
      <c r="I62" s="1018"/>
      <c r="J62" s="194"/>
      <c r="K62" s="1592"/>
      <c r="L62" s="1593"/>
      <c r="M62" s="1594"/>
      <c r="N62" s="1595"/>
      <c r="O62" s="2123"/>
      <c r="P62" s="2171"/>
      <c r="Q62" s="194"/>
      <c r="R62" s="1721"/>
      <c r="S62" s="2171"/>
    </row>
    <row r="63" spans="1:19" ht="32.25" customHeight="1" x14ac:dyDescent="0.2">
      <c r="A63" s="1156"/>
      <c r="B63" s="1160"/>
      <c r="C63" s="1158"/>
      <c r="D63" s="1447"/>
      <c r="E63" s="1472" t="s">
        <v>14</v>
      </c>
      <c r="F63" s="403" t="s">
        <v>143</v>
      </c>
      <c r="G63" s="2122"/>
      <c r="H63" s="1172"/>
      <c r="I63" s="2157"/>
      <c r="J63" s="487" t="s">
        <v>15</v>
      </c>
      <c r="K63" s="1390">
        <v>6.8</v>
      </c>
      <c r="L63" s="1581">
        <v>10.7</v>
      </c>
      <c r="M63" s="1118">
        <v>56.5</v>
      </c>
      <c r="N63" s="1573">
        <v>79.400000000000006</v>
      </c>
      <c r="O63" s="2130" t="s">
        <v>344</v>
      </c>
      <c r="P63" s="387">
        <v>32</v>
      </c>
      <c r="Q63" s="1091">
        <v>62</v>
      </c>
      <c r="R63" s="388">
        <v>92</v>
      </c>
      <c r="S63" s="1173">
        <v>122</v>
      </c>
    </row>
    <row r="64" spans="1:19" ht="17.25" customHeight="1" thickBot="1" x14ac:dyDescent="0.25">
      <c r="A64" s="1156"/>
      <c r="B64" s="1160"/>
      <c r="C64" s="1158"/>
      <c r="D64" s="1447"/>
      <c r="E64" s="1453" t="s">
        <v>17</v>
      </c>
      <c r="F64" s="403" t="s">
        <v>144</v>
      </c>
      <c r="G64" s="2122"/>
      <c r="H64" s="1172"/>
      <c r="I64" s="2157"/>
      <c r="J64" s="1105" t="s">
        <v>15</v>
      </c>
      <c r="K64" s="1561">
        <v>15.3</v>
      </c>
      <c r="L64" s="1562">
        <v>31.5</v>
      </c>
      <c r="M64" s="1563">
        <v>48</v>
      </c>
      <c r="N64" s="1564">
        <v>0</v>
      </c>
      <c r="O64" s="470" t="s">
        <v>131</v>
      </c>
      <c r="P64" s="1211">
        <v>2</v>
      </c>
      <c r="Q64" s="1105">
        <v>2</v>
      </c>
      <c r="R64" s="1329">
        <v>2</v>
      </c>
      <c r="S64" s="178">
        <v>0</v>
      </c>
    </row>
    <row r="65" spans="1:21" ht="29.25" customHeight="1" x14ac:dyDescent="0.2">
      <c r="A65" s="1156"/>
      <c r="B65" s="1160"/>
      <c r="C65" s="1158"/>
      <c r="D65" s="1447"/>
      <c r="E65" s="1470" t="s">
        <v>19</v>
      </c>
      <c r="F65" s="1689" t="s">
        <v>721</v>
      </c>
      <c r="G65" s="2129" t="s">
        <v>239</v>
      </c>
      <c r="H65" s="1172"/>
      <c r="I65" s="2157"/>
      <c r="J65" s="234"/>
      <c r="K65" s="1565"/>
      <c r="L65" s="332"/>
      <c r="M65" s="1557"/>
      <c r="N65" s="1558"/>
      <c r="O65" s="2137"/>
      <c r="P65" s="1114"/>
      <c r="Q65" s="234"/>
      <c r="R65" s="1095"/>
      <c r="S65" s="636"/>
    </row>
    <row r="66" spans="1:21" ht="15.75" customHeight="1" x14ac:dyDescent="0.2">
      <c r="A66" s="1156"/>
      <c r="B66" s="1160"/>
      <c r="C66" s="1158"/>
      <c r="D66" s="1447"/>
      <c r="E66" s="1453"/>
      <c r="F66" s="2566" t="s">
        <v>726</v>
      </c>
      <c r="G66" s="447"/>
      <c r="H66" s="1172"/>
      <c r="I66" s="2157"/>
      <c r="J66" s="467" t="s">
        <v>15</v>
      </c>
      <c r="K66" s="1566"/>
      <c r="L66" s="1861">
        <v>21</v>
      </c>
      <c r="M66" s="678">
        <v>366.6</v>
      </c>
      <c r="N66" s="869">
        <v>430.3</v>
      </c>
      <c r="O66" s="2134" t="s">
        <v>133</v>
      </c>
      <c r="P66" s="143"/>
      <c r="Q66" s="467">
        <v>170</v>
      </c>
      <c r="R66" s="143">
        <v>250</v>
      </c>
      <c r="S66" s="2152">
        <v>340</v>
      </c>
    </row>
    <row r="67" spans="1:21" ht="15.75" customHeight="1" x14ac:dyDescent="0.2">
      <c r="A67" s="1156"/>
      <c r="B67" s="1160"/>
      <c r="C67" s="1158"/>
      <c r="D67" s="1447"/>
      <c r="E67" s="1453"/>
      <c r="F67" s="2567"/>
      <c r="G67" s="447"/>
      <c r="H67" s="1172"/>
      <c r="I67" s="2157"/>
      <c r="J67" s="276" t="s">
        <v>18</v>
      </c>
      <c r="K67" s="1686"/>
      <c r="L67" s="323">
        <v>50</v>
      </c>
      <c r="M67" s="435">
        <v>470</v>
      </c>
      <c r="N67" s="245">
        <v>616</v>
      </c>
      <c r="O67" s="2124" t="s">
        <v>723</v>
      </c>
      <c r="P67" s="139"/>
      <c r="Q67" s="227">
        <v>8</v>
      </c>
      <c r="R67" s="139">
        <v>12</v>
      </c>
      <c r="S67" s="592">
        <v>16</v>
      </c>
    </row>
    <row r="68" spans="1:21" ht="30" customHeight="1" thickBot="1" x14ac:dyDescent="0.25">
      <c r="A68" s="1156"/>
      <c r="B68" s="1160"/>
      <c r="C68" s="1158"/>
      <c r="D68" s="1447"/>
      <c r="E68" s="1471"/>
      <c r="F68" s="403" t="s">
        <v>722</v>
      </c>
      <c r="G68" s="447"/>
      <c r="H68" s="1172"/>
      <c r="I68" s="2157"/>
      <c r="J68" s="1105" t="s">
        <v>15</v>
      </c>
      <c r="K68" s="1561"/>
      <c r="L68" s="1683">
        <v>50</v>
      </c>
      <c r="M68" s="1682">
        <v>50</v>
      </c>
      <c r="N68" s="1684">
        <v>120</v>
      </c>
      <c r="O68" s="1685" t="s">
        <v>724</v>
      </c>
      <c r="P68" s="1077"/>
      <c r="Q68" s="1117">
        <v>2</v>
      </c>
      <c r="R68" s="1077">
        <v>4</v>
      </c>
      <c r="S68" s="443"/>
    </row>
    <row r="69" spans="1:21" ht="18" customHeight="1" x14ac:dyDescent="0.2">
      <c r="A69" s="1174"/>
      <c r="B69" s="1175"/>
      <c r="C69" s="1176"/>
      <c r="D69" s="1447"/>
      <c r="E69" s="1453" t="s">
        <v>21</v>
      </c>
      <c r="F69" s="2297" t="s">
        <v>737</v>
      </c>
      <c r="G69" s="2568" t="s">
        <v>46</v>
      </c>
      <c r="H69" s="1159"/>
      <c r="I69" s="2157"/>
      <c r="J69" s="487" t="s">
        <v>18</v>
      </c>
      <c r="K69" s="1390">
        <v>60</v>
      </c>
      <c r="L69" s="1581">
        <v>0</v>
      </c>
      <c r="M69" s="1118">
        <v>0</v>
      </c>
      <c r="N69" s="1573">
        <v>0</v>
      </c>
      <c r="O69" s="442" t="s">
        <v>131</v>
      </c>
      <c r="P69" s="387">
        <v>4</v>
      </c>
      <c r="Q69" s="487">
        <v>4</v>
      </c>
      <c r="R69" s="388">
        <v>0</v>
      </c>
      <c r="S69" s="1173">
        <v>0</v>
      </c>
    </row>
    <row r="70" spans="1:21" ht="18" customHeight="1" thickBot="1" x14ac:dyDescent="0.25">
      <c r="A70" s="1174"/>
      <c r="B70" s="1175"/>
      <c r="C70" s="1176"/>
      <c r="D70" s="1447"/>
      <c r="E70" s="1453"/>
      <c r="F70" s="2355"/>
      <c r="G70" s="2569"/>
      <c r="H70" s="1159"/>
      <c r="I70" s="2157"/>
      <c r="J70" s="227" t="s">
        <v>15</v>
      </c>
      <c r="K70" s="1566"/>
      <c r="L70" s="1577">
        <v>41</v>
      </c>
      <c r="M70" s="1578">
        <v>0</v>
      </c>
      <c r="N70" s="543">
        <v>0</v>
      </c>
      <c r="O70" s="2124" t="s">
        <v>133</v>
      </c>
      <c r="P70" s="1750">
        <v>57</v>
      </c>
      <c r="Q70" s="227">
        <v>44</v>
      </c>
      <c r="R70" s="139">
        <v>0</v>
      </c>
      <c r="S70" s="79">
        <v>0</v>
      </c>
    </row>
    <row r="71" spans="1:21" ht="29.25" customHeight="1" x14ac:dyDescent="0.2">
      <c r="A71" s="1156"/>
      <c r="B71" s="1160"/>
      <c r="C71" s="1158"/>
      <c r="D71" s="1447"/>
      <c r="E71" s="1470" t="s">
        <v>22</v>
      </c>
      <c r="F71" s="2095" t="s">
        <v>345</v>
      </c>
      <c r="G71" s="2122"/>
      <c r="H71" s="1172"/>
      <c r="I71" s="2157"/>
      <c r="J71" s="234" t="s">
        <v>15</v>
      </c>
      <c r="K71" s="1565"/>
      <c r="L71" s="1556">
        <v>28.4</v>
      </c>
      <c r="M71" s="1557">
        <v>32.299999999999997</v>
      </c>
      <c r="N71" s="1558">
        <v>43.2</v>
      </c>
      <c r="O71" s="442" t="s">
        <v>346</v>
      </c>
      <c r="P71" s="387"/>
      <c r="Q71" s="1091">
        <v>1</v>
      </c>
      <c r="R71" s="386"/>
      <c r="S71" s="387"/>
    </row>
    <row r="72" spans="1:21" ht="31.5" customHeight="1" x14ac:dyDescent="0.2">
      <c r="A72" s="1156"/>
      <c r="B72" s="1160"/>
      <c r="C72" s="1158"/>
      <c r="D72" s="1447"/>
      <c r="E72" s="1453"/>
      <c r="F72" s="2110"/>
      <c r="G72" s="2122"/>
      <c r="H72" s="1172"/>
      <c r="I72" s="2157"/>
      <c r="J72" s="227"/>
      <c r="K72" s="1566"/>
      <c r="L72" s="1575"/>
      <c r="M72" s="259"/>
      <c r="N72" s="543"/>
      <c r="O72" s="733" t="s">
        <v>347</v>
      </c>
      <c r="P72" s="2171"/>
      <c r="Q72" s="1020"/>
      <c r="R72" s="2173">
        <v>53</v>
      </c>
      <c r="S72" s="2171">
        <v>51</v>
      </c>
    </row>
    <row r="73" spans="1:21" ht="16.5" customHeight="1" thickBot="1" x14ac:dyDescent="0.25">
      <c r="A73" s="1156"/>
      <c r="B73" s="1160"/>
      <c r="C73" s="1158"/>
      <c r="D73" s="1468"/>
      <c r="E73" s="1471"/>
      <c r="F73" s="2111"/>
      <c r="G73" s="2122"/>
      <c r="H73" s="1172"/>
      <c r="I73" s="2157"/>
      <c r="J73" s="1105"/>
      <c r="K73" s="1561"/>
      <c r="L73" s="1562"/>
      <c r="M73" s="1563"/>
      <c r="N73" s="1564"/>
      <c r="O73" s="474" t="s">
        <v>348</v>
      </c>
      <c r="P73" s="133"/>
      <c r="Q73" s="1123">
        <v>1.26</v>
      </c>
      <c r="R73" s="1124">
        <v>1.47</v>
      </c>
      <c r="S73" s="1177">
        <v>1.53</v>
      </c>
    </row>
    <row r="74" spans="1:21" ht="53.25" customHeight="1" x14ac:dyDescent="0.2">
      <c r="A74" s="1178"/>
      <c r="B74" s="1179"/>
      <c r="C74" s="1180"/>
      <c r="D74" s="1453" t="s">
        <v>389</v>
      </c>
      <c r="E74" s="1453"/>
      <c r="F74" s="2095" t="s">
        <v>88</v>
      </c>
      <c r="G74" s="524"/>
      <c r="H74" s="1181"/>
      <c r="I74" s="2184"/>
      <c r="J74" s="471" t="s">
        <v>15</v>
      </c>
      <c r="K74" s="1418">
        <v>573.79999999999995</v>
      </c>
      <c r="L74" s="1419">
        <v>564</v>
      </c>
      <c r="M74" s="1420">
        <v>564</v>
      </c>
      <c r="N74" s="1560">
        <v>564</v>
      </c>
      <c r="O74" s="384" t="s">
        <v>180</v>
      </c>
      <c r="P74" s="371">
        <v>448</v>
      </c>
      <c r="Q74" s="471">
        <v>470</v>
      </c>
      <c r="R74" s="370">
        <v>470</v>
      </c>
      <c r="S74" s="371">
        <v>470</v>
      </c>
    </row>
    <row r="75" spans="1:21" ht="79.5" customHeight="1" x14ac:dyDescent="0.2">
      <c r="A75" s="1178"/>
      <c r="B75" s="1179"/>
      <c r="C75" s="1180"/>
      <c r="D75" s="1453"/>
      <c r="E75" s="1453"/>
      <c r="F75" s="2110"/>
      <c r="G75" s="525"/>
      <c r="H75" s="1181"/>
      <c r="I75" s="2184"/>
      <c r="J75" s="215" t="s">
        <v>18</v>
      </c>
      <c r="K75" s="1230"/>
      <c r="L75" s="1989">
        <v>81.7</v>
      </c>
      <c r="M75" s="1323">
        <v>81.7</v>
      </c>
      <c r="N75" s="1579">
        <v>81.7</v>
      </c>
      <c r="O75" s="128" t="s">
        <v>755</v>
      </c>
      <c r="P75" s="79"/>
      <c r="Q75" s="215">
        <v>72</v>
      </c>
      <c r="R75" s="164">
        <v>72</v>
      </c>
      <c r="S75" s="79">
        <v>72</v>
      </c>
    </row>
    <row r="76" spans="1:21" ht="16.5" customHeight="1" thickBot="1" x14ac:dyDescent="0.25">
      <c r="A76" s="1178"/>
      <c r="B76" s="1179"/>
      <c r="C76" s="1180"/>
      <c r="D76" s="1453"/>
      <c r="E76" s="1453"/>
      <c r="F76" s="2111"/>
      <c r="G76" s="2117"/>
      <c r="H76" s="1168"/>
      <c r="I76" s="2157"/>
      <c r="J76" s="1093" t="s">
        <v>15</v>
      </c>
      <c r="K76" s="1596">
        <v>63.1</v>
      </c>
      <c r="L76" s="2081">
        <v>49.5</v>
      </c>
      <c r="M76" s="1857"/>
      <c r="N76" s="1858"/>
      <c r="O76" s="457" t="s">
        <v>145</v>
      </c>
      <c r="P76" s="170">
        <v>9</v>
      </c>
      <c r="Q76" s="1093">
        <v>7</v>
      </c>
      <c r="R76" s="169"/>
      <c r="S76" s="170"/>
      <c r="U76" s="1253"/>
    </row>
    <row r="77" spans="1:21" ht="18.75" customHeight="1" thickBot="1" x14ac:dyDescent="0.25">
      <c r="A77" s="1178"/>
      <c r="B77" s="1179"/>
      <c r="C77" s="1180"/>
      <c r="D77" s="1472" t="s">
        <v>390</v>
      </c>
      <c r="E77" s="1472"/>
      <c r="F77" s="403" t="s">
        <v>58</v>
      </c>
      <c r="G77" s="2117"/>
      <c r="H77" s="1168"/>
      <c r="I77" s="2157"/>
      <c r="J77" s="1182" t="s">
        <v>18</v>
      </c>
      <c r="K77" s="1597">
        <v>59.5</v>
      </c>
      <c r="L77" s="1598">
        <v>33.4</v>
      </c>
      <c r="M77" s="1599">
        <v>33.4</v>
      </c>
      <c r="N77" s="1600">
        <v>33.4</v>
      </c>
      <c r="O77" s="1107" t="s">
        <v>146</v>
      </c>
      <c r="P77" s="1133">
        <v>17</v>
      </c>
      <c r="Q77" s="1132">
        <v>17</v>
      </c>
      <c r="R77" s="1131">
        <v>17</v>
      </c>
      <c r="S77" s="1183">
        <v>17</v>
      </c>
    </row>
    <row r="78" spans="1:21" ht="18.75" customHeight="1" thickBot="1" x14ac:dyDescent="0.25">
      <c r="A78" s="1178"/>
      <c r="B78" s="1179"/>
      <c r="C78" s="1176"/>
      <c r="D78" s="1447" t="s">
        <v>391</v>
      </c>
      <c r="E78" s="1453"/>
      <c r="F78" s="403" t="s">
        <v>120</v>
      </c>
      <c r="G78" s="235"/>
      <c r="H78" s="1184"/>
      <c r="I78" s="2153"/>
      <c r="J78" s="1182" t="s">
        <v>15</v>
      </c>
      <c r="K78" s="1597">
        <v>292.89999999999998</v>
      </c>
      <c r="L78" s="1598">
        <v>314.39999999999998</v>
      </c>
      <c r="M78" s="1599">
        <f>+L78</f>
        <v>314.39999999999998</v>
      </c>
      <c r="N78" s="1600">
        <f>+M78</f>
        <v>314.39999999999998</v>
      </c>
      <c r="O78" s="1108" t="s">
        <v>132</v>
      </c>
      <c r="P78" s="1114">
        <v>1168</v>
      </c>
      <c r="Q78" s="234">
        <v>1166</v>
      </c>
      <c r="R78" s="635">
        <v>1166</v>
      </c>
      <c r="S78" s="1185">
        <v>1166</v>
      </c>
    </row>
    <row r="79" spans="1:21" ht="19.5" customHeight="1" x14ac:dyDescent="0.2">
      <c r="A79" s="1178"/>
      <c r="B79" s="1179"/>
      <c r="C79" s="1176"/>
      <c r="D79" s="1469" t="s">
        <v>392</v>
      </c>
      <c r="E79" s="1470"/>
      <c r="F79" s="2297" t="s">
        <v>349</v>
      </c>
      <c r="G79" s="235"/>
      <c r="H79" s="1184"/>
      <c r="I79" s="2153"/>
      <c r="J79" s="1186" t="s">
        <v>18</v>
      </c>
      <c r="K79" s="1417">
        <f>19.4+6.6</f>
        <v>26</v>
      </c>
      <c r="L79" s="181">
        <v>11.5</v>
      </c>
      <c r="M79" s="261">
        <v>11.5</v>
      </c>
      <c r="N79" s="175">
        <v>11.5</v>
      </c>
      <c r="O79" s="135" t="s">
        <v>131</v>
      </c>
      <c r="P79" s="1187">
        <v>1</v>
      </c>
      <c r="Q79" s="1188">
        <v>1</v>
      </c>
      <c r="R79" s="1189">
        <v>1</v>
      </c>
      <c r="S79" s="1190">
        <v>1</v>
      </c>
    </row>
    <row r="80" spans="1:21" s="1148" customFormat="1" ht="19.5" customHeight="1" thickBot="1" x14ac:dyDescent="0.25">
      <c r="A80" s="1178"/>
      <c r="B80" s="1179"/>
      <c r="C80" s="1176"/>
      <c r="D80" s="1468"/>
      <c r="E80" s="1471"/>
      <c r="F80" s="2355"/>
      <c r="G80" s="235"/>
      <c r="H80" s="1184"/>
      <c r="I80" s="2153"/>
      <c r="J80" s="1191"/>
      <c r="K80" s="1580"/>
      <c r="L80" s="1591"/>
      <c r="M80" s="1601"/>
      <c r="N80" s="1602"/>
      <c r="O80" s="457" t="s">
        <v>132</v>
      </c>
      <c r="P80" s="1192">
        <v>26</v>
      </c>
      <c r="Q80" s="1193">
        <v>9</v>
      </c>
      <c r="R80" s="1194">
        <v>10</v>
      </c>
      <c r="S80" s="1195">
        <v>10</v>
      </c>
      <c r="U80" s="1115"/>
    </row>
    <row r="81" spans="1:24" ht="30" customHeight="1" thickBot="1" x14ac:dyDescent="0.25">
      <c r="A81" s="1196"/>
      <c r="B81" s="1179"/>
      <c r="C81" s="1180"/>
      <c r="D81" s="1453" t="s">
        <v>393</v>
      </c>
      <c r="E81" s="1453"/>
      <c r="F81" s="528" t="s">
        <v>147</v>
      </c>
      <c r="G81" s="2117"/>
      <c r="H81" s="1168"/>
      <c r="I81" s="2157"/>
      <c r="J81" s="34" t="s">
        <v>15</v>
      </c>
      <c r="K81" s="1417">
        <v>66.400000000000006</v>
      </c>
      <c r="L81" s="181">
        <v>70</v>
      </c>
      <c r="M81" s="261">
        <v>76.2</v>
      </c>
      <c r="N81" s="175">
        <v>76.2</v>
      </c>
      <c r="O81" s="127" t="s">
        <v>131</v>
      </c>
      <c r="P81" s="1750">
        <v>92</v>
      </c>
      <c r="Q81" s="227">
        <v>92</v>
      </c>
      <c r="R81" s="114">
        <v>92</v>
      </c>
      <c r="S81" s="1750"/>
    </row>
    <row r="82" spans="1:24" s="1148" customFormat="1" ht="43.5" customHeight="1" x14ac:dyDescent="0.2">
      <c r="A82" s="1156"/>
      <c r="B82" s="1160"/>
      <c r="C82" s="1197"/>
      <c r="D82" s="1456"/>
      <c r="E82" s="1452"/>
      <c r="F82" s="2113" t="s">
        <v>116</v>
      </c>
      <c r="G82" s="1485"/>
      <c r="H82" s="1486">
        <v>1</v>
      </c>
      <c r="I82" s="1487" t="s">
        <v>352</v>
      </c>
      <c r="J82" s="487" t="s">
        <v>15</v>
      </c>
      <c r="K82" s="1088">
        <v>9</v>
      </c>
      <c r="L82" s="180"/>
      <c r="M82" s="394"/>
      <c r="N82" s="622"/>
      <c r="O82" s="2101" t="s">
        <v>234</v>
      </c>
      <c r="P82" s="1114">
        <v>34</v>
      </c>
      <c r="Q82" s="1116"/>
      <c r="R82" s="1096"/>
      <c r="S82" s="1114"/>
    </row>
    <row r="83" spans="1:24" ht="16.5" customHeight="1" thickBot="1" x14ac:dyDescent="0.25">
      <c r="A83" s="1198"/>
      <c r="B83" s="1199"/>
      <c r="C83" s="1200"/>
      <c r="D83" s="1460"/>
      <c r="E83" s="1463"/>
      <c r="F83" s="2096"/>
      <c r="G83" s="2574" t="s">
        <v>54</v>
      </c>
      <c r="H83" s="2403"/>
      <c r="I83" s="2403"/>
      <c r="J83" s="2575"/>
      <c r="K83" s="1078">
        <f>SUM(K13:K82)</f>
        <v>73091.000000000015</v>
      </c>
      <c r="L83" s="469">
        <f>SUM(L13:L82)</f>
        <v>78000.000000000015</v>
      </c>
      <c r="M83" s="1080">
        <f>SUM(M13:M82)</f>
        <v>78534.8</v>
      </c>
      <c r="N83" s="1080">
        <f>SUM(N13:N82)</f>
        <v>78168.800000000003</v>
      </c>
      <c r="O83" s="2102"/>
      <c r="P83" s="1201"/>
      <c r="Q83" s="1202"/>
      <c r="R83" s="1203"/>
      <c r="S83" s="1204"/>
    </row>
    <row r="84" spans="1:24" ht="32.25" customHeight="1" x14ac:dyDescent="0.2">
      <c r="A84" s="1205" t="s">
        <v>14</v>
      </c>
      <c r="B84" s="1206" t="s">
        <v>14</v>
      </c>
      <c r="C84" s="1207" t="s">
        <v>17</v>
      </c>
      <c r="D84" s="1445"/>
      <c r="E84" s="1445"/>
      <c r="F84" s="2109" t="s">
        <v>89</v>
      </c>
      <c r="G84" s="2114"/>
      <c r="H84" s="1208">
        <v>2</v>
      </c>
      <c r="I84" s="2167" t="s">
        <v>351</v>
      </c>
      <c r="J84" s="1209"/>
      <c r="K84" s="1586"/>
      <c r="L84" s="1590"/>
      <c r="M84" s="1587"/>
      <c r="N84" s="1588"/>
      <c r="O84" s="336"/>
      <c r="P84" s="635"/>
      <c r="Q84" s="634"/>
      <c r="R84" s="635"/>
      <c r="S84" s="636"/>
    </row>
    <row r="85" spans="1:24" ht="40.5" customHeight="1" x14ac:dyDescent="0.2">
      <c r="A85" s="1178"/>
      <c r="B85" s="1179"/>
      <c r="C85" s="1180"/>
      <c r="D85" s="1472" t="s">
        <v>14</v>
      </c>
      <c r="E85" s="1472"/>
      <c r="F85" s="199" t="s">
        <v>90</v>
      </c>
      <c r="G85" s="2117"/>
      <c r="H85" s="1168"/>
      <c r="I85" s="2157"/>
      <c r="J85" s="2136" t="s">
        <v>18</v>
      </c>
      <c r="K85" s="1418">
        <v>207.3</v>
      </c>
      <c r="L85" s="1419">
        <v>205.4</v>
      </c>
      <c r="M85" s="1420">
        <f>+L85</f>
        <v>205.4</v>
      </c>
      <c r="N85" s="1421">
        <f>+M85</f>
        <v>205.4</v>
      </c>
      <c r="O85" s="384" t="s">
        <v>132</v>
      </c>
      <c r="P85" s="404">
        <v>2570</v>
      </c>
      <c r="Q85" s="490">
        <v>2692</v>
      </c>
      <c r="R85" s="404">
        <v>2690</v>
      </c>
      <c r="S85" s="1422">
        <v>2690</v>
      </c>
      <c r="X85" s="1145" t="s">
        <v>81</v>
      </c>
    </row>
    <row r="86" spans="1:24" s="1148" customFormat="1" ht="18" customHeight="1" x14ac:dyDescent="0.2">
      <c r="A86" s="1178"/>
      <c r="B86" s="1179"/>
      <c r="C86" s="1180"/>
      <c r="D86" s="1446" t="s">
        <v>17</v>
      </c>
      <c r="E86" s="1446"/>
      <c r="F86" s="2105" t="s">
        <v>57</v>
      </c>
      <c r="G86" s="2117"/>
      <c r="H86" s="1168"/>
      <c r="I86" s="2157"/>
      <c r="J86" s="1186" t="s">
        <v>15</v>
      </c>
      <c r="K86" s="1417">
        <v>50</v>
      </c>
      <c r="L86" s="2698">
        <v>70</v>
      </c>
      <c r="M86" s="261">
        <f>90-20</f>
        <v>70</v>
      </c>
      <c r="N86" s="175">
        <f>100-30</f>
        <v>70</v>
      </c>
      <c r="O86" s="2652" t="s">
        <v>183</v>
      </c>
      <c r="P86" s="114">
        <v>3000</v>
      </c>
      <c r="Q86" s="2695">
        <v>4800</v>
      </c>
      <c r="R86" s="2696">
        <v>4801</v>
      </c>
      <c r="S86" s="2713">
        <v>4802</v>
      </c>
      <c r="T86" s="1115"/>
    </row>
    <row r="87" spans="1:24" s="1148" customFormat="1" ht="15.75" customHeight="1" x14ac:dyDescent="0.2">
      <c r="A87" s="1178"/>
      <c r="B87" s="1179"/>
      <c r="C87" s="1180"/>
      <c r="D87" s="1446"/>
      <c r="E87" s="1446"/>
      <c r="F87" s="2106"/>
      <c r="G87" s="2117"/>
      <c r="H87" s="1210"/>
      <c r="I87" s="2157"/>
      <c r="J87" s="1186"/>
      <c r="K87" s="1417"/>
      <c r="L87" s="2698"/>
      <c r="M87" s="261"/>
      <c r="N87" s="175"/>
      <c r="O87" s="2652"/>
      <c r="P87" s="51"/>
      <c r="Q87" s="2695"/>
      <c r="R87" s="2697"/>
      <c r="S87" s="2713"/>
      <c r="T87" s="1115"/>
    </row>
    <row r="88" spans="1:24" ht="41.25" customHeight="1" x14ac:dyDescent="0.2">
      <c r="A88" s="1164"/>
      <c r="B88" s="1179"/>
      <c r="C88" s="1180"/>
      <c r="D88" s="1472" t="s">
        <v>19</v>
      </c>
      <c r="E88" s="1472"/>
      <c r="F88" s="74" t="s">
        <v>96</v>
      </c>
      <c r="G88" s="2117"/>
      <c r="H88" s="1184"/>
      <c r="I88" s="2153"/>
      <c r="J88" s="182" t="s">
        <v>15</v>
      </c>
      <c r="K88" s="1418">
        <v>60.8</v>
      </c>
      <c r="L88" s="1419">
        <v>55.9</v>
      </c>
      <c r="M88" s="1420"/>
      <c r="N88" s="1423"/>
      <c r="O88" s="384" t="s">
        <v>184</v>
      </c>
      <c r="P88" s="370">
        <v>20</v>
      </c>
      <c r="Q88" s="471">
        <v>25</v>
      </c>
      <c r="R88" s="370"/>
      <c r="S88" s="371"/>
      <c r="T88" s="500"/>
    </row>
    <row r="89" spans="1:24" ht="45.75" customHeight="1" x14ac:dyDescent="0.2">
      <c r="A89" s="1164"/>
      <c r="B89" s="1179"/>
      <c r="C89" s="1180"/>
      <c r="D89" s="1446" t="s">
        <v>21</v>
      </c>
      <c r="E89" s="1446"/>
      <c r="F89" s="2105" t="s">
        <v>77</v>
      </c>
      <c r="G89" s="2117"/>
      <c r="H89" s="1184"/>
      <c r="I89" s="2153"/>
      <c r="J89" s="34" t="s">
        <v>113</v>
      </c>
      <c r="K89" s="1417">
        <v>653.20000000000005</v>
      </c>
      <c r="L89" s="181">
        <v>653.20000000000005</v>
      </c>
      <c r="M89" s="261">
        <v>653.20000000000005</v>
      </c>
      <c r="N89" s="175">
        <v>653.20000000000005</v>
      </c>
      <c r="O89" s="2156" t="s">
        <v>184</v>
      </c>
      <c r="P89" s="114">
        <v>100</v>
      </c>
      <c r="Q89" s="2174">
        <v>100</v>
      </c>
      <c r="R89" s="114">
        <v>100</v>
      </c>
      <c r="S89" s="51">
        <v>100</v>
      </c>
      <c r="T89" s="500"/>
    </row>
    <row r="90" spans="1:24" s="1148" customFormat="1" ht="16.5" customHeight="1" x14ac:dyDescent="0.2">
      <c r="A90" s="1196"/>
      <c r="B90" s="1179"/>
      <c r="C90" s="1180"/>
      <c r="D90" s="1470" t="s">
        <v>22</v>
      </c>
      <c r="E90" s="1470"/>
      <c r="F90" s="2317" t="s">
        <v>149</v>
      </c>
      <c r="G90" s="2117"/>
      <c r="H90" s="1184"/>
      <c r="I90" s="2166"/>
      <c r="J90" s="184" t="s">
        <v>15</v>
      </c>
      <c r="K90" s="1230">
        <v>93.2</v>
      </c>
      <c r="L90" s="1603"/>
      <c r="M90" s="1323"/>
      <c r="N90" s="1324"/>
      <c r="O90" s="384" t="s">
        <v>138</v>
      </c>
      <c r="P90" s="370">
        <v>190</v>
      </c>
      <c r="Q90" s="471"/>
      <c r="R90" s="370"/>
      <c r="S90" s="371"/>
      <c r="T90" s="1119"/>
      <c r="U90" s="1119"/>
      <c r="V90" s="1119"/>
    </row>
    <row r="91" spans="1:24" s="1148" customFormat="1" ht="43.5" customHeight="1" x14ac:dyDescent="0.2">
      <c r="A91" s="1178"/>
      <c r="B91" s="1179"/>
      <c r="C91" s="1180"/>
      <c r="D91" s="1453"/>
      <c r="E91" s="1471"/>
      <c r="F91" s="2318"/>
      <c r="G91" s="2117"/>
      <c r="H91" s="1184"/>
      <c r="I91" s="2166"/>
      <c r="J91" s="34"/>
      <c r="K91" s="1225"/>
      <c r="L91" s="1859"/>
      <c r="M91" s="1319"/>
      <c r="N91" s="1320"/>
      <c r="O91" s="384" t="s">
        <v>182</v>
      </c>
      <c r="P91" s="370">
        <v>30</v>
      </c>
      <c r="Q91" s="471"/>
      <c r="R91" s="370"/>
      <c r="S91" s="371"/>
      <c r="T91" s="1119"/>
      <c r="U91" s="1147"/>
      <c r="V91" s="1147"/>
    </row>
    <row r="92" spans="1:24" s="1148" customFormat="1" ht="31.5" customHeight="1" x14ac:dyDescent="0.2">
      <c r="A92" s="1164"/>
      <c r="B92" s="1179"/>
      <c r="C92" s="1180"/>
      <c r="D92" s="1482" t="s">
        <v>106</v>
      </c>
      <c r="E92" s="1482"/>
      <c r="F92" s="74" t="s">
        <v>151</v>
      </c>
      <c r="G92" s="2144"/>
      <c r="H92" s="1701"/>
      <c r="I92" s="2166"/>
      <c r="J92" s="1860" t="s">
        <v>15</v>
      </c>
      <c r="K92" s="1225">
        <v>13.7</v>
      </c>
      <c r="L92" s="1604"/>
      <c r="M92" s="1319"/>
      <c r="N92" s="1320"/>
      <c r="O92" s="128" t="s">
        <v>183</v>
      </c>
      <c r="P92" s="164">
        <v>4500</v>
      </c>
      <c r="Q92" s="215">
        <v>4500</v>
      </c>
      <c r="R92" s="164">
        <v>4500</v>
      </c>
      <c r="S92" s="79"/>
      <c r="T92" s="1115"/>
    </row>
    <row r="93" spans="1:24" s="1148" customFormat="1" ht="16.5" customHeight="1" x14ac:dyDescent="0.2">
      <c r="A93" s="1178"/>
      <c r="B93" s="1179"/>
      <c r="C93" s="1180"/>
      <c r="D93" s="1470" t="s">
        <v>107</v>
      </c>
      <c r="E93" s="1470"/>
      <c r="F93" s="2317" t="s">
        <v>150</v>
      </c>
      <c r="G93" s="2117"/>
      <c r="H93" s="1184"/>
      <c r="I93" s="2166"/>
      <c r="J93" s="471" t="s">
        <v>15</v>
      </c>
      <c r="K93" s="1418">
        <v>14.9</v>
      </c>
      <c r="L93" s="1419"/>
      <c r="M93" s="1420"/>
      <c r="N93" s="1423"/>
      <c r="O93" s="128" t="s">
        <v>183</v>
      </c>
      <c r="P93" s="370">
        <v>2000</v>
      </c>
      <c r="Q93" s="471"/>
      <c r="R93" s="370"/>
      <c r="S93" s="371"/>
      <c r="T93" s="1115"/>
    </row>
    <row r="94" spans="1:24" ht="15.75" customHeight="1" thickBot="1" x14ac:dyDescent="0.25">
      <c r="A94" s="1212"/>
      <c r="B94" s="1213"/>
      <c r="C94" s="1214"/>
      <c r="D94" s="1449"/>
      <c r="E94" s="1449"/>
      <c r="F94" s="2306"/>
      <c r="G94" s="2115"/>
      <c r="H94" s="1215"/>
      <c r="I94" s="2186"/>
      <c r="J94" s="36" t="s">
        <v>16</v>
      </c>
      <c r="K94" s="425">
        <f>SUM(K85:K93)</f>
        <v>1093.1000000000001</v>
      </c>
      <c r="L94" s="165">
        <f>SUM(L85:L89)</f>
        <v>984.5</v>
      </c>
      <c r="M94" s="425">
        <f>SUM(M85:M93)</f>
        <v>928.6</v>
      </c>
      <c r="N94" s="429">
        <f>SUM(N85:N93)</f>
        <v>928.6</v>
      </c>
      <c r="O94" s="457" t="s">
        <v>132</v>
      </c>
      <c r="P94" s="169">
        <v>5000</v>
      </c>
      <c r="Q94" s="1093"/>
      <c r="R94" s="169"/>
      <c r="S94" s="170"/>
    </row>
    <row r="95" spans="1:24" ht="29.25" customHeight="1" x14ac:dyDescent="0.2">
      <c r="A95" s="1205" t="s">
        <v>14</v>
      </c>
      <c r="B95" s="1206" t="s">
        <v>14</v>
      </c>
      <c r="C95" s="1207" t="s">
        <v>19</v>
      </c>
      <c r="D95" s="1445"/>
      <c r="E95" s="1445"/>
      <c r="F95" s="2097" t="s">
        <v>68</v>
      </c>
      <c r="G95" s="2117"/>
      <c r="H95" s="1181">
        <v>1</v>
      </c>
      <c r="I95" s="2678" t="s">
        <v>354</v>
      </c>
      <c r="J95" s="634" t="s">
        <v>15</v>
      </c>
      <c r="K95" s="1417">
        <v>3.9</v>
      </c>
      <c r="L95" s="181">
        <v>3.9</v>
      </c>
      <c r="M95" s="261">
        <v>3.9</v>
      </c>
      <c r="N95" s="261">
        <v>3.9</v>
      </c>
      <c r="O95" s="336" t="s">
        <v>152</v>
      </c>
      <c r="P95" s="635">
        <v>10</v>
      </c>
      <c r="Q95" s="634">
        <v>10</v>
      </c>
      <c r="R95" s="635">
        <v>10</v>
      </c>
      <c r="S95" s="636">
        <v>10</v>
      </c>
    </row>
    <row r="96" spans="1:24" ht="18" customHeight="1" thickBot="1" x14ac:dyDescent="0.25">
      <c r="A96" s="1216"/>
      <c r="B96" s="1199"/>
      <c r="C96" s="1214"/>
      <c r="D96" s="1449"/>
      <c r="E96" s="1449"/>
      <c r="F96" s="458"/>
      <c r="G96" s="2115"/>
      <c r="H96" s="1217"/>
      <c r="I96" s="2679"/>
      <c r="J96" s="36" t="s">
        <v>16</v>
      </c>
      <c r="K96" s="425">
        <f t="shared" ref="K96:L96" si="3">K95</f>
        <v>3.9</v>
      </c>
      <c r="L96" s="165">
        <f t="shared" si="3"/>
        <v>3.9</v>
      </c>
      <c r="M96" s="249">
        <f t="shared" ref="M96:N96" si="4">M95</f>
        <v>3.9</v>
      </c>
      <c r="N96" s="249">
        <f t="shared" si="4"/>
        <v>3.9</v>
      </c>
      <c r="O96" s="128" t="s">
        <v>133</v>
      </c>
      <c r="P96" s="164">
        <v>860</v>
      </c>
      <c r="Q96" s="215">
        <v>860</v>
      </c>
      <c r="R96" s="164">
        <v>860</v>
      </c>
      <c r="S96" s="79">
        <v>860</v>
      </c>
    </row>
    <row r="97" spans="1:19" ht="18" customHeight="1" x14ac:dyDescent="0.2">
      <c r="A97" s="1150" t="s">
        <v>14</v>
      </c>
      <c r="B97" s="1206" t="s">
        <v>14</v>
      </c>
      <c r="C97" s="1207" t="s">
        <v>21</v>
      </c>
      <c r="D97" s="1445"/>
      <c r="E97" s="1445"/>
      <c r="F97" s="2305" t="s">
        <v>163</v>
      </c>
      <c r="G97" s="2114"/>
      <c r="H97" s="1218">
        <v>2</v>
      </c>
      <c r="I97" s="2676" t="s">
        <v>351</v>
      </c>
      <c r="J97" s="33" t="s">
        <v>15</v>
      </c>
      <c r="K97" s="1417">
        <v>17.8</v>
      </c>
      <c r="L97" s="181">
        <v>17.8</v>
      </c>
      <c r="M97" s="261">
        <v>17.8</v>
      </c>
      <c r="N97" s="261">
        <v>17.8</v>
      </c>
      <c r="O97" s="2101" t="s">
        <v>185</v>
      </c>
      <c r="P97" s="635">
        <v>39</v>
      </c>
      <c r="Q97" s="634">
        <v>39</v>
      </c>
      <c r="R97" s="635">
        <v>39</v>
      </c>
      <c r="S97" s="636">
        <v>39</v>
      </c>
    </row>
    <row r="98" spans="1:19" ht="16.5" customHeight="1" thickBot="1" x14ac:dyDescent="0.25">
      <c r="A98" s="1212"/>
      <c r="B98" s="1213"/>
      <c r="C98" s="1214"/>
      <c r="D98" s="1449"/>
      <c r="E98" s="1449"/>
      <c r="F98" s="2306"/>
      <c r="G98" s="2115"/>
      <c r="H98" s="1215"/>
      <c r="I98" s="2677"/>
      <c r="J98" s="36" t="s">
        <v>16</v>
      </c>
      <c r="K98" s="425">
        <f t="shared" ref="K98:L98" si="5">SUM(K97)</f>
        <v>17.8</v>
      </c>
      <c r="L98" s="165">
        <f t="shared" si="5"/>
        <v>17.8</v>
      </c>
      <c r="M98" s="249">
        <f t="shared" ref="M98:N98" si="6">SUM(M97)</f>
        <v>17.8</v>
      </c>
      <c r="N98" s="249">
        <f t="shared" si="6"/>
        <v>17.8</v>
      </c>
      <c r="O98" s="2102"/>
      <c r="P98" s="398"/>
      <c r="Q98" s="492"/>
      <c r="R98" s="398"/>
      <c r="S98" s="178"/>
    </row>
    <row r="99" spans="1:19" ht="41.25" customHeight="1" x14ac:dyDescent="0.2">
      <c r="A99" s="1219" t="s">
        <v>14</v>
      </c>
      <c r="B99" s="1206" t="s">
        <v>14</v>
      </c>
      <c r="C99" s="1207" t="s">
        <v>22</v>
      </c>
      <c r="D99" s="1445"/>
      <c r="E99" s="1445"/>
      <c r="F99" s="2305" t="s">
        <v>153</v>
      </c>
      <c r="G99" s="2114" t="s">
        <v>48</v>
      </c>
      <c r="H99" s="1218">
        <v>2</v>
      </c>
      <c r="I99" s="2167" t="s">
        <v>351</v>
      </c>
      <c r="J99" s="1137" t="s">
        <v>15</v>
      </c>
      <c r="K99" s="1088">
        <v>26.2</v>
      </c>
      <c r="L99" s="1220">
        <v>52</v>
      </c>
      <c r="M99" s="1221">
        <v>52</v>
      </c>
      <c r="N99" s="1222">
        <v>52</v>
      </c>
      <c r="O99" s="244" t="s">
        <v>99</v>
      </c>
      <c r="P99" s="1223">
        <v>7560</v>
      </c>
      <c r="Q99" s="1224">
        <v>7800</v>
      </c>
      <c r="R99" s="1223">
        <v>7800</v>
      </c>
      <c r="S99" s="1190">
        <v>7800</v>
      </c>
    </row>
    <row r="100" spans="1:19" ht="15.75" customHeight="1" x14ac:dyDescent="0.2">
      <c r="A100" s="1161"/>
      <c r="B100" s="1179"/>
      <c r="C100" s="1180"/>
      <c r="D100" s="1446"/>
      <c r="E100" s="1446"/>
      <c r="F100" s="2331"/>
      <c r="G100" s="2117"/>
      <c r="H100" s="1184"/>
      <c r="I100" s="2166"/>
      <c r="J100" s="824" t="s">
        <v>15</v>
      </c>
      <c r="K100" s="1225"/>
      <c r="L100" s="1226">
        <v>8.5</v>
      </c>
      <c r="M100" s="1227">
        <v>5.7</v>
      </c>
      <c r="N100" s="1228">
        <v>1.5</v>
      </c>
      <c r="O100" s="2313" t="s">
        <v>353</v>
      </c>
      <c r="P100" s="164"/>
      <c r="Q100" s="215">
        <v>3</v>
      </c>
      <c r="R100" s="164">
        <v>2</v>
      </c>
      <c r="S100" s="1229">
        <v>2</v>
      </c>
    </row>
    <row r="101" spans="1:19" ht="15.75" customHeight="1" x14ac:dyDescent="0.2">
      <c r="A101" s="1161"/>
      <c r="B101" s="1179"/>
      <c r="C101" s="1180"/>
      <c r="D101" s="1446"/>
      <c r="E101" s="1446"/>
      <c r="F101" s="2331"/>
      <c r="G101" s="2117"/>
      <c r="H101" s="1184"/>
      <c r="I101" s="2166"/>
      <c r="J101" s="184" t="s">
        <v>110</v>
      </c>
      <c r="K101" s="1230">
        <v>107.4</v>
      </c>
      <c r="L101" s="1231">
        <v>0</v>
      </c>
      <c r="M101" s="1232">
        <v>0</v>
      </c>
      <c r="N101" s="1233">
        <v>0</v>
      </c>
      <c r="O101" s="2652"/>
      <c r="P101" s="114"/>
      <c r="Q101" s="2174"/>
      <c r="R101" s="114"/>
      <c r="S101" s="2701"/>
    </row>
    <row r="102" spans="1:19" ht="13.5" thickBot="1" x14ac:dyDescent="0.25">
      <c r="A102" s="1234"/>
      <c r="B102" s="1213"/>
      <c r="C102" s="1214"/>
      <c r="D102" s="1449"/>
      <c r="E102" s="1449"/>
      <c r="F102" s="2098"/>
      <c r="G102" s="2115"/>
      <c r="H102" s="1215"/>
      <c r="I102" s="2186"/>
      <c r="J102" s="36" t="s">
        <v>16</v>
      </c>
      <c r="K102" s="425">
        <f>SUM(K99:K101)</f>
        <v>133.6</v>
      </c>
      <c r="L102" s="165">
        <f>SUM(L99:L101)</f>
        <v>60.5</v>
      </c>
      <c r="M102" s="249">
        <f t="shared" ref="M102:N102" si="7">SUM(M99:M101)</f>
        <v>57.7</v>
      </c>
      <c r="N102" s="1235">
        <f t="shared" si="7"/>
        <v>53.5</v>
      </c>
      <c r="O102" s="2312"/>
      <c r="P102" s="398"/>
      <c r="Q102" s="492"/>
      <c r="R102" s="398"/>
      <c r="S102" s="2702"/>
    </row>
    <row r="103" spans="1:19" ht="28.5" customHeight="1" x14ac:dyDescent="0.2">
      <c r="A103" s="1219" t="s">
        <v>14</v>
      </c>
      <c r="B103" s="1206" t="s">
        <v>14</v>
      </c>
      <c r="C103" s="1207" t="s">
        <v>106</v>
      </c>
      <c r="D103" s="1445"/>
      <c r="E103" s="1445"/>
      <c r="F103" s="2305" t="s">
        <v>186</v>
      </c>
      <c r="G103" s="2114"/>
      <c r="H103" s="1236">
        <v>1</v>
      </c>
      <c r="I103" s="2678" t="s">
        <v>354</v>
      </c>
      <c r="J103" s="34" t="s">
        <v>15</v>
      </c>
      <c r="K103" s="1417">
        <v>26.7</v>
      </c>
      <c r="L103" s="181">
        <v>1.5</v>
      </c>
      <c r="M103" s="261">
        <v>1.5</v>
      </c>
      <c r="N103" s="175">
        <v>1.5</v>
      </c>
      <c r="O103" s="135" t="s">
        <v>187</v>
      </c>
      <c r="P103" s="129">
        <v>1</v>
      </c>
      <c r="Q103" s="217"/>
      <c r="R103" s="129"/>
      <c r="S103" s="118"/>
    </row>
    <row r="104" spans="1:19" ht="28.5" customHeight="1" thickBot="1" x14ac:dyDescent="0.25">
      <c r="A104" s="1234"/>
      <c r="B104" s="1213"/>
      <c r="C104" s="1214"/>
      <c r="D104" s="1449"/>
      <c r="E104" s="1449"/>
      <c r="F104" s="2306"/>
      <c r="G104" s="2115"/>
      <c r="H104" s="1217"/>
      <c r="I104" s="2679"/>
      <c r="J104" s="36" t="s">
        <v>16</v>
      </c>
      <c r="K104" s="425">
        <f>K103</f>
        <v>26.7</v>
      </c>
      <c r="L104" s="165">
        <f>+L103</f>
        <v>1.5</v>
      </c>
      <c r="M104" s="249">
        <f>+M103</f>
        <v>1.5</v>
      </c>
      <c r="N104" s="249">
        <f>+N103</f>
        <v>1.5</v>
      </c>
      <c r="O104" s="177" t="s">
        <v>188</v>
      </c>
      <c r="P104" s="398">
        <v>1</v>
      </c>
      <c r="Q104" s="492">
        <v>1</v>
      </c>
      <c r="R104" s="398">
        <v>1</v>
      </c>
      <c r="S104" s="178">
        <v>1</v>
      </c>
    </row>
    <row r="105" spans="1:19" ht="28.5" customHeight="1" x14ac:dyDescent="0.2">
      <c r="A105" s="1219" t="s">
        <v>14</v>
      </c>
      <c r="B105" s="1206" t="s">
        <v>14</v>
      </c>
      <c r="C105" s="1207" t="s">
        <v>107</v>
      </c>
      <c r="D105" s="1445"/>
      <c r="E105" s="1445"/>
      <c r="F105" s="2361" t="s">
        <v>732</v>
      </c>
      <c r="G105" s="1135"/>
      <c r="H105" s="1236">
        <v>1</v>
      </c>
      <c r="I105" s="2678" t="s">
        <v>354</v>
      </c>
      <c r="J105" s="487" t="s">
        <v>15</v>
      </c>
      <c r="K105" s="1390"/>
      <c r="L105" s="1391"/>
      <c r="M105" s="1501">
        <v>50</v>
      </c>
      <c r="N105" s="1502">
        <v>6</v>
      </c>
      <c r="O105" s="244" t="s">
        <v>187</v>
      </c>
      <c r="P105" s="1223"/>
      <c r="Q105" s="1237"/>
      <c r="R105" s="1238">
        <v>1</v>
      </c>
      <c r="S105" s="1173"/>
    </row>
    <row r="106" spans="1:19" ht="28.5" customHeight="1" thickBot="1" x14ac:dyDescent="0.25">
      <c r="A106" s="1234"/>
      <c r="B106" s="1213"/>
      <c r="C106" s="1214"/>
      <c r="D106" s="1449"/>
      <c r="E106" s="1449"/>
      <c r="F106" s="2298"/>
      <c r="G106" s="1136"/>
      <c r="H106" s="1217"/>
      <c r="I106" s="2679"/>
      <c r="J106" s="36" t="s">
        <v>16</v>
      </c>
      <c r="K106" s="1078">
        <f>+K105</f>
        <v>0</v>
      </c>
      <c r="L106" s="426">
        <f>+L105</f>
        <v>0</v>
      </c>
      <c r="M106" s="1080">
        <f>+M105</f>
        <v>50</v>
      </c>
      <c r="N106" s="718">
        <f>+N105</f>
        <v>6</v>
      </c>
      <c r="O106" s="177" t="s">
        <v>188</v>
      </c>
      <c r="P106" s="169"/>
      <c r="Q106" s="491"/>
      <c r="R106" s="1090"/>
      <c r="S106" s="170">
        <v>1</v>
      </c>
    </row>
    <row r="107" spans="1:19" ht="18.75" customHeight="1" x14ac:dyDescent="0.2">
      <c r="A107" s="1219" t="s">
        <v>14</v>
      </c>
      <c r="B107" s="1206" t="s">
        <v>14</v>
      </c>
      <c r="C107" s="1207" t="s">
        <v>382</v>
      </c>
      <c r="D107" s="1445"/>
      <c r="E107" s="1445"/>
      <c r="F107" s="2305" t="s">
        <v>172</v>
      </c>
      <c r="G107" s="2114"/>
      <c r="H107" s="1218">
        <v>2</v>
      </c>
      <c r="I107" s="2676" t="s">
        <v>351</v>
      </c>
      <c r="J107" s="33" t="s">
        <v>15</v>
      </c>
      <c r="K107" s="1417">
        <v>16</v>
      </c>
      <c r="L107" s="1086">
        <v>6.4</v>
      </c>
      <c r="M107" s="394">
        <v>6.4</v>
      </c>
      <c r="N107" s="1087">
        <v>4.3</v>
      </c>
      <c r="O107" s="2101" t="s">
        <v>131</v>
      </c>
      <c r="P107" s="635">
        <v>89</v>
      </c>
      <c r="Q107" s="634">
        <v>89</v>
      </c>
      <c r="R107" s="635">
        <v>89</v>
      </c>
      <c r="S107" s="636">
        <v>89</v>
      </c>
    </row>
    <row r="108" spans="1:19" ht="16.5" customHeight="1" thickBot="1" x14ac:dyDescent="0.25">
      <c r="A108" s="1234"/>
      <c r="B108" s="1213"/>
      <c r="C108" s="1214"/>
      <c r="D108" s="1449"/>
      <c r="E108" s="1449"/>
      <c r="F108" s="2306"/>
      <c r="G108" s="2115"/>
      <c r="H108" s="1215"/>
      <c r="I108" s="2677"/>
      <c r="J108" s="36" t="s">
        <v>16</v>
      </c>
      <c r="K108" s="425">
        <f>K107</f>
        <v>16</v>
      </c>
      <c r="L108" s="165">
        <f>SUM(L107)</f>
        <v>6.4</v>
      </c>
      <c r="M108" s="249">
        <f>SUM(M107)</f>
        <v>6.4</v>
      </c>
      <c r="N108" s="429">
        <f>SUM(N107)</f>
        <v>4.3</v>
      </c>
      <c r="O108" s="2102"/>
      <c r="P108" s="398"/>
      <c r="Q108" s="492"/>
      <c r="R108" s="398"/>
      <c r="S108" s="178"/>
    </row>
    <row r="109" spans="1:19" ht="13.5" customHeight="1" thickBot="1" x14ac:dyDescent="0.25">
      <c r="A109" s="1239" t="s">
        <v>14</v>
      </c>
      <c r="B109" s="1240" t="s">
        <v>14</v>
      </c>
      <c r="C109" s="2590" t="s">
        <v>20</v>
      </c>
      <c r="D109" s="2591"/>
      <c r="E109" s="2591"/>
      <c r="F109" s="2591"/>
      <c r="G109" s="2591"/>
      <c r="H109" s="2591"/>
      <c r="I109" s="2591"/>
      <c r="J109" s="2592"/>
      <c r="K109" s="1605">
        <f>K102+K98+K96+K94+K83+K104+K108+K106</f>
        <v>74382.100000000006</v>
      </c>
      <c r="L109" s="1606">
        <f>L102+L98+L96+L94+L83+L104+L108+L106</f>
        <v>79074.600000000006</v>
      </c>
      <c r="M109" s="1607">
        <f>M102+M98+M96+M94+M83+M104+M108+M106</f>
        <v>79600.7</v>
      </c>
      <c r="N109" s="1608">
        <f>N102+N98+N96+N94+N83+N104+N108+N106</f>
        <v>79184.400000000009</v>
      </c>
      <c r="O109" s="1241"/>
      <c r="P109" s="1242"/>
      <c r="Q109" s="1242"/>
      <c r="R109" s="1242"/>
      <c r="S109" s="1243"/>
    </row>
    <row r="110" spans="1:19" ht="15.75" customHeight="1" thickBot="1" x14ac:dyDescent="0.25">
      <c r="A110" s="1239" t="s">
        <v>14</v>
      </c>
      <c r="B110" s="2593" t="s">
        <v>6</v>
      </c>
      <c r="C110" s="2594"/>
      <c r="D110" s="2594"/>
      <c r="E110" s="2594"/>
      <c r="F110" s="2594"/>
      <c r="G110" s="2594"/>
      <c r="H110" s="2594"/>
      <c r="I110" s="2594"/>
      <c r="J110" s="2595"/>
      <c r="K110" s="1609">
        <f t="shared" ref="K110:L110" si="8">K109</f>
        <v>74382.100000000006</v>
      </c>
      <c r="L110" s="1610">
        <f t="shared" si="8"/>
        <v>79074.600000000006</v>
      </c>
      <c r="M110" s="1611">
        <f t="shared" ref="M110:N110" si="9">M109</f>
        <v>79600.7</v>
      </c>
      <c r="N110" s="1611">
        <f t="shared" si="9"/>
        <v>79184.400000000009</v>
      </c>
      <c r="O110" s="1244"/>
      <c r="P110" s="1138"/>
      <c r="Q110" s="1138"/>
      <c r="R110" s="1138"/>
      <c r="S110" s="1139"/>
    </row>
    <row r="111" spans="1:19" ht="15.75" customHeight="1" thickBot="1" x14ac:dyDescent="0.25">
      <c r="A111" s="1245" t="s">
        <v>17</v>
      </c>
      <c r="B111" s="2372" t="s">
        <v>37</v>
      </c>
      <c r="C111" s="2373"/>
      <c r="D111" s="2373"/>
      <c r="E111" s="2373"/>
      <c r="F111" s="2373"/>
      <c r="G111" s="2373"/>
      <c r="H111" s="2373"/>
      <c r="I111" s="2373"/>
      <c r="J111" s="2373"/>
      <c r="K111" s="2373"/>
      <c r="L111" s="2373"/>
      <c r="M111" s="2373"/>
      <c r="N111" s="2373"/>
      <c r="O111" s="2373"/>
      <c r="P111" s="2373"/>
      <c r="Q111" s="2373"/>
      <c r="R111" s="2373"/>
      <c r="S111" s="2374"/>
    </row>
    <row r="112" spans="1:19" ht="15.75" customHeight="1" thickBot="1" x14ac:dyDescent="0.25">
      <c r="A112" s="1246" t="s">
        <v>17</v>
      </c>
      <c r="B112" s="1247" t="s">
        <v>14</v>
      </c>
      <c r="C112" s="2375" t="s">
        <v>33</v>
      </c>
      <c r="D112" s="2323"/>
      <c r="E112" s="2323"/>
      <c r="F112" s="2323"/>
      <c r="G112" s="2323"/>
      <c r="H112" s="2323"/>
      <c r="I112" s="2323"/>
      <c r="J112" s="2323"/>
      <c r="K112" s="2323"/>
      <c r="L112" s="2323"/>
      <c r="M112" s="2323"/>
      <c r="N112" s="2323"/>
      <c r="O112" s="2323"/>
      <c r="P112" s="2323"/>
      <c r="Q112" s="2323"/>
      <c r="R112" s="2323"/>
      <c r="S112" s="2324"/>
    </row>
    <row r="113" spans="1:23" s="38" customFormat="1" ht="42" customHeight="1" x14ac:dyDescent="0.2">
      <c r="A113" s="2576" t="s">
        <v>17</v>
      </c>
      <c r="B113" s="2579" t="s">
        <v>14</v>
      </c>
      <c r="C113" s="2582" t="s">
        <v>14</v>
      </c>
      <c r="D113" s="1450"/>
      <c r="E113" s="1450"/>
      <c r="F113" s="2361" t="s">
        <v>355</v>
      </c>
      <c r="G113" s="2585"/>
      <c r="H113" s="1754">
        <v>5</v>
      </c>
      <c r="I113" s="1755" t="s">
        <v>366</v>
      </c>
      <c r="J113" s="1101" t="s">
        <v>15</v>
      </c>
      <c r="K113" s="1566"/>
      <c r="L113" s="1575">
        <v>218.6</v>
      </c>
      <c r="M113" s="1557"/>
      <c r="N113" s="1657"/>
      <c r="O113" s="2587" t="s">
        <v>356</v>
      </c>
      <c r="P113" s="1504"/>
      <c r="Q113" s="1116">
        <v>6</v>
      </c>
      <c r="R113" s="2140">
        <v>6</v>
      </c>
      <c r="S113" s="1114">
        <v>6</v>
      </c>
    </row>
    <row r="114" spans="1:23" s="38" customFormat="1" ht="16.5" customHeight="1" x14ac:dyDescent="0.2">
      <c r="A114" s="2577"/>
      <c r="B114" s="2580"/>
      <c r="C114" s="2583"/>
      <c r="D114" s="1751"/>
      <c r="E114" s="1751"/>
      <c r="F114" s="2354"/>
      <c r="G114" s="2566"/>
      <c r="H114" s="1754">
        <v>2</v>
      </c>
      <c r="I114" s="2642" t="s">
        <v>351</v>
      </c>
      <c r="J114" s="1100" t="s">
        <v>15</v>
      </c>
      <c r="K114" s="1555"/>
      <c r="L114" s="1756"/>
      <c r="M114" s="366">
        <v>65.2</v>
      </c>
      <c r="N114" s="1686">
        <v>86.1</v>
      </c>
      <c r="O114" s="2588"/>
      <c r="P114" s="1752"/>
      <c r="Q114" s="1020"/>
      <c r="R114" s="139"/>
      <c r="S114" s="1750"/>
    </row>
    <row r="115" spans="1:23" s="38" customFormat="1" ht="15.75" customHeight="1" thickBot="1" x14ac:dyDescent="0.25">
      <c r="A115" s="2578"/>
      <c r="B115" s="2581"/>
      <c r="C115" s="2584"/>
      <c r="D115" s="1451"/>
      <c r="E115" s="1451"/>
      <c r="F115" s="2298"/>
      <c r="G115" s="2586"/>
      <c r="H115" s="1753"/>
      <c r="I115" s="2659"/>
      <c r="J115" s="1424" t="s">
        <v>16</v>
      </c>
      <c r="K115" s="379"/>
      <c r="L115" s="1503">
        <f>SUM(L113:L114)</f>
        <v>218.6</v>
      </c>
      <c r="M115" s="379">
        <f>SUM(M113:M114)</f>
        <v>65.2</v>
      </c>
      <c r="N115" s="379">
        <f>SUM(N113:N114)</f>
        <v>86.1</v>
      </c>
      <c r="O115" s="2589"/>
      <c r="P115" s="1329"/>
      <c r="Q115" s="1122"/>
      <c r="R115" s="1329"/>
      <c r="S115" s="1211"/>
    </row>
    <row r="116" spans="1:23" ht="15" customHeight="1" x14ac:dyDescent="0.2">
      <c r="A116" s="1205" t="s">
        <v>17</v>
      </c>
      <c r="B116" s="1206" t="s">
        <v>14</v>
      </c>
      <c r="C116" s="1207" t="s">
        <v>17</v>
      </c>
      <c r="D116" s="1452"/>
      <c r="E116" s="1452"/>
      <c r="F116" s="2346" t="s">
        <v>189</v>
      </c>
      <c r="G116" s="1249" t="s">
        <v>2</v>
      </c>
      <c r="H116" s="1208">
        <v>5</v>
      </c>
      <c r="I116" s="2676" t="s">
        <v>366</v>
      </c>
      <c r="J116" s="1296"/>
      <c r="K116" s="1586"/>
      <c r="L116" s="1612"/>
      <c r="M116" s="1613"/>
      <c r="N116" s="1586"/>
      <c r="O116" s="1315"/>
      <c r="P116" s="1250"/>
      <c r="Q116" s="1209"/>
      <c r="R116" s="1251"/>
      <c r="S116" s="1252"/>
      <c r="T116" s="1253"/>
      <c r="U116" s="1253"/>
    </row>
    <row r="117" spans="1:23" ht="15" customHeight="1" x14ac:dyDescent="0.2">
      <c r="A117" s="1196"/>
      <c r="B117" s="1179"/>
      <c r="C117" s="1180"/>
      <c r="D117" s="1453"/>
      <c r="E117" s="1453"/>
      <c r="F117" s="2347"/>
      <c r="G117" s="1249"/>
      <c r="H117" s="1168"/>
      <c r="I117" s="2657"/>
      <c r="J117" s="1259"/>
      <c r="K117" s="1417"/>
      <c r="L117" s="2177"/>
      <c r="M117" s="325"/>
      <c r="N117" s="1614"/>
      <c r="O117" s="34"/>
      <c r="P117" s="1256"/>
      <c r="Q117" s="1186"/>
      <c r="R117" s="1257"/>
      <c r="S117" s="1258"/>
      <c r="T117" s="1253"/>
      <c r="U117" s="1253"/>
    </row>
    <row r="118" spans="1:23" ht="15" customHeight="1" thickBot="1" x14ac:dyDescent="0.25">
      <c r="A118" s="1196"/>
      <c r="B118" s="1179"/>
      <c r="C118" s="1180"/>
      <c r="D118" s="1453"/>
      <c r="E118" s="1453"/>
      <c r="F118" s="2602"/>
      <c r="G118" s="391"/>
      <c r="H118" s="1168"/>
      <c r="I118" s="2657"/>
      <c r="J118" s="1330"/>
      <c r="K118" s="1615"/>
      <c r="L118" s="1616"/>
      <c r="M118" s="1617"/>
      <c r="N118" s="1615"/>
      <c r="O118" s="34"/>
      <c r="P118" s="1256"/>
      <c r="Q118" s="1186"/>
      <c r="R118" s="1257"/>
      <c r="S118" s="1258"/>
      <c r="T118" s="325"/>
      <c r="U118" s="1434"/>
      <c r="V118" s="1103"/>
      <c r="W118" s="500"/>
    </row>
    <row r="119" spans="1:23" ht="20.25" customHeight="1" x14ac:dyDescent="0.2">
      <c r="A119" s="1196"/>
      <c r="B119" s="1179"/>
      <c r="C119" s="1180"/>
      <c r="D119" s="1453" t="s">
        <v>14</v>
      </c>
      <c r="E119" s="1453"/>
      <c r="F119" s="2297" t="s">
        <v>367</v>
      </c>
      <c r="G119" s="281"/>
      <c r="H119" s="1249"/>
      <c r="I119" s="2660" t="s">
        <v>399</v>
      </c>
      <c r="J119" s="1353" t="s">
        <v>15</v>
      </c>
      <c r="K119" s="1354">
        <v>66.3</v>
      </c>
      <c r="L119" s="1355">
        <f>128.1-65.3</f>
        <v>62.8</v>
      </c>
      <c r="M119" s="1356">
        <v>100.6</v>
      </c>
      <c r="N119" s="1586"/>
      <c r="O119" s="2596" t="s">
        <v>115</v>
      </c>
      <c r="P119" s="1759"/>
      <c r="Q119" s="1760">
        <v>5</v>
      </c>
      <c r="R119" s="1761">
        <v>2</v>
      </c>
      <c r="S119" s="1357"/>
      <c r="T119" s="1431"/>
      <c r="U119" s="1431"/>
      <c r="V119" s="1431"/>
      <c r="W119" s="500"/>
    </row>
    <row r="120" spans="1:23" ht="20.25" customHeight="1" x14ac:dyDescent="0.2">
      <c r="A120" s="1196"/>
      <c r="B120" s="1179"/>
      <c r="C120" s="1180"/>
      <c r="D120" s="1453"/>
      <c r="E120" s="1453"/>
      <c r="F120" s="2354"/>
      <c r="G120" s="1260"/>
      <c r="H120" s="1168"/>
      <c r="I120" s="2661"/>
      <c r="J120" s="1336" t="s">
        <v>110</v>
      </c>
      <c r="K120" s="1337"/>
      <c r="L120" s="1343">
        <v>60.5</v>
      </c>
      <c r="M120" s="1338"/>
      <c r="N120" s="1418"/>
      <c r="O120" s="2597"/>
      <c r="P120" s="1762"/>
      <c r="Q120" s="1763"/>
      <c r="R120" s="1764"/>
      <c r="S120" s="1348"/>
      <c r="T120" s="1431"/>
      <c r="U120" s="1431"/>
      <c r="V120" s="1431"/>
      <c r="W120" s="500"/>
    </row>
    <row r="121" spans="1:23" ht="20.25" customHeight="1" x14ac:dyDescent="0.2">
      <c r="A121" s="1196"/>
      <c r="B121" s="1179"/>
      <c r="C121" s="1180"/>
      <c r="D121" s="1453"/>
      <c r="E121" s="1453"/>
      <c r="F121" s="2354"/>
      <c r="G121" s="1260"/>
      <c r="H121" s="1168"/>
      <c r="I121" s="2661"/>
      <c r="J121" s="1358" t="s">
        <v>113</v>
      </c>
      <c r="K121" s="1359">
        <v>6.8</v>
      </c>
      <c r="L121" s="1347">
        <v>621.6</v>
      </c>
      <c r="M121" s="1341">
        <v>399.2</v>
      </c>
      <c r="N121" s="1417"/>
      <c r="O121" s="2598" t="s">
        <v>192</v>
      </c>
      <c r="P121" s="1765"/>
      <c r="Q121" s="1766">
        <v>5</v>
      </c>
      <c r="R121" s="1767">
        <v>2</v>
      </c>
      <c r="S121" s="1331"/>
      <c r="T121" s="1431"/>
      <c r="U121" s="1431"/>
      <c r="V121" s="1431"/>
      <c r="W121" s="500"/>
    </row>
    <row r="122" spans="1:23" ht="20.25" customHeight="1" thickBot="1" x14ac:dyDescent="0.25">
      <c r="A122" s="1196"/>
      <c r="B122" s="1179"/>
      <c r="C122" s="1180"/>
      <c r="D122" s="1453"/>
      <c r="E122" s="1453"/>
      <c r="F122" s="2355"/>
      <c r="G122" s="1260"/>
      <c r="H122" s="1168"/>
      <c r="I122" s="2662"/>
      <c r="J122" s="1360" t="s">
        <v>18</v>
      </c>
      <c r="K122" s="1361">
        <v>0.7</v>
      </c>
      <c r="L122" s="1362">
        <v>54.8</v>
      </c>
      <c r="M122" s="1363">
        <v>35.200000000000003</v>
      </c>
      <c r="N122" s="1596"/>
      <c r="O122" s="2599"/>
      <c r="P122" s="178"/>
      <c r="Q122" s="492"/>
      <c r="R122" s="1130"/>
      <c r="S122" s="1282"/>
      <c r="T122" s="1431"/>
      <c r="U122" s="1431"/>
      <c r="V122" s="1431"/>
      <c r="W122" s="500"/>
    </row>
    <row r="123" spans="1:23" ht="15" customHeight="1" x14ac:dyDescent="0.2">
      <c r="A123" s="1196"/>
      <c r="B123" s="1179"/>
      <c r="C123" s="1180"/>
      <c r="D123" s="1470" t="s">
        <v>17</v>
      </c>
      <c r="E123" s="1470"/>
      <c r="F123" s="2297" t="s">
        <v>229</v>
      </c>
      <c r="G123" s="1261"/>
      <c r="H123" s="1181"/>
      <c r="I123" s="2663" t="s">
        <v>719</v>
      </c>
      <c r="J123" s="1340" t="s">
        <v>15</v>
      </c>
      <c r="K123" s="1334">
        <v>35</v>
      </c>
      <c r="L123" s="1347">
        <v>14.2</v>
      </c>
      <c r="M123" s="1341">
        <v>0</v>
      </c>
      <c r="N123" s="1349">
        <v>0</v>
      </c>
      <c r="O123" s="2714" t="s">
        <v>193</v>
      </c>
      <c r="P123" s="1768"/>
      <c r="Q123" s="1769">
        <v>1</v>
      </c>
      <c r="R123" s="1770"/>
      <c r="S123" s="1771"/>
      <c r="T123" s="2674"/>
      <c r="U123" s="2675"/>
      <c r="V123" s="500"/>
      <c r="W123" s="500"/>
    </row>
    <row r="124" spans="1:23" ht="15" customHeight="1" x14ac:dyDescent="0.2">
      <c r="A124" s="1196"/>
      <c r="B124" s="1179"/>
      <c r="C124" s="1180"/>
      <c r="D124" s="1453"/>
      <c r="E124" s="1453"/>
      <c r="F124" s="2354"/>
      <c r="G124" s="1261"/>
      <c r="H124" s="1181"/>
      <c r="I124" s="2664"/>
      <c r="J124" s="1344" t="s">
        <v>110</v>
      </c>
      <c r="K124" s="1345"/>
      <c r="L124" s="1351">
        <v>35</v>
      </c>
      <c r="M124" s="1346"/>
      <c r="N124" s="1350"/>
      <c r="O124" s="2597"/>
      <c r="P124" s="1772"/>
      <c r="Q124" s="1773"/>
      <c r="R124" s="1774"/>
      <c r="S124" s="1775"/>
      <c r="T124" s="1431"/>
      <c r="U124" s="1431"/>
      <c r="V124" s="500"/>
      <c r="W124" s="500"/>
    </row>
    <row r="125" spans="1:23" ht="27" customHeight="1" thickBot="1" x14ac:dyDescent="0.25">
      <c r="A125" s="1196"/>
      <c r="B125" s="1179"/>
      <c r="C125" s="1180"/>
      <c r="D125" s="1471"/>
      <c r="E125" s="1471"/>
      <c r="F125" s="2355"/>
      <c r="G125" s="1261"/>
      <c r="H125" s="1181"/>
      <c r="I125" s="2665"/>
      <c r="J125" s="1340"/>
      <c r="K125" s="1364"/>
      <c r="L125" s="1347"/>
      <c r="M125" s="1341"/>
      <c r="N125" s="1349"/>
      <c r="O125" s="2183" t="s">
        <v>83</v>
      </c>
      <c r="P125" s="1768"/>
      <c r="Q125" s="1769"/>
      <c r="R125" s="1770"/>
      <c r="S125" s="1768"/>
      <c r="T125" s="1431"/>
      <c r="U125" s="1431"/>
      <c r="V125" s="500"/>
      <c r="W125" s="500"/>
    </row>
    <row r="126" spans="1:23" ht="27.75" customHeight="1" x14ac:dyDescent="0.2">
      <c r="A126" s="1178"/>
      <c r="B126" s="1179"/>
      <c r="C126" s="1180"/>
      <c r="D126" s="1470" t="s">
        <v>19</v>
      </c>
      <c r="E126" s="1470"/>
      <c r="F126" s="2297" t="s">
        <v>230</v>
      </c>
      <c r="G126" s="1261"/>
      <c r="H126" s="1181"/>
      <c r="I126" s="1727" t="s">
        <v>720</v>
      </c>
      <c r="J126" s="1353" t="s">
        <v>15</v>
      </c>
      <c r="K126" s="1354"/>
      <c r="L126" s="1355"/>
      <c r="M126" s="1356">
        <v>500</v>
      </c>
      <c r="N126" s="2207">
        <v>1833.3</v>
      </c>
      <c r="O126" s="1776" t="s">
        <v>368</v>
      </c>
      <c r="P126" s="1777">
        <v>1</v>
      </c>
      <c r="Q126" s="1778"/>
      <c r="R126" s="1779"/>
      <c r="S126" s="1780"/>
      <c r="T126" s="1431"/>
      <c r="U126" s="500"/>
      <c r="V126" s="500"/>
      <c r="W126" s="500"/>
    </row>
    <row r="127" spans="1:23" ht="15" customHeight="1" x14ac:dyDescent="0.2">
      <c r="A127" s="1178"/>
      <c r="B127" s="1179"/>
      <c r="C127" s="1180"/>
      <c r="D127" s="1453"/>
      <c r="E127" s="1453"/>
      <c r="F127" s="2354"/>
      <c r="G127" s="1261"/>
      <c r="H127" s="1181"/>
      <c r="I127" s="1728"/>
      <c r="J127" s="1336" t="s">
        <v>110</v>
      </c>
      <c r="K127" s="1337">
        <v>37.5</v>
      </c>
      <c r="L127" s="1343"/>
      <c r="M127" s="1338"/>
      <c r="N127" s="1339"/>
      <c r="O127" s="1781" t="s">
        <v>63</v>
      </c>
      <c r="P127" s="1782"/>
      <c r="Q127" s="1783">
        <v>35</v>
      </c>
      <c r="R127" s="1784">
        <v>60</v>
      </c>
      <c r="S127" s="1785">
        <v>100</v>
      </c>
      <c r="T127" s="500"/>
      <c r="U127" s="500"/>
      <c r="V127" s="500"/>
      <c r="W127" s="500"/>
    </row>
    <row r="128" spans="1:23" ht="15" customHeight="1" thickBot="1" x14ac:dyDescent="0.25">
      <c r="A128" s="1196"/>
      <c r="B128" s="1179"/>
      <c r="C128" s="1180"/>
      <c r="D128" s="1471"/>
      <c r="E128" s="1471"/>
      <c r="F128" s="2355"/>
      <c r="G128" s="1261"/>
      <c r="H128" s="1181"/>
      <c r="I128" s="1728"/>
      <c r="J128" s="1729" t="s">
        <v>268</v>
      </c>
      <c r="K128" s="1730"/>
      <c r="L128" s="1731">
        <v>2900</v>
      </c>
      <c r="M128" s="1732">
        <v>2900</v>
      </c>
      <c r="N128" s="1733">
        <v>2900</v>
      </c>
      <c r="O128" s="1786"/>
      <c r="P128" s="1787"/>
      <c r="Q128" s="1788"/>
      <c r="R128" s="1789"/>
      <c r="S128" s="1790"/>
    </row>
    <row r="129" spans="1:23" ht="40.5" customHeight="1" x14ac:dyDescent="0.2">
      <c r="A129" s="1178"/>
      <c r="B129" s="1179"/>
      <c r="C129" s="1180"/>
      <c r="D129" s="1453" t="s">
        <v>21</v>
      </c>
      <c r="E129" s="1453"/>
      <c r="F129" s="2297" t="s">
        <v>194</v>
      </c>
      <c r="G129" s="1261"/>
      <c r="H129" s="1181"/>
      <c r="I129" s="2159" t="s">
        <v>729</v>
      </c>
      <c r="J129" s="1358" t="s">
        <v>15</v>
      </c>
      <c r="K129" s="1359">
        <v>2.2999999999999998</v>
      </c>
      <c r="L129" s="1347">
        <v>20</v>
      </c>
      <c r="M129" s="1341">
        <v>40</v>
      </c>
      <c r="N129" s="1500">
        <f>1080-1080</f>
        <v>0</v>
      </c>
      <c r="O129" s="1791" t="s">
        <v>265</v>
      </c>
      <c r="P129" s="1792">
        <v>1</v>
      </c>
      <c r="Q129" s="1793"/>
      <c r="R129" s="1774"/>
      <c r="S129" s="1775"/>
      <c r="T129" s="2686"/>
      <c r="U129" s="2687"/>
    </row>
    <row r="130" spans="1:23" ht="30" customHeight="1" x14ac:dyDescent="0.2">
      <c r="A130" s="1178"/>
      <c r="B130" s="1179"/>
      <c r="C130" s="1176"/>
      <c r="D130" s="1447"/>
      <c r="E130" s="1453"/>
      <c r="F130" s="2354"/>
      <c r="G130" s="1260"/>
      <c r="H130" s="1168"/>
      <c r="I130" s="2158"/>
      <c r="J130" s="1358"/>
      <c r="K130" s="1368"/>
      <c r="L130" s="1366"/>
      <c r="M130" s="1341"/>
      <c r="N130" s="1500"/>
      <c r="O130" s="1794" t="s">
        <v>56</v>
      </c>
      <c r="P130" s="1795"/>
      <c r="Q130" s="1796"/>
      <c r="R130" s="1797">
        <v>1</v>
      </c>
      <c r="S130" s="1798"/>
    </row>
    <row r="131" spans="1:23" ht="16.5" customHeight="1" thickBot="1" x14ac:dyDescent="0.25">
      <c r="A131" s="1178"/>
      <c r="B131" s="1179"/>
      <c r="C131" s="1264"/>
      <c r="D131" s="1447"/>
      <c r="E131" s="1453"/>
      <c r="F131" s="2354"/>
      <c r="G131" s="1260"/>
      <c r="H131" s="1210"/>
      <c r="I131" s="2158"/>
      <c r="J131" s="1678"/>
      <c r="K131" s="1365"/>
      <c r="L131" s="1366"/>
      <c r="M131" s="1679"/>
      <c r="N131" s="1500"/>
      <c r="O131" s="1799" t="s">
        <v>129</v>
      </c>
      <c r="P131" s="1800"/>
      <c r="Q131" s="1801"/>
      <c r="R131" s="1802"/>
      <c r="S131" s="1800"/>
      <c r="T131" s="1267"/>
    </row>
    <row r="132" spans="1:23" ht="15" customHeight="1" x14ac:dyDescent="0.2">
      <c r="A132" s="1178"/>
      <c r="B132" s="1179"/>
      <c r="C132" s="1180"/>
      <c r="D132" s="1470" t="s">
        <v>22</v>
      </c>
      <c r="E132" s="1470"/>
      <c r="F132" s="2297" t="s">
        <v>242</v>
      </c>
      <c r="G132" s="1261"/>
      <c r="H132" s="1181"/>
      <c r="I132" s="2663" t="s">
        <v>399</v>
      </c>
      <c r="J132" s="1353" t="s">
        <v>15</v>
      </c>
      <c r="K132" s="1354">
        <f>5.1-2.3</f>
        <v>2.8</v>
      </c>
      <c r="L132" s="1355"/>
      <c r="M132" s="1708"/>
      <c r="N132" s="1709"/>
      <c r="O132" s="2596" t="s">
        <v>56</v>
      </c>
      <c r="P132" s="1803"/>
      <c r="Q132" s="1804"/>
      <c r="R132" s="1761"/>
      <c r="S132" s="1759"/>
      <c r="T132" s="1431"/>
      <c r="U132" s="1431"/>
      <c r="V132" s="500"/>
      <c r="W132" s="500"/>
    </row>
    <row r="133" spans="1:23" ht="15" customHeight="1" x14ac:dyDescent="0.2">
      <c r="A133" s="1178"/>
      <c r="B133" s="1179"/>
      <c r="C133" s="1180"/>
      <c r="D133" s="1453"/>
      <c r="E133" s="1453"/>
      <c r="F133" s="2354"/>
      <c r="G133" s="1261"/>
      <c r="H133" s="1181"/>
      <c r="I133" s="2664"/>
      <c r="J133" s="1336" t="s">
        <v>110</v>
      </c>
      <c r="K133" s="1337"/>
      <c r="L133" s="1343">
        <v>2.8</v>
      </c>
      <c r="M133" s="1743"/>
      <c r="N133" s="1744"/>
      <c r="O133" s="2604"/>
      <c r="P133" s="1805"/>
      <c r="Q133" s="1806"/>
      <c r="R133" s="1767"/>
      <c r="S133" s="1765"/>
      <c r="T133" s="1431"/>
      <c r="U133" s="1431"/>
      <c r="V133" s="500"/>
      <c r="W133" s="500"/>
    </row>
    <row r="134" spans="1:23" ht="27.75" customHeight="1" thickBot="1" x14ac:dyDescent="0.25">
      <c r="A134" s="1178"/>
      <c r="B134" s="1179"/>
      <c r="C134" s="1180"/>
      <c r="D134" s="1453"/>
      <c r="E134" s="1453"/>
      <c r="F134" s="2355"/>
      <c r="G134" s="1261"/>
      <c r="H134" s="1181"/>
      <c r="I134" s="2665"/>
      <c r="J134" s="1360" t="s">
        <v>3</v>
      </c>
      <c r="K134" s="1361">
        <v>28.6</v>
      </c>
      <c r="L134" s="1362"/>
      <c r="M134" s="1710"/>
      <c r="N134" s="1711"/>
      <c r="O134" s="1807" t="s">
        <v>103</v>
      </c>
      <c r="P134" s="1808"/>
      <c r="Q134" s="1809"/>
      <c r="R134" s="1810"/>
      <c r="S134" s="1811"/>
      <c r="T134" s="1431"/>
      <c r="U134" s="1431"/>
      <c r="V134" s="500"/>
      <c r="W134" s="500"/>
    </row>
    <row r="135" spans="1:23" s="500" customFormat="1" ht="24.75" customHeight="1" x14ac:dyDescent="0.2">
      <c r="A135" s="1178"/>
      <c r="B135" s="1179"/>
      <c r="C135" s="1283"/>
      <c r="D135" s="1718" t="s">
        <v>106</v>
      </c>
      <c r="E135" s="1713"/>
      <c r="F135" s="2361" t="s">
        <v>733</v>
      </c>
      <c r="G135" s="1714"/>
      <c r="H135" s="1494">
        <v>6</v>
      </c>
      <c r="I135" s="2678" t="s">
        <v>373</v>
      </c>
      <c r="J135" s="634" t="s">
        <v>15</v>
      </c>
      <c r="K135" s="1565"/>
      <c r="L135" s="309">
        <v>11.5</v>
      </c>
      <c r="M135" s="832"/>
      <c r="N135" s="1642">
        <v>138</v>
      </c>
      <c r="O135" s="1715" t="s">
        <v>62</v>
      </c>
      <c r="P135" s="1496"/>
      <c r="Q135" s="634">
        <v>1</v>
      </c>
      <c r="R135" s="1705"/>
      <c r="S135" s="1290"/>
      <c r="T135" s="325"/>
      <c r="U135" s="325"/>
      <c r="V135" s="325"/>
    </row>
    <row r="136" spans="1:23" s="500" customFormat="1" ht="18" customHeight="1" x14ac:dyDescent="0.2">
      <c r="A136" s="1178"/>
      <c r="B136" s="1179"/>
      <c r="C136" s="1283"/>
      <c r="D136" s="1465"/>
      <c r="E136" s="1097"/>
      <c r="F136" s="2354"/>
      <c r="G136" s="1704"/>
      <c r="H136" s="1680"/>
      <c r="I136" s="2666"/>
      <c r="J136" s="2174"/>
      <c r="K136" s="1566"/>
      <c r="L136" s="434"/>
      <c r="M136" s="1052"/>
      <c r="N136" s="1614"/>
      <c r="O136" s="2103" t="s">
        <v>129</v>
      </c>
      <c r="P136" s="1313"/>
      <c r="Q136" s="215"/>
      <c r="R136" s="2175"/>
      <c r="S136" s="1082">
        <v>100</v>
      </c>
      <c r="T136" s="1103"/>
    </row>
    <row r="137" spans="1:23" ht="20.25" customHeight="1" x14ac:dyDescent="0.2">
      <c r="A137" s="1178"/>
      <c r="B137" s="1179"/>
      <c r="C137" s="1176"/>
      <c r="D137" s="1469" t="s">
        <v>107</v>
      </c>
      <c r="E137" s="1474"/>
      <c r="F137" s="2297" t="s">
        <v>746</v>
      </c>
      <c r="G137" s="1274"/>
      <c r="H137" s="1438"/>
      <c r="I137" s="2666"/>
      <c r="J137" s="25" t="s">
        <v>15</v>
      </c>
      <c r="K137" s="1388">
        <v>1307.3</v>
      </c>
      <c r="L137" s="736">
        <v>770.2</v>
      </c>
      <c r="M137" s="160">
        <v>890</v>
      </c>
      <c r="N137" s="1388">
        <v>1220</v>
      </c>
      <c r="O137" s="449" t="s">
        <v>237</v>
      </c>
      <c r="P137" s="1721">
        <v>6</v>
      </c>
      <c r="Q137" s="194">
        <v>3</v>
      </c>
      <c r="R137" s="2173">
        <v>3</v>
      </c>
      <c r="S137" s="1022">
        <v>2</v>
      </c>
      <c r="T137" s="1703"/>
      <c r="U137" s="1253"/>
      <c r="V137" s="1253"/>
    </row>
    <row r="138" spans="1:23" ht="37.5" customHeight="1" x14ac:dyDescent="0.2">
      <c r="A138" s="1178"/>
      <c r="B138" s="1179"/>
      <c r="C138" s="1176"/>
      <c r="D138" s="1468"/>
      <c r="E138" s="1475"/>
      <c r="F138" s="2355"/>
      <c r="G138" s="1274"/>
      <c r="H138" s="1438"/>
      <c r="I138" s="333"/>
      <c r="J138" s="238" t="s">
        <v>110</v>
      </c>
      <c r="K138" s="1555"/>
      <c r="L138" s="1756">
        <v>172.5</v>
      </c>
      <c r="M138" s="2065"/>
      <c r="N138" s="2066"/>
      <c r="O138" s="473" t="s">
        <v>216</v>
      </c>
      <c r="P138" s="137">
        <v>2</v>
      </c>
      <c r="Q138" s="276">
        <v>1</v>
      </c>
      <c r="R138" s="136">
        <v>1</v>
      </c>
      <c r="S138" s="1734"/>
      <c r="T138" s="1253"/>
      <c r="U138" s="1253"/>
      <c r="V138" s="1253"/>
    </row>
    <row r="139" spans="1:23" ht="29.25" customHeight="1" x14ac:dyDescent="0.2">
      <c r="A139" s="1196"/>
      <c r="B139" s="1179"/>
      <c r="C139" s="1163"/>
      <c r="D139" s="1470" t="s">
        <v>382</v>
      </c>
      <c r="E139" s="1470"/>
      <c r="F139" s="2359" t="s">
        <v>196</v>
      </c>
      <c r="G139" s="1166"/>
      <c r="H139" s="1706"/>
      <c r="I139" s="2184"/>
      <c r="J139" s="194" t="s">
        <v>15</v>
      </c>
      <c r="K139" s="1387">
        <v>150</v>
      </c>
      <c r="L139" s="1812">
        <v>385</v>
      </c>
      <c r="M139" s="1813">
        <f>600+130</f>
        <v>730</v>
      </c>
      <c r="N139" s="1387"/>
      <c r="O139" s="1382" t="s">
        <v>161</v>
      </c>
      <c r="P139" s="1386">
        <v>1</v>
      </c>
      <c r="Q139" s="1383"/>
      <c r="R139" s="1384"/>
      <c r="S139" s="1385"/>
      <c r="T139" s="1148"/>
    </row>
    <row r="140" spans="1:23" ht="29.25" customHeight="1" x14ac:dyDescent="0.2">
      <c r="A140" s="1196"/>
      <c r="B140" s="1179"/>
      <c r="C140" s="1163"/>
      <c r="D140" s="1453"/>
      <c r="E140" s="1453"/>
      <c r="F140" s="2293"/>
      <c r="G140" s="1166"/>
      <c r="H140" s="1706"/>
      <c r="I140" s="2184"/>
      <c r="J140" s="194" t="s">
        <v>110</v>
      </c>
      <c r="K140" s="2061"/>
      <c r="L140" s="1812">
        <v>130</v>
      </c>
      <c r="M140" s="1813"/>
      <c r="N140" s="1387"/>
      <c r="O140" s="2062" t="s">
        <v>162</v>
      </c>
      <c r="P140" s="2063">
        <v>20</v>
      </c>
      <c r="Q140" s="509">
        <v>50</v>
      </c>
      <c r="R140" s="1931">
        <v>100</v>
      </c>
      <c r="S140" s="1932"/>
      <c r="T140" s="1148"/>
    </row>
    <row r="141" spans="1:23" ht="30.75" customHeight="1" x14ac:dyDescent="0.2">
      <c r="A141" s="1196"/>
      <c r="B141" s="1179"/>
      <c r="C141" s="1266"/>
      <c r="D141" s="2047" t="s">
        <v>383</v>
      </c>
      <c r="E141" s="1484"/>
      <c r="F141" s="2362" t="s">
        <v>231</v>
      </c>
      <c r="G141" s="1681"/>
      <c r="H141" s="2148"/>
      <c r="I141" s="2642"/>
      <c r="J141" s="406" t="s">
        <v>15</v>
      </c>
      <c r="K141" s="2161">
        <v>596.20000000000005</v>
      </c>
      <c r="L141" s="2168"/>
      <c r="M141" s="1618"/>
      <c r="N141" s="1619">
        <v>102</v>
      </c>
      <c r="O141" s="415" t="s">
        <v>103</v>
      </c>
      <c r="P141" s="1488" t="s">
        <v>372</v>
      </c>
      <c r="Q141" s="1489"/>
      <c r="R141" s="1735"/>
      <c r="S141" s="1736" t="s">
        <v>78</v>
      </c>
    </row>
    <row r="142" spans="1:23" ht="35.25" customHeight="1" thickBot="1" x14ac:dyDescent="0.25">
      <c r="A142" s="1196"/>
      <c r="B142" s="1179"/>
      <c r="C142" s="1266"/>
      <c r="D142" s="2064"/>
      <c r="E142" s="2051"/>
      <c r="F142" s="2603"/>
      <c r="G142" s="1217"/>
      <c r="H142" s="2052"/>
      <c r="I142" s="2659"/>
      <c r="J142" s="2053"/>
      <c r="K142" s="1580"/>
      <c r="L142" s="1589"/>
      <c r="M142" s="2054"/>
      <c r="N142" s="2055"/>
      <c r="O142" s="2056" t="s">
        <v>112</v>
      </c>
      <c r="P142" s="2057" t="s">
        <v>78</v>
      </c>
      <c r="Q142" s="2058"/>
      <c r="R142" s="2059"/>
      <c r="S142" s="2060"/>
    </row>
    <row r="143" spans="1:23" s="500" customFormat="1" ht="30" customHeight="1" x14ac:dyDescent="0.2">
      <c r="A143" s="1196"/>
      <c r="B143" s="1179"/>
      <c r="C143" s="1283"/>
      <c r="D143" s="1465"/>
      <c r="E143" s="1465"/>
      <c r="F143" s="2347" t="s">
        <v>370</v>
      </c>
      <c r="G143" s="1712"/>
      <c r="H143" s="1159">
        <v>5</v>
      </c>
      <c r="I143" s="2666"/>
      <c r="J143" s="227" t="s">
        <v>15</v>
      </c>
      <c r="K143" s="1992">
        <v>181.6</v>
      </c>
      <c r="L143" s="434"/>
      <c r="M143" s="834"/>
      <c r="N143" s="1614"/>
      <c r="O143" s="2104" t="s">
        <v>62</v>
      </c>
      <c r="P143" s="2050">
        <v>1</v>
      </c>
      <c r="Q143" s="217"/>
      <c r="R143" s="2176"/>
      <c r="S143" s="1084"/>
      <c r="T143" s="1431"/>
    </row>
    <row r="144" spans="1:23" s="500" customFormat="1" ht="17.25" customHeight="1" x14ac:dyDescent="0.2">
      <c r="A144" s="1196"/>
      <c r="B144" s="1179"/>
      <c r="C144" s="1283"/>
      <c r="D144" s="1465"/>
      <c r="E144" s="1465"/>
      <c r="F144" s="2347"/>
      <c r="G144" s="1261"/>
      <c r="H144" s="1680"/>
      <c r="I144" s="2666"/>
      <c r="J144" s="215" t="s">
        <v>18</v>
      </c>
      <c r="K144" s="1574">
        <v>128</v>
      </c>
      <c r="L144" s="1322"/>
      <c r="M144" s="1618"/>
      <c r="N144" s="1619"/>
      <c r="O144" s="2103" t="s">
        <v>129</v>
      </c>
      <c r="P144" s="1313">
        <v>100</v>
      </c>
      <c r="Q144" s="215"/>
      <c r="R144" s="2175"/>
      <c r="S144" s="1082"/>
      <c r="T144" s="1103"/>
    </row>
    <row r="145" spans="1:23" ht="34.5" customHeight="1" x14ac:dyDescent="0.2">
      <c r="A145" s="1196"/>
      <c r="B145" s="1179"/>
      <c r="C145" s="1180"/>
      <c r="D145" s="1453"/>
      <c r="E145" s="1446"/>
      <c r="F145" s="2362" t="s">
        <v>374</v>
      </c>
      <c r="G145" s="1260"/>
      <c r="H145" s="1435">
        <v>5</v>
      </c>
      <c r="I145" s="1367"/>
      <c r="J145" s="1716" t="s">
        <v>4</v>
      </c>
      <c r="K145" s="1717">
        <v>297.5</v>
      </c>
      <c r="L145" s="1621"/>
      <c r="M145" s="1622"/>
      <c r="N145" s="1421"/>
      <c r="O145" s="1758" t="s">
        <v>83</v>
      </c>
      <c r="P145" s="164">
        <v>100</v>
      </c>
      <c r="Q145" s="215"/>
      <c r="R145" s="2175"/>
      <c r="S145" s="1082"/>
    </row>
    <row r="146" spans="1:23" ht="34.5" customHeight="1" x14ac:dyDescent="0.2">
      <c r="A146" s="1196"/>
      <c r="B146" s="1179"/>
      <c r="C146" s="1277"/>
      <c r="D146" s="1453"/>
      <c r="E146" s="1453"/>
      <c r="F146" s="2602"/>
      <c r="G146" s="1260"/>
      <c r="H146" s="1168"/>
      <c r="I146" s="1367"/>
      <c r="J146" s="1430" t="s">
        <v>3</v>
      </c>
      <c r="K146" s="1432">
        <v>52.5</v>
      </c>
      <c r="L146" s="1621"/>
      <c r="M146" s="1622"/>
      <c r="N146" s="1421"/>
      <c r="O146" s="2104"/>
      <c r="P146" s="129"/>
      <c r="Q146" s="217"/>
      <c r="R146" s="2176"/>
      <c r="S146" s="1084"/>
    </row>
    <row r="147" spans="1:23" ht="15.75" customHeight="1" x14ac:dyDescent="0.2">
      <c r="A147" s="1196"/>
      <c r="B147" s="1179"/>
      <c r="C147" s="1176"/>
      <c r="D147" s="1447"/>
      <c r="E147" s="1446"/>
      <c r="F147" s="2684" t="s">
        <v>369</v>
      </c>
      <c r="G147" s="1260"/>
      <c r="H147" s="1435">
        <v>5</v>
      </c>
      <c r="I147" s="1367"/>
      <c r="J147" s="1746" t="s">
        <v>110</v>
      </c>
      <c r="K147" s="1359">
        <v>65</v>
      </c>
      <c r="L147" s="665"/>
      <c r="M147" s="594"/>
      <c r="N147" s="1620"/>
      <c r="O147" s="449" t="s">
        <v>75</v>
      </c>
      <c r="P147" s="1721">
        <v>1</v>
      </c>
      <c r="Q147" s="215"/>
      <c r="R147" s="2175"/>
      <c r="S147" s="1082"/>
    </row>
    <row r="148" spans="1:23" ht="16.5" customHeight="1" x14ac:dyDescent="0.2">
      <c r="A148" s="1196"/>
      <c r="B148" s="1179"/>
      <c r="C148" s="1176"/>
      <c r="D148" s="1447"/>
      <c r="E148" s="1453"/>
      <c r="F148" s="2685"/>
      <c r="G148" s="1260"/>
      <c r="H148" s="1436"/>
      <c r="I148" s="1367"/>
      <c r="J148" s="1747"/>
      <c r="K148" s="1389"/>
      <c r="L148" s="665"/>
      <c r="M148" s="1623"/>
      <c r="N148" s="1624"/>
      <c r="O148" s="441"/>
      <c r="P148" s="143"/>
      <c r="Q148" s="217"/>
      <c r="R148" s="2176"/>
      <c r="S148" s="1084"/>
    </row>
    <row r="149" spans="1:23" ht="21" customHeight="1" x14ac:dyDescent="0.2">
      <c r="A149" s="1196"/>
      <c r="B149" s="1179"/>
      <c r="C149" s="1266"/>
      <c r="D149" s="1464"/>
      <c r="E149" s="1461"/>
      <c r="F149" s="2317" t="s">
        <v>375</v>
      </c>
      <c r="G149" s="1261"/>
      <c r="H149" s="1181">
        <v>6</v>
      </c>
      <c r="I149" s="2160"/>
      <c r="J149" s="1110" t="s">
        <v>15</v>
      </c>
      <c r="K149" s="1433">
        <v>90</v>
      </c>
      <c r="L149" s="1814"/>
      <c r="M149" s="594"/>
      <c r="N149" s="1624"/>
      <c r="O149" s="821" t="s">
        <v>119</v>
      </c>
      <c r="P149" s="1098" t="s">
        <v>78</v>
      </c>
      <c r="Q149" s="1815"/>
      <c r="R149" s="1816"/>
      <c r="S149" s="1817"/>
      <c r="T149" s="500"/>
    </row>
    <row r="150" spans="1:23" ht="21" customHeight="1" x14ac:dyDescent="0.2">
      <c r="A150" s="1196"/>
      <c r="B150" s="1179"/>
      <c r="C150" s="1266"/>
      <c r="D150" s="1464"/>
      <c r="E150" s="1461"/>
      <c r="F150" s="2331"/>
      <c r="G150" s="1181"/>
      <c r="H150" s="2149"/>
      <c r="I150" s="1818"/>
      <c r="J150" s="1110" t="s">
        <v>18</v>
      </c>
      <c r="K150" s="1433">
        <v>50</v>
      </c>
      <c r="L150" s="1814"/>
      <c r="M150" s="366"/>
      <c r="N150" s="1620"/>
      <c r="O150" s="821"/>
      <c r="P150" s="1097"/>
      <c r="Q150" s="1815"/>
      <c r="R150" s="1816"/>
      <c r="S150" s="1817"/>
      <c r="T150" s="500"/>
    </row>
    <row r="151" spans="1:23" ht="16.5" customHeight="1" thickBot="1" x14ac:dyDescent="0.25">
      <c r="A151" s="1268"/>
      <c r="B151" s="1213"/>
      <c r="C151" s="1269"/>
      <c r="D151" s="1463"/>
      <c r="E151" s="1463"/>
      <c r="F151" s="2306"/>
      <c r="G151" s="2351" t="s">
        <v>54</v>
      </c>
      <c r="H151" s="2352"/>
      <c r="I151" s="2717"/>
      <c r="J151" s="2718"/>
      <c r="K151" s="379">
        <f>SUM(K119:K150)</f>
        <v>3098.1</v>
      </c>
      <c r="L151" s="1503">
        <f>SUM(L116:L149)</f>
        <v>5240.9000000000005</v>
      </c>
      <c r="M151" s="379">
        <f>SUM(M116:M149)</f>
        <v>5595</v>
      </c>
      <c r="N151" s="841">
        <f>SUM(N116:N149)</f>
        <v>6193.3</v>
      </c>
      <c r="O151" s="2102"/>
      <c r="P151" s="398"/>
      <c r="Q151" s="1270"/>
      <c r="R151" s="1271"/>
      <c r="S151" s="1272"/>
    </row>
    <row r="152" spans="1:23" ht="16.5" customHeight="1" x14ac:dyDescent="0.2">
      <c r="A152" s="1205" t="s">
        <v>17</v>
      </c>
      <c r="B152" s="1206" t="s">
        <v>14</v>
      </c>
      <c r="C152" s="1154" t="s">
        <v>19</v>
      </c>
      <c r="D152" s="1452"/>
      <c r="E152" s="1452"/>
      <c r="F152" s="2292" t="s">
        <v>197</v>
      </c>
      <c r="G152" s="401" t="s">
        <v>2</v>
      </c>
      <c r="H152" s="1273">
        <v>5</v>
      </c>
      <c r="I152" s="2676" t="s">
        <v>371</v>
      </c>
      <c r="J152" s="216"/>
      <c r="K152" s="1625"/>
      <c r="L152" s="1626"/>
      <c r="M152" s="1627"/>
      <c r="N152" s="1628"/>
      <c r="O152" s="1096"/>
      <c r="P152" s="1312"/>
      <c r="Q152" s="1209"/>
      <c r="R152" s="1251"/>
      <c r="S152" s="1252"/>
      <c r="T152" s="1253"/>
      <c r="U152" s="1253"/>
      <c r="V152" s="1253"/>
    </row>
    <row r="153" spans="1:23" ht="16.5" customHeight="1" x14ac:dyDescent="0.2">
      <c r="A153" s="1196"/>
      <c r="B153" s="1179"/>
      <c r="C153" s="1163"/>
      <c r="D153" s="1453"/>
      <c r="E153" s="1453"/>
      <c r="F153" s="2293"/>
      <c r="G153" s="433"/>
      <c r="H153" s="1274"/>
      <c r="I153" s="2657"/>
      <c r="J153" s="1288"/>
      <c r="K153" s="1629"/>
      <c r="L153" s="1630"/>
      <c r="M153" s="608"/>
      <c r="N153" s="1631"/>
      <c r="O153" s="2128"/>
      <c r="P153" s="1377"/>
      <c r="Q153" s="1186"/>
      <c r="R153" s="1257"/>
      <c r="S153" s="1258"/>
    </row>
    <row r="154" spans="1:23" ht="29.25" customHeight="1" x14ac:dyDescent="0.2">
      <c r="A154" s="1196"/>
      <c r="B154" s="1179"/>
      <c r="C154" s="1180"/>
      <c r="D154" s="1470" t="s">
        <v>14</v>
      </c>
      <c r="E154" s="1470"/>
      <c r="F154" s="2362" t="s">
        <v>744</v>
      </c>
      <c r="G154" s="281"/>
      <c r="H154" s="1249"/>
      <c r="I154" s="2656" t="s">
        <v>716</v>
      </c>
      <c r="J154" s="1333" t="s">
        <v>15</v>
      </c>
      <c r="K154" s="2035">
        <v>60</v>
      </c>
      <c r="L154" s="1342"/>
      <c r="M154" s="1335"/>
      <c r="N154" s="1707">
        <f>400-300</f>
        <v>100</v>
      </c>
      <c r="O154" s="2103" t="s">
        <v>56</v>
      </c>
      <c r="P154" s="371"/>
      <c r="Q154" s="215">
        <v>1</v>
      </c>
      <c r="R154" s="2175"/>
      <c r="S154" s="1082"/>
      <c r="T154" s="1431"/>
      <c r="U154" s="1431"/>
      <c r="V154" s="1431"/>
      <c r="W154" s="500"/>
    </row>
    <row r="155" spans="1:23" ht="28.5" customHeight="1" x14ac:dyDescent="0.2">
      <c r="A155" s="1196"/>
      <c r="B155" s="1179"/>
      <c r="C155" s="1180"/>
      <c r="D155" s="1471"/>
      <c r="E155" s="1471"/>
      <c r="F155" s="2602"/>
      <c r="G155" s="281"/>
      <c r="H155" s="1249"/>
      <c r="I155" s="2658"/>
      <c r="J155" s="1344" t="s">
        <v>110</v>
      </c>
      <c r="K155" s="1345"/>
      <c r="L155" s="1351">
        <v>60</v>
      </c>
      <c r="M155" s="1346"/>
      <c r="N155" s="1352"/>
      <c r="O155" s="2103" t="s">
        <v>103</v>
      </c>
      <c r="P155" s="79"/>
      <c r="Q155" s="215"/>
      <c r="R155" s="2175"/>
      <c r="S155" s="1082">
        <v>35</v>
      </c>
      <c r="T155" s="1431"/>
      <c r="U155" s="1431"/>
      <c r="V155" s="1431"/>
      <c r="W155" s="500"/>
    </row>
    <row r="156" spans="1:23" ht="30" customHeight="1" x14ac:dyDescent="0.2">
      <c r="A156" s="1196"/>
      <c r="B156" s="1179"/>
      <c r="C156" s="1163"/>
      <c r="D156" s="1470" t="s">
        <v>17</v>
      </c>
      <c r="E156" s="1470"/>
      <c r="F156" s="2297" t="s">
        <v>749</v>
      </c>
      <c r="G156" s="340"/>
      <c r="H156" s="1166"/>
      <c r="I156" s="2657" t="s">
        <v>398</v>
      </c>
      <c r="J156" s="1374" t="s">
        <v>15</v>
      </c>
      <c r="K156" s="1375">
        <v>27.5</v>
      </c>
      <c r="L156" s="1505">
        <v>206.6</v>
      </c>
      <c r="M156" s="1335">
        <v>1029.2</v>
      </c>
      <c r="N156" s="1339"/>
      <c r="O156" s="2068" t="s">
        <v>56</v>
      </c>
      <c r="P156" s="2069">
        <v>1</v>
      </c>
      <c r="Q156" s="1934">
        <v>1</v>
      </c>
      <c r="R156" s="1935"/>
      <c r="S156" s="1734"/>
      <c r="T156" s="1431"/>
      <c r="U156" s="1431"/>
      <c r="V156" s="1431"/>
    </row>
    <row r="157" spans="1:23" ht="16.5" customHeight="1" x14ac:dyDescent="0.2">
      <c r="A157" s="1196"/>
      <c r="B157" s="1179"/>
      <c r="C157" s="1163"/>
      <c r="D157" s="1453"/>
      <c r="E157" s="1453"/>
      <c r="F157" s="2354"/>
      <c r="G157" s="340"/>
      <c r="H157" s="1166"/>
      <c r="I157" s="2657"/>
      <c r="J157" s="1371" t="s">
        <v>110</v>
      </c>
      <c r="K157" s="1370">
        <v>15</v>
      </c>
      <c r="L157" s="1347">
        <v>29.5</v>
      </c>
      <c r="M157" s="1506"/>
      <c r="N157" s="1500"/>
      <c r="O157" s="1821" t="s">
        <v>130</v>
      </c>
      <c r="P157" s="1822"/>
      <c r="Q157" s="1823">
        <v>15</v>
      </c>
      <c r="R157" s="1824">
        <v>100</v>
      </c>
      <c r="S157" s="280"/>
      <c r="T157" s="1431"/>
      <c r="U157" s="1431"/>
      <c r="V157" s="1431"/>
    </row>
    <row r="158" spans="1:23" ht="16.5" customHeight="1" x14ac:dyDescent="0.2">
      <c r="A158" s="1196"/>
      <c r="B158" s="1179"/>
      <c r="C158" s="1163"/>
      <c r="D158" s="1471"/>
      <c r="E158" s="1471"/>
      <c r="F158" s="2355"/>
      <c r="G158" s="340"/>
      <c r="H158" s="1166"/>
      <c r="I158" s="2150"/>
      <c r="J158" s="1374" t="s">
        <v>113</v>
      </c>
      <c r="K158" s="1376"/>
      <c r="L158" s="1343">
        <v>90</v>
      </c>
      <c r="M158" s="1338">
        <v>789.1</v>
      </c>
      <c r="N158" s="1339"/>
      <c r="O158" s="1825"/>
      <c r="P158" s="1826"/>
      <c r="Q158" s="1827"/>
      <c r="R158" s="1828"/>
      <c r="S158" s="1275"/>
      <c r="T158" s="1431"/>
      <c r="U158" s="1431"/>
      <c r="V158" s="1431"/>
    </row>
    <row r="159" spans="1:23" ht="26.25" customHeight="1" x14ac:dyDescent="0.2">
      <c r="A159" s="1196"/>
      <c r="B159" s="1179"/>
      <c r="C159" s="1180"/>
      <c r="D159" s="1453" t="s">
        <v>19</v>
      </c>
      <c r="E159" s="1453"/>
      <c r="F159" s="528" t="s">
        <v>727</v>
      </c>
      <c r="G159" s="340"/>
      <c r="H159" s="1166"/>
      <c r="I159" s="2642" t="s">
        <v>399</v>
      </c>
      <c r="J159" s="1371" t="s">
        <v>15</v>
      </c>
      <c r="K159" s="1372">
        <v>12.9</v>
      </c>
      <c r="L159" s="1342">
        <f>31.9-7</f>
        <v>24.9</v>
      </c>
      <c r="M159" s="1341">
        <v>641.1</v>
      </c>
      <c r="N159" s="1500"/>
      <c r="O159" s="1829" t="s">
        <v>100</v>
      </c>
      <c r="P159" s="1830">
        <v>5</v>
      </c>
      <c r="Q159" s="227"/>
      <c r="R159" s="2138"/>
      <c r="S159" s="280"/>
      <c r="T159" s="1431"/>
      <c r="U159" s="1431"/>
      <c r="V159" s="1431"/>
      <c r="W159" s="208"/>
    </row>
    <row r="160" spans="1:23" ht="26.25" customHeight="1" x14ac:dyDescent="0.2">
      <c r="A160" s="1196"/>
      <c r="B160" s="1179"/>
      <c r="C160" s="1180"/>
      <c r="D160" s="1453"/>
      <c r="E160" s="1453"/>
      <c r="F160" s="2354" t="s">
        <v>734</v>
      </c>
      <c r="G160" s="340"/>
      <c r="H160" s="139"/>
      <c r="I160" s="2721"/>
      <c r="J160" s="1374" t="s">
        <v>268</v>
      </c>
      <c r="K160" s="1508"/>
      <c r="L160" s="1343"/>
      <c r="M160" s="1338"/>
      <c r="N160" s="1339">
        <v>384.1</v>
      </c>
      <c r="O160" s="1831" t="s">
        <v>56</v>
      </c>
      <c r="P160" s="1832"/>
      <c r="Q160" s="1833">
        <v>2</v>
      </c>
      <c r="R160" s="1834">
        <v>5</v>
      </c>
      <c r="S160" s="1835"/>
      <c r="T160" s="1431"/>
      <c r="U160" s="1431"/>
      <c r="V160" s="1431"/>
      <c r="W160" s="208"/>
    </row>
    <row r="161" spans="1:24" ht="26.25" customHeight="1" x14ac:dyDescent="0.2">
      <c r="A161" s="1178"/>
      <c r="B161" s="1179"/>
      <c r="C161" s="1180"/>
      <c r="D161" s="1453"/>
      <c r="E161" s="1453"/>
      <c r="F161" s="2355"/>
      <c r="G161" s="340"/>
      <c r="H161" s="139"/>
      <c r="I161" s="2184"/>
      <c r="J161" s="1371" t="s">
        <v>110</v>
      </c>
      <c r="K161" s="1373">
        <v>11.3</v>
      </c>
      <c r="L161" s="1507">
        <v>15.8</v>
      </c>
      <c r="M161" s="1341"/>
      <c r="N161" s="1500"/>
      <c r="O161" s="1836" t="s">
        <v>65</v>
      </c>
      <c r="P161" s="1837"/>
      <c r="Q161" s="1793"/>
      <c r="R161" s="1774">
        <v>10</v>
      </c>
      <c r="S161" s="1838">
        <v>30</v>
      </c>
      <c r="U161" s="302"/>
      <c r="V161" s="208"/>
      <c r="W161" s="208"/>
    </row>
    <row r="162" spans="1:24" ht="15.75" customHeight="1" x14ac:dyDescent="0.2">
      <c r="A162" s="1196"/>
      <c r="B162" s="1179"/>
      <c r="C162" s="1180"/>
      <c r="D162" s="1470" t="s">
        <v>21</v>
      </c>
      <c r="E162" s="1470"/>
      <c r="F162" s="2317" t="s">
        <v>198</v>
      </c>
      <c r="G162" s="1260"/>
      <c r="H162" s="1168"/>
      <c r="I162" s="2656" t="s">
        <v>399</v>
      </c>
      <c r="J162" s="1374" t="s">
        <v>15</v>
      </c>
      <c r="K162" s="1370">
        <v>20</v>
      </c>
      <c r="L162" s="1342">
        <v>1.4</v>
      </c>
      <c r="M162" s="1335"/>
      <c r="N162" s="1509"/>
      <c r="O162" s="2715" t="s">
        <v>62</v>
      </c>
      <c r="P162" s="1839"/>
      <c r="Q162" s="1840">
        <v>1</v>
      </c>
      <c r="R162" s="1802"/>
      <c r="S162" s="1841"/>
      <c r="T162" s="1276"/>
    </row>
    <row r="163" spans="1:24" ht="15.75" customHeight="1" x14ac:dyDescent="0.2">
      <c r="A163" s="1178"/>
      <c r="B163" s="1179"/>
      <c r="C163" s="1277"/>
      <c r="D163" s="1453"/>
      <c r="E163" s="1453"/>
      <c r="F163" s="2331"/>
      <c r="G163" s="1260"/>
      <c r="H163" s="1168"/>
      <c r="I163" s="2657"/>
      <c r="J163" s="1374" t="s">
        <v>110</v>
      </c>
      <c r="K163" s="1375"/>
      <c r="L163" s="1343">
        <v>20</v>
      </c>
      <c r="M163" s="1338"/>
      <c r="N163" s="1339"/>
      <c r="O163" s="2597"/>
      <c r="P163" s="1830"/>
      <c r="Q163" s="1842"/>
      <c r="R163" s="1767"/>
      <c r="S163" s="1843"/>
      <c r="T163" s="1276"/>
    </row>
    <row r="164" spans="1:24" ht="15.75" customHeight="1" x14ac:dyDescent="0.2">
      <c r="A164" s="1178"/>
      <c r="B164" s="1179"/>
      <c r="C164" s="1277"/>
      <c r="D164" s="1453"/>
      <c r="E164" s="1453"/>
      <c r="F164" s="124"/>
      <c r="G164" s="1278"/>
      <c r="H164" s="1279"/>
      <c r="I164" s="2658"/>
      <c r="J164" s="1371" t="s">
        <v>268</v>
      </c>
      <c r="K164" s="1512"/>
      <c r="L164" s="1507"/>
      <c r="M164" s="1510"/>
      <c r="N164" s="1511">
        <v>538.70000000000005</v>
      </c>
      <c r="O164" s="2598" t="s">
        <v>83</v>
      </c>
      <c r="P164" s="2032"/>
      <c r="Q164" s="2033"/>
      <c r="R164" s="1949"/>
      <c r="S164" s="2034">
        <v>100</v>
      </c>
    </row>
    <row r="165" spans="1:24" ht="15.75" customHeight="1" thickBot="1" x14ac:dyDescent="0.25">
      <c r="A165" s="1268"/>
      <c r="B165" s="1213"/>
      <c r="C165" s="1214"/>
      <c r="D165" s="1463"/>
      <c r="E165" s="1463"/>
      <c r="F165" s="2098"/>
      <c r="G165" s="2338" t="s">
        <v>54</v>
      </c>
      <c r="H165" s="2339"/>
      <c r="I165" s="2339"/>
      <c r="J165" s="2621"/>
      <c r="K165" s="425">
        <f>SUM(K154:K164)</f>
        <v>146.69999999999999</v>
      </c>
      <c r="L165" s="165">
        <f>SUM(L154:L164)</f>
        <v>448.2</v>
      </c>
      <c r="M165" s="425">
        <f>SUM(M154:M164)</f>
        <v>2459.4</v>
      </c>
      <c r="N165" s="429">
        <f>SUM(N154:N164)</f>
        <v>1022.8000000000001</v>
      </c>
      <c r="O165" s="2599"/>
      <c r="P165" s="398"/>
      <c r="Q165" s="492"/>
      <c r="R165" s="1130"/>
      <c r="S165" s="1282"/>
      <c r="T165" s="1253"/>
      <c r="U165" s="1253"/>
      <c r="V165" s="1253"/>
      <c r="W165" s="233"/>
      <c r="X165" s="2332"/>
    </row>
    <row r="166" spans="1:24" ht="16.5" customHeight="1" x14ac:dyDescent="0.2">
      <c r="A166" s="1205" t="s">
        <v>17</v>
      </c>
      <c r="B166" s="1206" t="s">
        <v>14</v>
      </c>
      <c r="C166" s="1207" t="s">
        <v>21</v>
      </c>
      <c r="D166" s="1452"/>
      <c r="E166" s="1452"/>
      <c r="F166" s="2346" t="s">
        <v>199</v>
      </c>
      <c r="G166" s="64" t="s">
        <v>2</v>
      </c>
      <c r="H166" s="1281">
        <v>5</v>
      </c>
      <c r="I166" s="2676" t="s">
        <v>717</v>
      </c>
      <c r="J166" s="1513"/>
      <c r="K166" s="1632"/>
      <c r="L166" s="1633"/>
      <c r="M166" s="1634"/>
      <c r="N166" s="1635"/>
      <c r="O166" s="1379"/>
      <c r="P166" s="1312"/>
      <c r="Q166" s="1209"/>
      <c r="R166" s="1251"/>
      <c r="S166" s="1252"/>
      <c r="U166" s="233"/>
      <c r="V166" s="233"/>
      <c r="W166" s="233"/>
      <c r="X166" s="2332"/>
    </row>
    <row r="167" spans="1:24" ht="16.5" customHeight="1" x14ac:dyDescent="0.2">
      <c r="A167" s="1196"/>
      <c r="B167" s="1179"/>
      <c r="C167" s="1180"/>
      <c r="D167" s="1453"/>
      <c r="E167" s="1453"/>
      <c r="F167" s="2347"/>
      <c r="G167" s="532"/>
      <c r="H167" s="1249"/>
      <c r="I167" s="2657"/>
      <c r="J167" s="1103"/>
      <c r="K167" s="1636"/>
      <c r="L167" s="1637"/>
      <c r="M167" s="1638"/>
      <c r="N167" s="1639"/>
      <c r="O167" s="1380"/>
      <c r="P167" s="1377"/>
      <c r="Q167" s="1186"/>
      <c r="R167" s="1257"/>
      <c r="S167" s="1258"/>
      <c r="U167" s="303"/>
      <c r="V167" s="2108"/>
      <c r="W167" s="2108"/>
      <c r="X167" s="2108"/>
    </row>
    <row r="168" spans="1:24" ht="15.75" customHeight="1" x14ac:dyDescent="0.2">
      <c r="A168" s="1196"/>
      <c r="B168" s="1179"/>
      <c r="C168" s="1180"/>
      <c r="D168" s="1470" t="s">
        <v>14</v>
      </c>
      <c r="E168" s="1470"/>
      <c r="F168" s="2317" t="s">
        <v>200</v>
      </c>
      <c r="G168" s="1260"/>
      <c r="H168" s="1168"/>
      <c r="I168" s="2657" t="s">
        <v>718</v>
      </c>
      <c r="J168" s="1844" t="s">
        <v>15</v>
      </c>
      <c r="K168" s="1375"/>
      <c r="L168" s="1505">
        <f>225.9-45.1</f>
        <v>180.8</v>
      </c>
      <c r="M168" s="1506">
        <v>45.1</v>
      </c>
      <c r="N168" s="1339"/>
      <c r="O168" s="1845" t="s">
        <v>64</v>
      </c>
      <c r="P168" s="1846">
        <v>1</v>
      </c>
      <c r="Q168" s="1801"/>
      <c r="R168" s="2175"/>
      <c r="S168" s="1082"/>
      <c r="T168" s="1253"/>
      <c r="U168" s="1253"/>
      <c r="V168" s="1253"/>
      <c r="W168" s="2108"/>
      <c r="X168" s="2108"/>
    </row>
    <row r="169" spans="1:24" ht="30.75" customHeight="1" x14ac:dyDescent="0.2">
      <c r="A169" s="1178"/>
      <c r="B169" s="1179"/>
      <c r="C169" s="1277"/>
      <c r="D169" s="1453"/>
      <c r="E169" s="1453"/>
      <c r="F169" s="2331"/>
      <c r="G169" s="1260"/>
      <c r="H169" s="1168"/>
      <c r="I169" s="2657"/>
      <c r="J169" s="1847" t="s">
        <v>110</v>
      </c>
      <c r="K169" s="1370">
        <v>5.6</v>
      </c>
      <c r="L169" s="1505"/>
      <c r="M169" s="1341"/>
      <c r="N169" s="1500"/>
      <c r="O169" s="1845" t="s">
        <v>101</v>
      </c>
      <c r="P169" s="1846"/>
      <c r="Q169" s="1801">
        <v>100</v>
      </c>
      <c r="R169" s="2175"/>
      <c r="S169" s="1082"/>
      <c r="T169" s="1253"/>
      <c r="U169" s="1253"/>
      <c r="V169" s="1253"/>
      <c r="W169" s="2108"/>
      <c r="X169" s="2108"/>
    </row>
    <row r="170" spans="1:24" ht="15.75" customHeight="1" x14ac:dyDescent="0.2">
      <c r="A170" s="1178"/>
      <c r="B170" s="1179"/>
      <c r="C170" s="1277"/>
      <c r="D170" s="1471"/>
      <c r="E170" s="1471"/>
      <c r="F170" s="2318"/>
      <c r="G170" s="1260"/>
      <c r="H170" s="1168"/>
      <c r="I170" s="2157"/>
      <c r="J170" s="1844" t="s">
        <v>113</v>
      </c>
      <c r="K170" s="1375">
        <v>31.6</v>
      </c>
      <c r="L170" s="1505">
        <v>426.7</v>
      </c>
      <c r="M170" s="1693">
        <v>106.3</v>
      </c>
      <c r="N170" s="1339"/>
      <c r="O170" s="1848" t="s">
        <v>128</v>
      </c>
      <c r="P170" s="1849"/>
      <c r="Q170" s="1850">
        <v>100</v>
      </c>
      <c r="R170" s="1089"/>
      <c r="S170" s="1262"/>
      <c r="T170" s="1253"/>
      <c r="U170" s="1253"/>
      <c r="V170" s="1253"/>
      <c r="W170" s="2108"/>
      <c r="X170" s="2108"/>
    </row>
    <row r="171" spans="1:24" ht="27" customHeight="1" x14ac:dyDescent="0.2">
      <c r="A171" s="1196"/>
      <c r="B171" s="1179"/>
      <c r="C171" s="1180"/>
      <c r="D171" s="1453" t="s">
        <v>17</v>
      </c>
      <c r="E171" s="1453"/>
      <c r="F171" s="2317" t="s">
        <v>201</v>
      </c>
      <c r="G171" s="1260"/>
      <c r="H171" s="1168"/>
      <c r="I171" s="2656" t="s">
        <v>398</v>
      </c>
      <c r="J171" s="1847" t="s">
        <v>15</v>
      </c>
      <c r="K171" s="1378"/>
      <c r="L171" s="1342"/>
      <c r="M171" s="1335">
        <v>589.20000000000005</v>
      </c>
      <c r="N171" s="1509"/>
      <c r="O171" s="1845" t="s">
        <v>56</v>
      </c>
      <c r="P171" s="1846">
        <v>1</v>
      </c>
      <c r="Q171" s="1801"/>
      <c r="R171" s="1802"/>
      <c r="S171" s="1851"/>
      <c r="T171" s="1253"/>
      <c r="U171" s="1253"/>
      <c r="V171" s="1253"/>
      <c r="W171" s="2108"/>
      <c r="X171" s="2108"/>
    </row>
    <row r="172" spans="1:24" ht="17.25" customHeight="1" x14ac:dyDescent="0.2">
      <c r="A172" s="1178"/>
      <c r="B172" s="1179"/>
      <c r="C172" s="1277"/>
      <c r="D172" s="1453"/>
      <c r="E172" s="1453"/>
      <c r="F172" s="2331"/>
      <c r="G172" s="1260"/>
      <c r="H172" s="1168"/>
      <c r="I172" s="2657"/>
      <c r="J172" s="1748" t="s">
        <v>110</v>
      </c>
      <c r="K172" s="1375">
        <v>30.2</v>
      </c>
      <c r="L172" s="1343">
        <v>2.8</v>
      </c>
      <c r="M172" s="1338"/>
      <c r="N172" s="1339"/>
      <c r="O172" s="2719" t="s">
        <v>103</v>
      </c>
      <c r="P172" s="1839"/>
      <c r="Q172" s="1801"/>
      <c r="R172" s="1802">
        <v>35</v>
      </c>
      <c r="S172" s="1852">
        <v>100</v>
      </c>
      <c r="T172" s="1253"/>
      <c r="U172" s="1253"/>
      <c r="V172" s="1253"/>
      <c r="W172" s="2108"/>
      <c r="X172" s="2108"/>
    </row>
    <row r="173" spans="1:24" ht="17.25" customHeight="1" x14ac:dyDescent="0.2">
      <c r="A173" s="1178"/>
      <c r="B173" s="1179"/>
      <c r="C173" s="1277"/>
      <c r="D173" s="1453"/>
      <c r="E173" s="1453"/>
      <c r="F173" s="2107"/>
      <c r="G173" s="1168"/>
      <c r="H173" s="1210"/>
      <c r="I173" s="2157"/>
      <c r="J173" s="1749" t="s">
        <v>268</v>
      </c>
      <c r="K173" s="1378"/>
      <c r="L173" s="1507"/>
      <c r="M173" s="2206">
        <v>86.5</v>
      </c>
      <c r="N173" s="1511">
        <f>1255.8-178.6</f>
        <v>1077.2</v>
      </c>
      <c r="O173" s="2720"/>
      <c r="P173" s="1853"/>
      <c r="Q173" s="1766"/>
      <c r="R173" s="1854"/>
      <c r="S173" s="1855"/>
      <c r="T173" s="1253"/>
      <c r="U173" s="1253"/>
      <c r="V173" s="1253"/>
      <c r="W173" s="2108"/>
      <c r="X173" s="2108"/>
    </row>
    <row r="174" spans="1:24" ht="17.25" customHeight="1" thickBot="1" x14ac:dyDescent="0.25">
      <c r="A174" s="1216"/>
      <c r="B174" s="1213"/>
      <c r="C174" s="1214"/>
      <c r="D174" s="1463"/>
      <c r="E174" s="1463"/>
      <c r="F174" s="2098"/>
      <c r="G174" s="2338" t="s">
        <v>54</v>
      </c>
      <c r="H174" s="2339"/>
      <c r="I174" s="2339"/>
      <c r="J174" s="2621"/>
      <c r="K174" s="425">
        <f>SUM(K168:K172)</f>
        <v>67.400000000000006</v>
      </c>
      <c r="L174" s="165">
        <f>SUM(L168:L172)</f>
        <v>610.29999999999995</v>
      </c>
      <c r="M174" s="425">
        <f>SUM(M168:M173)</f>
        <v>827.1</v>
      </c>
      <c r="N174" s="425">
        <f>SUM(N168:N173)</f>
        <v>1077.2</v>
      </c>
      <c r="O174" s="2599"/>
      <c r="P174" s="398"/>
      <c r="Q174" s="492"/>
      <c r="R174" s="1130"/>
      <c r="S174" s="178"/>
      <c r="T174" s="1253"/>
      <c r="U174" s="1253"/>
      <c r="V174" s="1253"/>
      <c r="W174" s="233"/>
      <c r="X174" s="2332"/>
    </row>
    <row r="175" spans="1:24" ht="29.25" customHeight="1" x14ac:dyDescent="0.2">
      <c r="A175" s="1205" t="s">
        <v>17</v>
      </c>
      <c r="B175" s="1206" t="s">
        <v>14</v>
      </c>
      <c r="C175" s="1207" t="s">
        <v>22</v>
      </c>
      <c r="D175" s="1452"/>
      <c r="E175" s="1452"/>
      <c r="F175" s="2109" t="s">
        <v>104</v>
      </c>
      <c r="G175" s="319"/>
      <c r="H175" s="319"/>
      <c r="I175" s="1314"/>
      <c r="J175" s="33"/>
      <c r="K175" s="1636"/>
      <c r="L175" s="1633"/>
      <c r="M175" s="1634"/>
      <c r="N175" s="1635"/>
      <c r="O175" s="2156"/>
      <c r="P175" s="1312"/>
      <c r="Q175" s="1209"/>
      <c r="R175" s="1251"/>
      <c r="S175" s="1252"/>
      <c r="U175" s="233"/>
      <c r="V175" s="233"/>
      <c r="W175" s="233"/>
      <c r="X175" s="2332"/>
    </row>
    <row r="176" spans="1:24" ht="21" customHeight="1" x14ac:dyDescent="0.2">
      <c r="A176" s="1196"/>
      <c r="B176" s="1179"/>
      <c r="C176" s="1176"/>
      <c r="D176" s="1469" t="s">
        <v>14</v>
      </c>
      <c r="E176" s="1470"/>
      <c r="F176" s="2317" t="s">
        <v>359</v>
      </c>
      <c r="G176" s="402"/>
      <c r="H176" s="1681">
        <v>2</v>
      </c>
      <c r="I176" s="2733" t="s">
        <v>351</v>
      </c>
      <c r="J176" s="1381" t="s">
        <v>15</v>
      </c>
      <c r="K176" s="1738">
        <v>48.2</v>
      </c>
      <c r="L176" s="1740">
        <v>104</v>
      </c>
      <c r="M176" s="737">
        <v>110</v>
      </c>
      <c r="N176" s="132">
        <v>146.6</v>
      </c>
      <c r="O176" s="2103" t="s">
        <v>131</v>
      </c>
      <c r="P176" s="872">
        <v>3</v>
      </c>
      <c r="Q176" s="71">
        <v>7</v>
      </c>
      <c r="R176" s="1499">
        <v>12</v>
      </c>
      <c r="S176" s="43">
        <v>12</v>
      </c>
    </row>
    <row r="177" spans="1:24" ht="21" customHeight="1" x14ac:dyDescent="0.2">
      <c r="A177" s="1196"/>
      <c r="B177" s="1179"/>
      <c r="C177" s="1176"/>
      <c r="D177" s="1468"/>
      <c r="E177" s="1471"/>
      <c r="F177" s="2318"/>
      <c r="G177" s="402"/>
      <c r="H177" s="1181"/>
      <c r="I177" s="2666"/>
      <c r="J177" s="217"/>
      <c r="K177" s="1225"/>
      <c r="L177" s="1318"/>
      <c r="M177" s="1640"/>
      <c r="N177" s="1641"/>
      <c r="O177" s="135"/>
      <c r="P177" s="129"/>
      <c r="Q177" s="217"/>
      <c r="R177" s="2176"/>
      <c r="S177" s="1084"/>
    </row>
    <row r="178" spans="1:24" ht="30" customHeight="1" x14ac:dyDescent="0.2">
      <c r="A178" s="1178"/>
      <c r="B178" s="1179"/>
      <c r="C178" s="1283"/>
      <c r="D178" s="1478" t="s">
        <v>17</v>
      </c>
      <c r="E178" s="1478"/>
      <c r="F178" s="2105" t="s">
        <v>148</v>
      </c>
      <c r="G178" s="438"/>
      <c r="H178" s="1181"/>
      <c r="I178" s="2666"/>
      <c r="J178" s="2141" t="s">
        <v>15</v>
      </c>
      <c r="K178" s="1081">
        <v>174.5</v>
      </c>
      <c r="L178" s="955">
        <v>183.5</v>
      </c>
      <c r="M178" s="2118">
        <v>183.5</v>
      </c>
      <c r="N178" s="99">
        <v>183.5</v>
      </c>
      <c r="O178" s="2156" t="s">
        <v>131</v>
      </c>
      <c r="P178" s="590">
        <v>21</v>
      </c>
      <c r="Q178" s="21">
        <v>22</v>
      </c>
      <c r="R178" s="590">
        <v>22</v>
      </c>
      <c r="S178" s="82">
        <v>22</v>
      </c>
    </row>
    <row r="179" spans="1:24" s="38" customFormat="1" ht="18.75" customHeight="1" x14ac:dyDescent="0.2">
      <c r="A179" s="2143"/>
      <c r="B179" s="2094"/>
      <c r="C179" s="207"/>
      <c r="D179" s="1466" t="s">
        <v>19</v>
      </c>
      <c r="E179" s="1466"/>
      <c r="F179" s="2317" t="s">
        <v>736</v>
      </c>
      <c r="G179" s="438"/>
      <c r="H179" s="2165"/>
      <c r="I179" s="20"/>
      <c r="J179" s="2728" t="s">
        <v>15</v>
      </c>
      <c r="K179" s="2680"/>
      <c r="L179" s="2682">
        <f>76.1-36.1</f>
        <v>39.999999999999993</v>
      </c>
      <c r="M179" s="2650"/>
      <c r="N179" s="2667"/>
      <c r="O179" s="384" t="s">
        <v>357</v>
      </c>
      <c r="P179" s="228"/>
      <c r="Q179" s="70">
        <v>685</v>
      </c>
      <c r="R179" s="140"/>
      <c r="S179" s="41"/>
    </row>
    <row r="180" spans="1:24" s="38" customFormat="1" ht="20.25" customHeight="1" x14ac:dyDescent="0.2">
      <c r="A180" s="2143"/>
      <c r="B180" s="2094"/>
      <c r="C180" s="207"/>
      <c r="D180" s="1466"/>
      <c r="E180" s="1466"/>
      <c r="F180" s="2318"/>
      <c r="G180" s="438"/>
      <c r="H180" s="2165"/>
      <c r="I180" s="20"/>
      <c r="J180" s="2729"/>
      <c r="K180" s="2681"/>
      <c r="L180" s="2683"/>
      <c r="M180" s="2651"/>
      <c r="N180" s="2668"/>
      <c r="O180" s="384" t="s">
        <v>160</v>
      </c>
      <c r="P180" s="228"/>
      <c r="Q180" s="70">
        <v>20</v>
      </c>
      <c r="R180" s="140"/>
      <c r="S180" s="41"/>
    </row>
    <row r="181" spans="1:24" s="38" customFormat="1" ht="28.5" customHeight="1" thickBot="1" x14ac:dyDescent="0.25">
      <c r="A181" s="2139"/>
      <c r="B181" s="2094"/>
      <c r="C181" s="2119"/>
      <c r="D181" s="1479" t="s">
        <v>21</v>
      </c>
      <c r="E181" s="1479"/>
      <c r="F181" s="199" t="s">
        <v>728</v>
      </c>
      <c r="G181" s="1181"/>
      <c r="H181" s="1181"/>
      <c r="I181" s="2160"/>
      <c r="J181" s="2141" t="s">
        <v>15</v>
      </c>
      <c r="K181" s="94"/>
      <c r="L181" s="955">
        <v>4.8</v>
      </c>
      <c r="M181" s="2118"/>
      <c r="N181" s="99"/>
      <c r="O181" s="127" t="s">
        <v>358</v>
      </c>
      <c r="P181" s="590"/>
      <c r="Q181" s="21">
        <v>3</v>
      </c>
      <c r="R181" s="590"/>
      <c r="S181" s="592"/>
      <c r="U181" s="233"/>
      <c r="V181" s="233"/>
      <c r="W181" s="233"/>
      <c r="X181" s="2108"/>
    </row>
    <row r="182" spans="1:24" ht="68.25" customHeight="1" x14ac:dyDescent="0.2">
      <c r="A182" s="1196"/>
      <c r="B182" s="1179"/>
      <c r="C182" s="1180"/>
      <c r="D182" s="1452"/>
      <c r="E182" s="1452"/>
      <c r="F182" s="2097" t="s">
        <v>245</v>
      </c>
      <c r="G182" s="64"/>
      <c r="H182" s="1494">
        <v>6</v>
      </c>
      <c r="I182" s="1495"/>
      <c r="J182" s="634" t="s">
        <v>15</v>
      </c>
      <c r="K182" s="1586">
        <f>299.3-3.7</f>
        <v>295.60000000000002</v>
      </c>
      <c r="L182" s="1612"/>
      <c r="M182" s="1613"/>
      <c r="N182" s="1642"/>
      <c r="O182" s="336" t="s">
        <v>246</v>
      </c>
      <c r="P182" s="1496">
        <v>2023</v>
      </c>
      <c r="Q182" s="634"/>
      <c r="R182" s="1251"/>
      <c r="S182" s="1252"/>
      <c r="U182" s="233"/>
      <c r="V182" s="233"/>
      <c r="W182" s="233"/>
      <c r="X182" s="2108"/>
    </row>
    <row r="183" spans="1:24" ht="26.25" customHeight="1" x14ac:dyDescent="0.2">
      <c r="A183" s="1196"/>
      <c r="B183" s="1179"/>
      <c r="C183" s="1180"/>
      <c r="D183" s="1453"/>
      <c r="E183" s="1453"/>
      <c r="F183" s="2317" t="s">
        <v>202</v>
      </c>
      <c r="G183" s="1490"/>
      <c r="H183" s="1497">
        <v>2</v>
      </c>
      <c r="I183" s="1498"/>
      <c r="J183" s="184" t="s">
        <v>15</v>
      </c>
      <c r="K183" s="1230">
        <v>20</v>
      </c>
      <c r="L183" s="1322"/>
      <c r="M183" s="1618"/>
      <c r="N183" s="1619"/>
      <c r="O183" s="128" t="s">
        <v>105</v>
      </c>
      <c r="P183" s="1493">
        <v>3</v>
      </c>
      <c r="Q183" s="1289"/>
      <c r="R183" s="1491"/>
      <c r="S183" s="1492"/>
      <c r="U183" s="233"/>
      <c r="V183" s="233"/>
      <c r="W183" s="233"/>
      <c r="X183" s="2108"/>
    </row>
    <row r="184" spans="1:24" ht="17.25" customHeight="1" thickBot="1" x14ac:dyDescent="0.25">
      <c r="A184" s="1178"/>
      <c r="B184" s="1179"/>
      <c r="C184" s="1277"/>
      <c r="D184" s="1463"/>
      <c r="E184" s="1463"/>
      <c r="F184" s="2306"/>
      <c r="G184" s="2339" t="s">
        <v>54</v>
      </c>
      <c r="H184" s="2339"/>
      <c r="I184" s="2339"/>
      <c r="J184" s="2621"/>
      <c r="K184" s="425">
        <f>SUM(K176:K183)</f>
        <v>538.29999999999995</v>
      </c>
      <c r="L184" s="165">
        <f>SUM(L176:L183)</f>
        <v>332.3</v>
      </c>
      <c r="M184" s="425">
        <f>SUM(M176:M183)</f>
        <v>293.5</v>
      </c>
      <c r="N184" s="429">
        <f>SUM(N176:N183)</f>
        <v>330.1</v>
      </c>
      <c r="O184" s="2102"/>
      <c r="P184" s="398"/>
      <c r="Q184" s="492"/>
      <c r="R184" s="1130"/>
      <c r="S184" s="1282"/>
    </row>
    <row r="185" spans="1:24" ht="15.75" customHeight="1" thickBot="1" x14ac:dyDescent="0.25">
      <c r="A185" s="1284" t="s">
        <v>17</v>
      </c>
      <c r="B185" s="1285" t="s">
        <v>14</v>
      </c>
      <c r="C185" s="2590" t="s">
        <v>20</v>
      </c>
      <c r="D185" s="2591"/>
      <c r="E185" s="2591"/>
      <c r="F185" s="2591"/>
      <c r="G185" s="2591"/>
      <c r="H185" s="2591"/>
      <c r="I185" s="2591"/>
      <c r="J185" s="2592"/>
      <c r="K185" s="1605">
        <f>K174+K165+K151+K184+K115</f>
        <v>3850.5</v>
      </c>
      <c r="L185" s="1606">
        <f>L174+L165+L151+L184+L115</f>
        <v>6850.3000000000011</v>
      </c>
      <c r="M185" s="1605">
        <f>M174+M165+M151+M184+M115</f>
        <v>9240.2000000000007</v>
      </c>
      <c r="N185" s="1662">
        <f>N174+N165+N151+N184+N115</f>
        <v>8709.5</v>
      </c>
      <c r="O185" s="1241"/>
      <c r="P185" s="1242"/>
      <c r="Q185" s="1242"/>
      <c r="R185" s="1242"/>
      <c r="S185" s="1243"/>
    </row>
    <row r="186" spans="1:24" ht="17.25" customHeight="1" thickBot="1" x14ac:dyDescent="0.25">
      <c r="A186" s="1178" t="s">
        <v>17</v>
      </c>
      <c r="B186" s="1240" t="s">
        <v>17</v>
      </c>
      <c r="C186" s="2622" t="s">
        <v>73</v>
      </c>
      <c r="D186" s="2323"/>
      <c r="E186" s="2323"/>
      <c r="F186" s="2323"/>
      <c r="G186" s="2323"/>
      <c r="H186" s="2323"/>
      <c r="I186" s="2323"/>
      <c r="J186" s="2323"/>
      <c r="K186" s="2323"/>
      <c r="L186" s="2323"/>
      <c r="M186" s="2323"/>
      <c r="N186" s="2323"/>
      <c r="O186" s="2323"/>
      <c r="P186" s="2323"/>
      <c r="Q186" s="2323"/>
      <c r="R186" s="2323"/>
      <c r="S186" s="2324"/>
    </row>
    <row r="187" spans="1:24" ht="15.75" customHeight="1" x14ac:dyDescent="0.2">
      <c r="A187" s="1286" t="s">
        <v>17</v>
      </c>
      <c r="B187" s="1287" t="s">
        <v>17</v>
      </c>
      <c r="C187" s="1248" t="s">
        <v>14</v>
      </c>
      <c r="D187" s="1452"/>
      <c r="E187" s="1452"/>
      <c r="F187" s="2305" t="s">
        <v>204</v>
      </c>
      <c r="G187" s="2099"/>
      <c r="H187" s="1218">
        <v>2</v>
      </c>
      <c r="I187" s="2648" t="s">
        <v>351</v>
      </c>
      <c r="J187" s="1289" t="s">
        <v>15</v>
      </c>
      <c r="K187" s="1088">
        <v>44.1</v>
      </c>
      <c r="L187" s="1086">
        <v>44</v>
      </c>
      <c r="M187" s="394">
        <v>17.2</v>
      </c>
      <c r="N187" s="1087"/>
      <c r="O187" s="336" t="s">
        <v>131</v>
      </c>
      <c r="P187" s="635">
        <v>8</v>
      </c>
      <c r="Q187" s="1687">
        <v>8</v>
      </c>
      <c r="R187" s="1415">
        <v>4</v>
      </c>
      <c r="S187" s="1290"/>
    </row>
    <row r="188" spans="1:24" ht="17.25" customHeight="1" thickBot="1" x14ac:dyDescent="0.25">
      <c r="A188" s="1291"/>
      <c r="B188" s="1199"/>
      <c r="C188" s="1214"/>
      <c r="D188" s="1449"/>
      <c r="E188" s="1449"/>
      <c r="F188" s="2306"/>
      <c r="G188" s="2100"/>
      <c r="H188" s="1215"/>
      <c r="I188" s="2669"/>
      <c r="J188" s="36" t="s">
        <v>16</v>
      </c>
      <c r="K188" s="425">
        <f t="shared" ref="K188:M188" si="10">K187</f>
        <v>44.1</v>
      </c>
      <c r="L188" s="165">
        <f t="shared" si="10"/>
        <v>44</v>
      </c>
      <c r="M188" s="249">
        <f t="shared" si="10"/>
        <v>17.2</v>
      </c>
      <c r="N188" s="429"/>
      <c r="O188" s="457" t="s">
        <v>208</v>
      </c>
      <c r="P188" s="169">
        <v>590</v>
      </c>
      <c r="Q188" s="1688">
        <v>586</v>
      </c>
      <c r="R188" s="1416">
        <v>235</v>
      </c>
      <c r="S188" s="1280"/>
    </row>
    <row r="189" spans="1:24" ht="16.5" customHeight="1" x14ac:dyDescent="0.2">
      <c r="A189" s="1205" t="s">
        <v>17</v>
      </c>
      <c r="B189" s="1206" t="s">
        <v>17</v>
      </c>
      <c r="C189" s="1481" t="s">
        <v>17</v>
      </c>
      <c r="D189" s="1456"/>
      <c r="E189" s="1452"/>
      <c r="F189" s="192" t="s">
        <v>91</v>
      </c>
      <c r="G189" s="1691"/>
      <c r="H189" s="1218">
        <v>2</v>
      </c>
      <c r="I189" s="2732" t="s">
        <v>351</v>
      </c>
      <c r="J189" s="1209"/>
      <c r="K189" s="1644"/>
      <c r="L189" s="1645"/>
      <c r="M189" s="349"/>
      <c r="N189" s="1646"/>
      <c r="O189" s="2101"/>
      <c r="P189" s="1312"/>
      <c r="Q189" s="1209"/>
      <c r="R189" s="1251"/>
      <c r="S189" s="1252"/>
    </row>
    <row r="190" spans="1:24" s="38" customFormat="1" ht="18" customHeight="1" x14ac:dyDescent="0.2">
      <c r="A190" s="2139"/>
      <c r="B190" s="2094"/>
      <c r="C190" s="9"/>
      <c r="D190" s="1694" t="s">
        <v>14</v>
      </c>
      <c r="E190" s="1480"/>
      <c r="F190" s="2317" t="s">
        <v>97</v>
      </c>
      <c r="G190" s="1692"/>
      <c r="H190" s="2165"/>
      <c r="I190" s="2673"/>
      <c r="J190" s="215" t="s">
        <v>15</v>
      </c>
      <c r="K190" s="1738">
        <f>50.2+1.7</f>
        <v>51.900000000000006</v>
      </c>
      <c r="L190" s="1322">
        <v>72.2</v>
      </c>
      <c r="M190" s="1323">
        <v>22.5</v>
      </c>
      <c r="N190" s="1324"/>
      <c r="O190" s="1325" t="s">
        <v>131</v>
      </c>
      <c r="P190" s="140">
        <v>20</v>
      </c>
      <c r="Q190" s="70">
        <v>31</v>
      </c>
      <c r="R190" s="140">
        <v>6</v>
      </c>
      <c r="S190" s="41"/>
      <c r="T190" s="80"/>
    </row>
    <row r="191" spans="1:24" s="38" customFormat="1" ht="14.25" customHeight="1" x14ac:dyDescent="0.2">
      <c r="A191" s="2139"/>
      <c r="B191" s="2094"/>
      <c r="C191" s="9"/>
      <c r="D191" s="1455"/>
      <c r="E191" s="1467"/>
      <c r="F191" s="2331"/>
      <c r="G191" s="1692"/>
      <c r="H191" s="2165"/>
      <c r="I191" s="20"/>
      <c r="J191" s="2174"/>
      <c r="K191" s="1081"/>
      <c r="L191" s="2177"/>
      <c r="M191" s="261"/>
      <c r="N191" s="175"/>
      <c r="O191" s="1325" t="s">
        <v>70</v>
      </c>
      <c r="P191" s="138">
        <v>20</v>
      </c>
      <c r="Q191" s="21">
        <v>39</v>
      </c>
      <c r="R191" s="590">
        <v>9</v>
      </c>
      <c r="S191" s="2151"/>
      <c r="T191" s="80"/>
    </row>
    <row r="192" spans="1:24" s="38" customFormat="1" ht="30.75" customHeight="1" x14ac:dyDescent="0.2">
      <c r="A192" s="2139"/>
      <c r="B192" s="2094"/>
      <c r="C192" s="9"/>
      <c r="D192" s="1694" t="s">
        <v>17</v>
      </c>
      <c r="E192" s="1694"/>
      <c r="F192" s="2362" t="s">
        <v>730</v>
      </c>
      <c r="G192" s="1692"/>
      <c r="H192" s="2165"/>
      <c r="I192" s="20"/>
      <c r="J192" s="2728"/>
      <c r="K192" s="1695"/>
      <c r="L192" s="1696"/>
      <c r="M192" s="2723"/>
      <c r="N192" s="2725"/>
      <c r="O192" s="1316" t="s">
        <v>362</v>
      </c>
      <c r="P192" s="140">
        <v>55</v>
      </c>
      <c r="Q192" s="70">
        <v>55</v>
      </c>
      <c r="R192" s="140">
        <v>50</v>
      </c>
      <c r="S192" s="83"/>
    </row>
    <row r="193" spans="1:20" s="38" customFormat="1" ht="30" customHeight="1" x14ac:dyDescent="0.2">
      <c r="A193" s="2139"/>
      <c r="B193" s="2094"/>
      <c r="C193" s="9"/>
      <c r="D193" s="1457"/>
      <c r="E193" s="1467"/>
      <c r="F193" s="2727"/>
      <c r="G193" s="1692"/>
      <c r="H193" s="2165"/>
      <c r="I193" s="20"/>
      <c r="J193" s="2729"/>
      <c r="K193" s="1697"/>
      <c r="L193" s="2169"/>
      <c r="M193" s="2724"/>
      <c r="N193" s="2726"/>
      <c r="O193" s="1316" t="s">
        <v>158</v>
      </c>
      <c r="P193" s="591">
        <v>100</v>
      </c>
      <c r="Q193" s="35"/>
      <c r="R193" s="591"/>
      <c r="S193" s="83"/>
    </row>
    <row r="194" spans="1:20" s="38" customFormat="1" ht="15" customHeight="1" x14ac:dyDescent="0.2">
      <c r="A194" s="2139"/>
      <c r="B194" s="2094"/>
      <c r="C194" s="9"/>
      <c r="D194" s="1457"/>
      <c r="E194" s="1455"/>
      <c r="F194" s="2317" t="s">
        <v>365</v>
      </c>
      <c r="G194" s="1692"/>
      <c r="H194" s="2670">
        <v>2</v>
      </c>
      <c r="I194" s="2672" t="s">
        <v>351</v>
      </c>
      <c r="J194" s="471" t="s">
        <v>15</v>
      </c>
      <c r="K194" s="1433">
        <v>75</v>
      </c>
      <c r="L194" s="365"/>
      <c r="M194" s="1737"/>
      <c r="N194" s="286"/>
      <c r="O194" s="384" t="s">
        <v>142</v>
      </c>
      <c r="P194" s="41">
        <v>13</v>
      </c>
      <c r="Q194" s="70"/>
      <c r="R194" s="140"/>
      <c r="S194" s="83"/>
    </row>
    <row r="195" spans="1:20" s="38" customFormat="1" ht="15" customHeight="1" x14ac:dyDescent="0.2">
      <c r="A195" s="2139"/>
      <c r="B195" s="2094"/>
      <c r="C195" s="9"/>
      <c r="D195" s="1457"/>
      <c r="E195" s="1455"/>
      <c r="F195" s="2331"/>
      <c r="G195" s="1692"/>
      <c r="H195" s="2671"/>
      <c r="I195" s="2673"/>
      <c r="J195" s="2174" t="s">
        <v>15</v>
      </c>
      <c r="K195" s="1745"/>
      <c r="L195" s="2168">
        <v>5</v>
      </c>
      <c r="M195" s="2154">
        <v>50</v>
      </c>
      <c r="N195" s="115"/>
      <c r="O195" s="128" t="s">
        <v>142</v>
      </c>
      <c r="P195" s="138"/>
      <c r="Q195" s="71">
        <v>11</v>
      </c>
      <c r="R195" s="138">
        <v>10</v>
      </c>
      <c r="S195" s="43"/>
    </row>
    <row r="196" spans="1:20" s="38" customFormat="1" ht="15" customHeight="1" x14ac:dyDescent="0.2">
      <c r="A196" s="2139"/>
      <c r="B196" s="2094"/>
      <c r="C196" s="9"/>
      <c r="D196" s="1457"/>
      <c r="E196" s="1455"/>
      <c r="F196" s="199" t="s">
        <v>363</v>
      </c>
      <c r="G196" s="1692"/>
      <c r="H196" s="2164">
        <v>1</v>
      </c>
      <c r="I196" s="2672" t="s">
        <v>354</v>
      </c>
      <c r="J196" s="501" t="s">
        <v>15</v>
      </c>
      <c r="K196" s="1745"/>
      <c r="L196" s="365">
        <v>158</v>
      </c>
      <c r="M196" s="1737">
        <f>252.8-80</f>
        <v>172.8</v>
      </c>
      <c r="N196" s="286">
        <f>185.5-30</f>
        <v>155.5</v>
      </c>
      <c r="O196" s="384" t="s">
        <v>131</v>
      </c>
      <c r="P196" s="140"/>
      <c r="Q196" s="70">
        <v>10</v>
      </c>
      <c r="R196" s="1392">
        <v>11</v>
      </c>
      <c r="S196" s="41">
        <v>12</v>
      </c>
    </row>
    <row r="197" spans="1:20" s="38" customFormat="1" ht="15.75" customHeight="1" x14ac:dyDescent="0.2">
      <c r="A197" s="2139"/>
      <c r="B197" s="2094"/>
      <c r="C197" s="9"/>
      <c r="D197" s="1457"/>
      <c r="E197" s="1467"/>
      <c r="F197" s="2317" t="s">
        <v>364</v>
      </c>
      <c r="G197" s="1692"/>
      <c r="H197" s="2165"/>
      <c r="I197" s="2673"/>
      <c r="J197" s="2185" t="s">
        <v>15</v>
      </c>
      <c r="K197" s="1120"/>
      <c r="L197" s="2168"/>
      <c r="M197" s="2154"/>
      <c r="N197" s="115">
        <v>104</v>
      </c>
      <c r="O197" s="127" t="s">
        <v>131</v>
      </c>
      <c r="P197" s="590"/>
      <c r="Q197" s="21"/>
      <c r="R197" s="590"/>
      <c r="S197" s="2151">
        <v>52</v>
      </c>
    </row>
    <row r="198" spans="1:20" s="38" customFormat="1" ht="15.75" customHeight="1" thickBot="1" x14ac:dyDescent="0.25">
      <c r="A198" s="2139"/>
      <c r="B198" s="2094"/>
      <c r="C198" s="9"/>
      <c r="D198" s="1457"/>
      <c r="E198" s="1467"/>
      <c r="F198" s="2306"/>
      <c r="G198" s="1692"/>
      <c r="H198" s="2165"/>
      <c r="I198" s="2730"/>
      <c r="J198" s="36" t="s">
        <v>16</v>
      </c>
      <c r="K198" s="284">
        <f>SUM(K190:K197)</f>
        <v>126.9</v>
      </c>
      <c r="L198" s="103">
        <f>SUM(L190:L197)</f>
        <v>235.2</v>
      </c>
      <c r="M198" s="284">
        <f>SUM(M190:M197)</f>
        <v>245.3</v>
      </c>
      <c r="N198" s="308">
        <f>SUM(N190:N197)</f>
        <v>259.5</v>
      </c>
      <c r="O198" s="127"/>
      <c r="P198" s="590"/>
      <c r="Q198" s="21"/>
      <c r="R198" s="590"/>
      <c r="S198" s="156"/>
    </row>
    <row r="199" spans="1:20" s="38" customFormat="1" ht="27" customHeight="1" x14ac:dyDescent="0.2">
      <c r="A199" s="2139"/>
      <c r="B199" s="2094"/>
      <c r="C199" s="9"/>
      <c r="D199" s="1457"/>
      <c r="E199" s="1455"/>
      <c r="F199" s="1700" t="s">
        <v>361</v>
      </c>
      <c r="G199" s="1135"/>
      <c r="H199" s="2116">
        <v>2</v>
      </c>
      <c r="I199" s="2188" t="s">
        <v>351</v>
      </c>
      <c r="J199" s="634" t="s">
        <v>15</v>
      </c>
      <c r="K199" s="1699">
        <v>11.899999999999999</v>
      </c>
      <c r="L199" s="348"/>
      <c r="M199" s="250"/>
      <c r="N199" s="100"/>
      <c r="O199" s="244" t="s">
        <v>210</v>
      </c>
      <c r="P199" s="290">
        <v>5</v>
      </c>
      <c r="Q199" s="214"/>
      <c r="R199" s="409"/>
      <c r="S199" s="586"/>
    </row>
    <row r="200" spans="1:20" s="38" customFormat="1" ht="15.75" customHeight="1" x14ac:dyDescent="0.2">
      <c r="A200" s="2139"/>
      <c r="B200" s="2094"/>
      <c r="C200" s="9"/>
      <c r="D200" s="1457"/>
      <c r="E200" s="1455"/>
      <c r="F200" s="2317" t="s">
        <v>205</v>
      </c>
      <c r="G200" s="402"/>
      <c r="H200" s="2165"/>
      <c r="I200" s="1327"/>
      <c r="J200" s="71" t="s">
        <v>15</v>
      </c>
      <c r="K200" s="1738">
        <v>26.7</v>
      </c>
      <c r="L200" s="2682"/>
      <c r="M200" s="2154"/>
      <c r="N200" s="115"/>
      <c r="O200" s="1325" t="s">
        <v>160</v>
      </c>
      <c r="P200" s="138">
        <v>362</v>
      </c>
      <c r="Q200" s="71"/>
      <c r="R200" s="138"/>
      <c r="S200" s="43"/>
    </row>
    <row r="201" spans="1:20" s="38" customFormat="1" ht="14.25" customHeight="1" x14ac:dyDescent="0.2">
      <c r="A201" s="2139"/>
      <c r="B201" s="2094"/>
      <c r="C201" s="69"/>
      <c r="D201" s="1458"/>
      <c r="E201" s="1455"/>
      <c r="F201" s="2318"/>
      <c r="G201" s="402"/>
      <c r="H201" s="2165"/>
      <c r="I201" s="20"/>
      <c r="J201" s="35"/>
      <c r="K201" s="1079"/>
      <c r="L201" s="2683"/>
      <c r="M201" s="2155"/>
      <c r="N201" s="122"/>
      <c r="O201" s="1326"/>
      <c r="P201" s="591"/>
      <c r="Q201" s="35"/>
      <c r="R201" s="591"/>
      <c r="S201" s="40"/>
    </row>
    <row r="202" spans="1:20" s="38" customFormat="1" ht="26.25" customHeight="1" x14ac:dyDescent="0.2">
      <c r="A202" s="2139"/>
      <c r="B202" s="2094"/>
      <c r="C202" s="69"/>
      <c r="D202" s="1458"/>
      <c r="E202" s="1455"/>
      <c r="F202" s="2107" t="s">
        <v>206</v>
      </c>
      <c r="G202" s="402"/>
      <c r="H202" s="2165"/>
      <c r="I202" s="20"/>
      <c r="J202" s="21" t="s">
        <v>15</v>
      </c>
      <c r="K202" s="1081">
        <v>2.6</v>
      </c>
      <c r="L202" s="2142"/>
      <c r="M202" s="2118"/>
      <c r="N202" s="99"/>
      <c r="O202" s="1321" t="s">
        <v>155</v>
      </c>
      <c r="P202" s="590">
        <v>25</v>
      </c>
      <c r="Q202" s="21"/>
      <c r="R202" s="590"/>
      <c r="S202" s="82"/>
      <c r="T202" s="80"/>
    </row>
    <row r="203" spans="1:20" s="38" customFormat="1" ht="21" customHeight="1" x14ac:dyDescent="0.2">
      <c r="A203" s="2139"/>
      <c r="B203" s="2094"/>
      <c r="C203" s="9"/>
      <c r="D203" s="1457"/>
      <c r="E203" s="1455"/>
      <c r="F203" s="2317" t="s">
        <v>169</v>
      </c>
      <c r="G203" s="402"/>
      <c r="H203" s="2165"/>
      <c r="I203" s="20"/>
      <c r="J203" s="215" t="s">
        <v>15</v>
      </c>
      <c r="K203" s="1738">
        <v>9.1</v>
      </c>
      <c r="L203" s="2168"/>
      <c r="M203" s="2154"/>
      <c r="N203" s="115"/>
      <c r="O203" s="384" t="s">
        <v>159</v>
      </c>
      <c r="P203" s="41">
        <v>19</v>
      </c>
      <c r="Q203" s="71"/>
      <c r="R203" s="138"/>
      <c r="S203" s="83"/>
    </row>
    <row r="204" spans="1:20" s="38" customFormat="1" ht="18.75" customHeight="1" x14ac:dyDescent="0.2">
      <c r="A204" s="2139"/>
      <c r="B204" s="2094"/>
      <c r="C204" s="9"/>
      <c r="D204" s="1457"/>
      <c r="E204" s="1455"/>
      <c r="F204" s="2318"/>
      <c r="G204" s="402"/>
      <c r="H204" s="2165"/>
      <c r="I204" s="20"/>
      <c r="J204" s="217"/>
      <c r="K204" s="1079"/>
      <c r="L204" s="2169"/>
      <c r="M204" s="2155"/>
      <c r="N204" s="122"/>
      <c r="O204" s="135" t="s">
        <v>142</v>
      </c>
      <c r="P204" s="2152">
        <v>8</v>
      </c>
      <c r="Q204" s="70"/>
      <c r="R204" s="140"/>
      <c r="S204" s="83"/>
    </row>
    <row r="205" spans="1:20" s="38" customFormat="1" ht="18" customHeight="1" x14ac:dyDescent="0.2">
      <c r="A205" s="2139"/>
      <c r="B205" s="2094"/>
      <c r="C205" s="9"/>
      <c r="D205" s="1457"/>
      <c r="E205" s="1455"/>
      <c r="F205" s="2107" t="s">
        <v>207</v>
      </c>
      <c r="G205" s="402"/>
      <c r="H205" s="2165"/>
      <c r="I205" s="20"/>
      <c r="J205" s="2174" t="s">
        <v>15</v>
      </c>
      <c r="K205" s="1081">
        <v>4.9000000000000004</v>
      </c>
      <c r="L205" s="2142"/>
      <c r="M205" s="2118"/>
      <c r="N205" s="99"/>
      <c r="O205" s="1321" t="s">
        <v>154</v>
      </c>
      <c r="P205" s="590">
        <v>39</v>
      </c>
      <c r="Q205" s="21"/>
      <c r="R205" s="590"/>
      <c r="S205" s="82"/>
    </row>
    <row r="206" spans="1:20" s="38" customFormat="1" ht="24" customHeight="1" x14ac:dyDescent="0.2">
      <c r="A206" s="2139"/>
      <c r="B206" s="2094"/>
      <c r="C206" s="9"/>
      <c r="D206" s="1457"/>
      <c r="E206" s="1455"/>
      <c r="F206" s="2317" t="s">
        <v>157</v>
      </c>
      <c r="G206" s="2144"/>
      <c r="H206" s="2120"/>
      <c r="I206" s="1134"/>
      <c r="J206" s="184" t="s">
        <v>15</v>
      </c>
      <c r="K206" s="1738">
        <v>51.8</v>
      </c>
      <c r="L206" s="2168"/>
      <c r="M206" s="2154"/>
      <c r="N206" s="115"/>
      <c r="O206" s="2103" t="s">
        <v>131</v>
      </c>
      <c r="P206" s="2151">
        <v>12</v>
      </c>
      <c r="Q206" s="71"/>
      <c r="R206" s="138"/>
      <c r="S206" s="43"/>
    </row>
    <row r="207" spans="1:20" ht="17.25" customHeight="1" thickBot="1" x14ac:dyDescent="0.25">
      <c r="A207" s="1268"/>
      <c r="B207" s="1213"/>
      <c r="C207" s="1200"/>
      <c r="D207" s="1448"/>
      <c r="E207" s="1449"/>
      <c r="F207" s="2306"/>
      <c r="G207" s="2100"/>
      <c r="H207" s="1215"/>
      <c r="I207" s="2186"/>
      <c r="J207" s="36" t="s">
        <v>16</v>
      </c>
      <c r="K207" s="425">
        <f>SUM(K199:K206)</f>
        <v>107</v>
      </c>
      <c r="L207" s="165"/>
      <c r="M207" s="425"/>
      <c r="N207" s="429"/>
      <c r="O207" s="177"/>
      <c r="P207" s="398"/>
      <c r="Q207" s="492"/>
      <c r="R207" s="1130"/>
      <c r="S207" s="1282"/>
    </row>
    <row r="208" spans="1:20" ht="18" customHeight="1" thickBot="1" x14ac:dyDescent="0.25">
      <c r="A208" s="1216" t="s">
        <v>17</v>
      </c>
      <c r="B208" s="1213" t="s">
        <v>17</v>
      </c>
      <c r="C208" s="2590" t="s">
        <v>20</v>
      </c>
      <c r="D208" s="2591"/>
      <c r="E208" s="2591"/>
      <c r="F208" s="2591"/>
      <c r="G208" s="2591"/>
      <c r="H208" s="2591"/>
      <c r="I208" s="2591"/>
      <c r="J208" s="2592"/>
      <c r="K208" s="1647">
        <f>K207+K188+K198</f>
        <v>278</v>
      </c>
      <c r="L208" s="1606">
        <f>L207+L188+L198</f>
        <v>279.2</v>
      </c>
      <c r="M208" s="1605">
        <f>M207+M188+M198</f>
        <v>262.5</v>
      </c>
      <c r="N208" s="1662">
        <f>N207+N188+N198</f>
        <v>259.5</v>
      </c>
      <c r="O208" s="1241"/>
      <c r="P208" s="1242"/>
      <c r="Q208" s="1242"/>
      <c r="R208" s="1242"/>
      <c r="S208" s="1243"/>
    </row>
    <row r="209" spans="1:22" ht="17.25" customHeight="1" thickBot="1" x14ac:dyDescent="0.25">
      <c r="A209" s="1239" t="s">
        <v>17</v>
      </c>
      <c r="B209" s="1295" t="s">
        <v>19</v>
      </c>
      <c r="C209" s="2622" t="s">
        <v>34</v>
      </c>
      <c r="D209" s="2323"/>
      <c r="E209" s="2323"/>
      <c r="F209" s="2323"/>
      <c r="G209" s="2323"/>
      <c r="H209" s="2323"/>
      <c r="I209" s="2323"/>
      <c r="J209" s="2323"/>
      <c r="K209" s="2323"/>
      <c r="L209" s="2323"/>
      <c r="M209" s="2323"/>
      <c r="N209" s="2323"/>
      <c r="O209" s="2323"/>
      <c r="P209" s="2323"/>
      <c r="Q209" s="2323"/>
      <c r="R209" s="2323"/>
      <c r="S209" s="2324"/>
    </row>
    <row r="210" spans="1:22" ht="15.75" customHeight="1" x14ac:dyDescent="0.2">
      <c r="A210" s="1205" t="s">
        <v>17</v>
      </c>
      <c r="B210" s="1206" t="s">
        <v>19</v>
      </c>
      <c r="C210" s="1207" t="s">
        <v>14</v>
      </c>
      <c r="D210" s="1445"/>
      <c r="E210" s="1445"/>
      <c r="F210" s="2325" t="s">
        <v>35</v>
      </c>
      <c r="G210" s="2099"/>
      <c r="H210" s="1208">
        <v>6</v>
      </c>
      <c r="I210" s="2676" t="s">
        <v>360</v>
      </c>
      <c r="J210" s="33"/>
      <c r="K210" s="1648"/>
      <c r="L210" s="1649"/>
      <c r="M210" s="1650"/>
      <c r="N210" s="1651"/>
      <c r="O210" s="1296"/>
      <c r="P210" s="1401"/>
      <c r="Q210" s="1209"/>
      <c r="R210" s="1251"/>
      <c r="S210" s="1252"/>
    </row>
    <row r="211" spans="1:22" ht="15.75" customHeight="1" x14ac:dyDescent="0.2">
      <c r="A211" s="1196"/>
      <c r="B211" s="1179"/>
      <c r="C211" s="1180"/>
      <c r="D211" s="1446"/>
      <c r="E211" s="1446"/>
      <c r="F211" s="2326"/>
      <c r="G211" s="2144"/>
      <c r="H211" s="1168"/>
      <c r="I211" s="2657"/>
      <c r="J211" s="824"/>
      <c r="K211" s="1652"/>
      <c r="L211" s="1653"/>
      <c r="M211" s="1654"/>
      <c r="N211" s="1653"/>
      <c r="O211" s="1259"/>
      <c r="P211" s="1402"/>
      <c r="Q211" s="1186"/>
      <c r="R211" s="1257"/>
      <c r="S211" s="1258"/>
    </row>
    <row r="212" spans="1:22" ht="95.25" customHeight="1" x14ac:dyDescent="0.2">
      <c r="A212" s="1196"/>
      <c r="B212" s="1179"/>
      <c r="C212" s="1254"/>
      <c r="D212" s="1472" t="s">
        <v>14</v>
      </c>
      <c r="E212" s="1472"/>
      <c r="F212" s="73" t="s">
        <v>735</v>
      </c>
      <c r="G212" s="2144"/>
      <c r="H212" s="1168"/>
      <c r="I212" s="2657"/>
      <c r="J212" s="182" t="s">
        <v>15</v>
      </c>
      <c r="K212" s="1399">
        <f>300+53.6+63.7</f>
        <v>417.3</v>
      </c>
      <c r="L212" s="327">
        <f>562-75</f>
        <v>487</v>
      </c>
      <c r="M212" s="1737">
        <v>380</v>
      </c>
      <c r="N212" s="286">
        <v>400</v>
      </c>
      <c r="O212" s="176" t="s">
        <v>211</v>
      </c>
      <c r="P212" s="140">
        <v>19</v>
      </c>
      <c r="Q212" s="70">
        <v>16</v>
      </c>
      <c r="R212" s="1392">
        <v>15</v>
      </c>
      <c r="S212" s="1393">
        <v>15</v>
      </c>
      <c r="T212" s="1253"/>
    </row>
    <row r="213" spans="1:22" s="233" customFormat="1" ht="30.75" customHeight="1" x14ac:dyDescent="0.2">
      <c r="A213" s="1196"/>
      <c r="B213" s="1179"/>
      <c r="C213" s="1254"/>
      <c r="D213" s="1453" t="s">
        <v>17</v>
      </c>
      <c r="E213" s="1453"/>
      <c r="F213" s="632" t="s">
        <v>95</v>
      </c>
      <c r="G213" s="2144"/>
      <c r="H213" s="1168"/>
      <c r="I213" s="2157"/>
      <c r="J213" s="182" t="s">
        <v>15</v>
      </c>
      <c r="K213" s="858">
        <v>44.8</v>
      </c>
      <c r="L213" s="327">
        <v>36.700000000000003</v>
      </c>
      <c r="M213" s="1737">
        <v>36.700000000000003</v>
      </c>
      <c r="N213" s="173">
        <v>36.700000000000003</v>
      </c>
      <c r="O213" s="176" t="s">
        <v>131</v>
      </c>
      <c r="P213" s="140">
        <v>93</v>
      </c>
      <c r="Q213" s="70">
        <v>93</v>
      </c>
      <c r="R213" s="1392">
        <v>93</v>
      </c>
      <c r="S213" s="1393">
        <f>+Q213</f>
        <v>93</v>
      </c>
      <c r="T213" s="1253"/>
    </row>
    <row r="214" spans="1:22" ht="28.5" customHeight="1" x14ac:dyDescent="0.2">
      <c r="A214" s="1196"/>
      <c r="B214" s="1179"/>
      <c r="C214" s="1180"/>
      <c r="D214" s="1482" t="s">
        <v>19</v>
      </c>
      <c r="E214" s="1472"/>
      <c r="F214" s="49" t="s">
        <v>40</v>
      </c>
      <c r="G214" s="2144"/>
      <c r="H214" s="1168"/>
      <c r="I214" s="2157"/>
      <c r="J214" s="182" t="s">
        <v>15</v>
      </c>
      <c r="K214" s="858">
        <v>105.6</v>
      </c>
      <c r="L214" s="327">
        <v>90.2</v>
      </c>
      <c r="M214" s="1737">
        <v>90.2</v>
      </c>
      <c r="N214" s="173">
        <v>90.2</v>
      </c>
      <c r="O214" s="2104" t="s">
        <v>212</v>
      </c>
      <c r="P214" s="591">
        <v>45</v>
      </c>
      <c r="Q214" s="35">
        <v>30</v>
      </c>
      <c r="R214" s="1395">
        <v>30</v>
      </c>
      <c r="S214" s="1396">
        <v>30</v>
      </c>
      <c r="T214" s="1253"/>
    </row>
    <row r="215" spans="1:22" ht="29.25" customHeight="1" x14ac:dyDescent="0.2">
      <c r="A215" s="1196"/>
      <c r="B215" s="1179"/>
      <c r="C215" s="1254"/>
      <c r="D215" s="1453" t="s">
        <v>21</v>
      </c>
      <c r="E215" s="1453"/>
      <c r="F215" s="73" t="s">
        <v>42</v>
      </c>
      <c r="G215" s="2144"/>
      <c r="H215" s="1168"/>
      <c r="I215" s="2157"/>
      <c r="J215" s="824" t="s">
        <v>15</v>
      </c>
      <c r="K215" s="1400">
        <v>23.6</v>
      </c>
      <c r="L215" s="327">
        <v>42</v>
      </c>
      <c r="M215" s="1737">
        <v>42</v>
      </c>
      <c r="N215" s="173">
        <v>42</v>
      </c>
      <c r="O215" s="176" t="s">
        <v>213</v>
      </c>
      <c r="P215" s="140">
        <v>3</v>
      </c>
      <c r="Q215" s="70">
        <f>+P215</f>
        <v>3</v>
      </c>
      <c r="R215" s="1392">
        <v>3</v>
      </c>
      <c r="S215" s="1393">
        <f>+Q215</f>
        <v>3</v>
      </c>
      <c r="T215" s="1253"/>
    </row>
    <row r="216" spans="1:22" ht="18" customHeight="1" x14ac:dyDescent="0.2">
      <c r="A216" s="1196"/>
      <c r="B216" s="1179"/>
      <c r="C216" s="1254"/>
      <c r="D216" s="1472" t="s">
        <v>22</v>
      </c>
      <c r="E216" s="1472"/>
      <c r="F216" s="73" t="s">
        <v>39</v>
      </c>
      <c r="G216" s="2144"/>
      <c r="H216" s="1168"/>
      <c r="I216" s="2157"/>
      <c r="J216" s="824" t="s">
        <v>15</v>
      </c>
      <c r="K216" s="858">
        <v>14.9</v>
      </c>
      <c r="L216" s="327">
        <v>17.2</v>
      </c>
      <c r="M216" s="1737">
        <v>20</v>
      </c>
      <c r="N216" s="173">
        <v>21</v>
      </c>
      <c r="O216" s="176" t="s">
        <v>43</v>
      </c>
      <c r="P216" s="140">
        <v>33</v>
      </c>
      <c r="Q216" s="70">
        <v>35</v>
      </c>
      <c r="R216" s="1392">
        <v>37</v>
      </c>
      <c r="S216" s="1393">
        <v>38</v>
      </c>
      <c r="T216" s="1253"/>
      <c r="V216" s="2170"/>
    </row>
    <row r="217" spans="1:22" ht="30.75" customHeight="1" x14ac:dyDescent="0.2">
      <c r="A217" s="1196"/>
      <c r="B217" s="1179"/>
      <c r="C217" s="1180"/>
      <c r="D217" s="1446" t="s">
        <v>106</v>
      </c>
      <c r="E217" s="1446"/>
      <c r="F217" s="242" t="s">
        <v>127</v>
      </c>
      <c r="G217" s="2144"/>
      <c r="H217" s="1168"/>
      <c r="I217" s="2157"/>
      <c r="J217" s="824" t="s">
        <v>15</v>
      </c>
      <c r="K217" s="858">
        <v>25</v>
      </c>
      <c r="L217" s="327">
        <v>25</v>
      </c>
      <c r="M217" s="1737">
        <v>12</v>
      </c>
      <c r="N217" s="173"/>
      <c r="O217" s="2103" t="s">
        <v>214</v>
      </c>
      <c r="P217" s="140">
        <v>7</v>
      </c>
      <c r="Q217" s="70">
        <f>+P217</f>
        <v>7</v>
      </c>
      <c r="R217" s="1392">
        <v>3</v>
      </c>
      <c r="S217" s="1393"/>
      <c r="T217" s="1253"/>
      <c r="V217" s="2170"/>
    </row>
    <row r="218" spans="1:22" ht="14.25" customHeight="1" x14ac:dyDescent="0.2">
      <c r="A218" s="1196"/>
      <c r="B218" s="1179"/>
      <c r="C218" s="1180"/>
      <c r="D218" s="1474" t="s">
        <v>107</v>
      </c>
      <c r="E218" s="1474"/>
      <c r="F218" s="2092" t="s">
        <v>41</v>
      </c>
      <c r="G218" s="2144"/>
      <c r="H218" s="1168"/>
      <c r="I218" s="2157"/>
      <c r="J218" s="824" t="s">
        <v>15</v>
      </c>
      <c r="K218" s="1400">
        <f>429.3-35.7</f>
        <v>393.6</v>
      </c>
      <c r="L218" s="327">
        <v>429.3</v>
      </c>
      <c r="M218" s="1737">
        <v>429.3</v>
      </c>
      <c r="N218" s="173">
        <v>429.3</v>
      </c>
      <c r="O218" s="2313" t="s">
        <v>215</v>
      </c>
      <c r="P218" s="590">
        <v>101</v>
      </c>
      <c r="Q218" s="21">
        <f>+P218</f>
        <v>101</v>
      </c>
      <c r="R218" s="589">
        <v>101</v>
      </c>
      <c r="S218" s="1394">
        <f>+Q218</f>
        <v>101</v>
      </c>
      <c r="T218" s="1253"/>
      <c r="V218" s="2170"/>
    </row>
    <row r="219" spans="1:22" ht="14.25" customHeight="1" x14ac:dyDescent="0.2">
      <c r="A219" s="1196"/>
      <c r="B219" s="1179"/>
      <c r="C219" s="1180"/>
      <c r="D219" s="1446"/>
      <c r="E219" s="1446"/>
      <c r="F219" s="1398"/>
      <c r="G219" s="2144"/>
      <c r="H219" s="1168"/>
      <c r="I219" s="2157"/>
      <c r="J219" s="824" t="s">
        <v>110</v>
      </c>
      <c r="K219" s="858">
        <v>35.700000000000003</v>
      </c>
      <c r="L219" s="327"/>
      <c r="M219" s="1737"/>
      <c r="N219" s="173"/>
      <c r="O219" s="2652"/>
      <c r="P219" s="590"/>
      <c r="Q219" s="21"/>
      <c r="R219" s="589"/>
      <c r="S219" s="1394"/>
      <c r="T219" s="1253"/>
      <c r="V219" s="2170"/>
    </row>
    <row r="220" spans="1:22" ht="14.25" customHeight="1" x14ac:dyDescent="0.2">
      <c r="A220" s="1196"/>
      <c r="B220" s="1179"/>
      <c r="C220" s="1180"/>
      <c r="D220" s="1475"/>
      <c r="E220" s="1475"/>
      <c r="F220" s="588"/>
      <c r="G220" s="2144"/>
      <c r="H220" s="1168"/>
      <c r="I220" s="2157"/>
      <c r="J220" s="71" t="s">
        <v>18</v>
      </c>
      <c r="K220" s="858">
        <v>7.4</v>
      </c>
      <c r="L220" s="327">
        <v>7.4</v>
      </c>
      <c r="M220" s="1737">
        <v>7.4</v>
      </c>
      <c r="N220" s="173">
        <v>7.4</v>
      </c>
      <c r="O220" s="2314"/>
      <c r="P220" s="590"/>
      <c r="Q220" s="21"/>
      <c r="R220" s="589"/>
      <c r="S220" s="1394"/>
      <c r="T220" s="233"/>
      <c r="V220" s="2170"/>
    </row>
    <row r="221" spans="1:22" ht="31.5" customHeight="1" x14ac:dyDescent="0.2">
      <c r="A221" s="1196"/>
      <c r="B221" s="1179"/>
      <c r="C221" s="1254"/>
      <c r="D221" s="1453" t="s">
        <v>382</v>
      </c>
      <c r="E221" s="1453"/>
      <c r="F221" s="124" t="s">
        <v>50</v>
      </c>
      <c r="G221" s="50"/>
      <c r="H221" s="114"/>
      <c r="I221" s="2184"/>
      <c r="J221" s="70" t="s">
        <v>15</v>
      </c>
      <c r="K221" s="858">
        <v>539</v>
      </c>
      <c r="L221" s="327">
        <f>500-100</f>
        <v>400</v>
      </c>
      <c r="M221" s="1737">
        <v>342</v>
      </c>
      <c r="N221" s="173">
        <v>185</v>
      </c>
      <c r="O221" s="384" t="s">
        <v>131</v>
      </c>
      <c r="P221" s="140">
        <v>16</v>
      </c>
      <c r="Q221" s="70">
        <v>16</v>
      </c>
      <c r="R221" s="1392">
        <v>10</v>
      </c>
      <c r="S221" s="1393">
        <v>5</v>
      </c>
      <c r="T221" s="1103"/>
      <c r="V221" s="2170"/>
    </row>
    <row r="222" spans="1:22" ht="54.75" customHeight="1" x14ac:dyDescent="0.2">
      <c r="A222" s="1196"/>
      <c r="B222" s="1179"/>
      <c r="C222" s="1254"/>
      <c r="D222" s="1472" t="s">
        <v>383</v>
      </c>
      <c r="E222" s="1472"/>
      <c r="F222" s="199" t="s">
        <v>725</v>
      </c>
      <c r="G222" s="50"/>
      <c r="H222" s="114"/>
      <c r="I222" s="2184"/>
      <c r="J222" s="35" t="s">
        <v>15</v>
      </c>
      <c r="K222" s="1400">
        <v>80</v>
      </c>
      <c r="L222" s="327"/>
      <c r="M222" s="1737"/>
      <c r="N222" s="173">
        <v>100</v>
      </c>
      <c r="O222" s="384" t="s">
        <v>131</v>
      </c>
      <c r="P222" s="140">
        <v>1</v>
      </c>
      <c r="Q222" s="70"/>
      <c r="R222" s="1392"/>
      <c r="S222" s="1393">
        <f>+Q222</f>
        <v>0</v>
      </c>
      <c r="T222" s="2108"/>
      <c r="V222" s="2170"/>
    </row>
    <row r="223" spans="1:22" ht="30.75" customHeight="1" x14ac:dyDescent="0.2">
      <c r="A223" s="1196"/>
      <c r="B223" s="1179"/>
      <c r="C223" s="1254"/>
      <c r="D223" s="1453" t="s">
        <v>5</v>
      </c>
      <c r="E223" s="1453"/>
      <c r="F223" s="2106" t="s">
        <v>61</v>
      </c>
      <c r="G223" s="50"/>
      <c r="H223" s="114"/>
      <c r="I223" s="2184"/>
      <c r="J223" s="21" t="s">
        <v>15</v>
      </c>
      <c r="K223" s="858">
        <v>146</v>
      </c>
      <c r="L223" s="327">
        <v>170</v>
      </c>
      <c r="M223" s="1737">
        <v>170</v>
      </c>
      <c r="N223" s="173">
        <v>170</v>
      </c>
      <c r="O223" s="384" t="s">
        <v>131</v>
      </c>
      <c r="P223" s="591">
        <v>7</v>
      </c>
      <c r="Q223" s="35">
        <v>10</v>
      </c>
      <c r="R223" s="1395">
        <v>10</v>
      </c>
      <c r="S223" s="1396">
        <v>10</v>
      </c>
    </row>
    <row r="224" spans="1:22" ht="18" customHeight="1" x14ac:dyDescent="0.2">
      <c r="A224" s="1196"/>
      <c r="B224" s="1179"/>
      <c r="C224" s="1254"/>
      <c r="D224" s="1472" t="s">
        <v>384</v>
      </c>
      <c r="E224" s="1472"/>
      <c r="F224" s="2106" t="s">
        <v>86</v>
      </c>
      <c r="G224" s="2176"/>
      <c r="H224" s="114"/>
      <c r="I224" s="2184"/>
      <c r="J224" s="70" t="s">
        <v>15</v>
      </c>
      <c r="K224" s="1400">
        <v>350</v>
      </c>
      <c r="L224" s="327">
        <v>310</v>
      </c>
      <c r="M224" s="1737">
        <v>200</v>
      </c>
      <c r="N224" s="286">
        <v>210</v>
      </c>
      <c r="O224" s="384" t="s">
        <v>131</v>
      </c>
      <c r="P224" s="591">
        <v>16</v>
      </c>
      <c r="Q224" s="35">
        <v>12</v>
      </c>
      <c r="R224" s="1395">
        <v>6</v>
      </c>
      <c r="S224" s="1396">
        <v>6</v>
      </c>
    </row>
    <row r="225" spans="1:32" ht="27.75" customHeight="1" x14ac:dyDescent="0.2">
      <c r="A225" s="1196"/>
      <c r="B225" s="1179"/>
      <c r="C225" s="1180"/>
      <c r="D225" s="1446" t="s">
        <v>387</v>
      </c>
      <c r="E225" s="1446"/>
      <c r="F225" s="2317" t="s">
        <v>748</v>
      </c>
      <c r="G225" s="2319" t="s">
        <v>49</v>
      </c>
      <c r="H225" s="1168"/>
      <c r="I225" s="2157"/>
      <c r="J225" s="184" t="s">
        <v>15</v>
      </c>
      <c r="K225" s="859">
        <v>114</v>
      </c>
      <c r="L225" s="1740">
        <v>75</v>
      </c>
      <c r="M225" s="2154">
        <v>75</v>
      </c>
      <c r="N225" s="115">
        <v>75</v>
      </c>
      <c r="O225" s="2156" t="s">
        <v>217</v>
      </c>
      <c r="P225" s="591">
        <v>3</v>
      </c>
      <c r="Q225" s="35">
        <v>2</v>
      </c>
      <c r="R225" s="1395">
        <v>2</v>
      </c>
      <c r="S225" s="1396">
        <v>2</v>
      </c>
    </row>
    <row r="226" spans="1:32" ht="27.75" customHeight="1" x14ac:dyDescent="0.2">
      <c r="A226" s="1196"/>
      <c r="B226" s="1179"/>
      <c r="C226" s="1180"/>
      <c r="D226" s="1446"/>
      <c r="E226" s="1446"/>
      <c r="F226" s="2318"/>
      <c r="G226" s="2320"/>
      <c r="H226" s="1168"/>
      <c r="I226" s="2157"/>
      <c r="J226" s="184" t="s">
        <v>110</v>
      </c>
      <c r="K226" s="858"/>
      <c r="L226" s="327">
        <f>56.4+7.4</f>
        <v>63.8</v>
      </c>
      <c r="M226" s="1737"/>
      <c r="N226" s="286"/>
      <c r="O226" s="176" t="s">
        <v>233</v>
      </c>
      <c r="P226" s="140">
        <v>3</v>
      </c>
      <c r="Q226" s="71">
        <v>5</v>
      </c>
      <c r="R226" s="17">
        <v>2</v>
      </c>
      <c r="S226" s="1397">
        <v>2</v>
      </c>
    </row>
    <row r="227" spans="1:32" ht="14.25" customHeight="1" x14ac:dyDescent="0.2">
      <c r="A227" s="1196"/>
      <c r="B227" s="1179"/>
      <c r="C227" s="1180"/>
      <c r="D227" s="1474" t="s">
        <v>388</v>
      </c>
      <c r="E227" s="1474"/>
      <c r="F227" s="2297" t="s">
        <v>171</v>
      </c>
      <c r="G227" s="430"/>
      <c r="H227" s="1181"/>
      <c r="I227" s="2184"/>
      <c r="J227" s="471" t="s">
        <v>15</v>
      </c>
      <c r="K227" s="2162">
        <v>43.7</v>
      </c>
      <c r="L227" s="327">
        <v>100</v>
      </c>
      <c r="M227" s="1737">
        <v>100</v>
      </c>
      <c r="N227" s="173">
        <v>100</v>
      </c>
      <c r="O227" s="2103" t="s">
        <v>131</v>
      </c>
      <c r="P227" s="138">
        <v>33</v>
      </c>
      <c r="Q227" s="71">
        <v>33</v>
      </c>
      <c r="R227" s="17">
        <v>33</v>
      </c>
      <c r="S227" s="1397">
        <v>33</v>
      </c>
    </row>
    <row r="228" spans="1:32" ht="14.25" customHeight="1" thickBot="1" x14ac:dyDescent="0.25">
      <c r="A228" s="1268"/>
      <c r="B228" s="1213"/>
      <c r="C228" s="1214"/>
      <c r="D228" s="1449"/>
      <c r="E228" s="1449"/>
      <c r="F228" s="2298"/>
      <c r="G228" s="2100"/>
      <c r="H228" s="1297"/>
      <c r="I228" s="2187"/>
      <c r="J228" s="36" t="s">
        <v>16</v>
      </c>
      <c r="K228" s="429">
        <f>SUM(K212:K227)</f>
        <v>2340.6000000000004</v>
      </c>
      <c r="L228" s="425">
        <f>SUM(L212:L227)</f>
        <v>2253.6000000000004</v>
      </c>
      <c r="M228" s="249">
        <f>SUM(M212:M227)</f>
        <v>1904.6</v>
      </c>
      <c r="N228" s="1235">
        <f>SUM(N212:N227)</f>
        <v>1866.6000000000001</v>
      </c>
      <c r="O228" s="470"/>
      <c r="P228" s="1317"/>
      <c r="Q228" s="1191"/>
      <c r="R228" s="1292"/>
      <c r="S228" s="1293"/>
    </row>
    <row r="229" spans="1:32" s="38" customFormat="1" ht="16.5" customHeight="1" x14ac:dyDescent="0.2">
      <c r="A229" s="2617" t="s">
        <v>17</v>
      </c>
      <c r="B229" s="2618" t="s">
        <v>19</v>
      </c>
      <c r="C229" s="9" t="s">
        <v>17</v>
      </c>
      <c r="D229" s="1694"/>
      <c r="E229" s="1694"/>
      <c r="F229" s="2305" t="s">
        <v>741</v>
      </c>
      <c r="G229" s="2619"/>
      <c r="H229" s="2382">
        <v>2</v>
      </c>
      <c r="I229" s="2648" t="s">
        <v>351</v>
      </c>
      <c r="J229" s="1698" t="s">
        <v>15</v>
      </c>
      <c r="K229" s="1862">
        <v>31.3</v>
      </c>
      <c r="L229" s="348">
        <v>31.3</v>
      </c>
      <c r="M229" s="250">
        <v>31.3</v>
      </c>
      <c r="N229" s="100">
        <v>31.3</v>
      </c>
      <c r="O229" s="2653" t="s">
        <v>742</v>
      </c>
      <c r="P229" s="146">
        <v>300</v>
      </c>
      <c r="Q229" s="1698">
        <v>300</v>
      </c>
      <c r="R229" s="146">
        <v>300</v>
      </c>
      <c r="S229" s="586">
        <v>300</v>
      </c>
    </row>
    <row r="230" spans="1:32" s="38" customFormat="1" ht="11.25" customHeight="1" x14ac:dyDescent="0.2">
      <c r="A230" s="2617"/>
      <c r="B230" s="2294"/>
      <c r="C230" s="9"/>
      <c r="D230" s="1952"/>
      <c r="F230" s="2331"/>
      <c r="G230" s="2619"/>
      <c r="H230" s="2392"/>
      <c r="I230" s="2649"/>
      <c r="J230" s="1953"/>
      <c r="K230" s="1079"/>
      <c r="L230" s="2169"/>
      <c r="M230" s="2155"/>
      <c r="N230" s="122"/>
      <c r="O230" s="2654"/>
      <c r="P230" s="121"/>
      <c r="Q230" s="1328"/>
      <c r="R230" s="121"/>
      <c r="S230" s="82"/>
    </row>
    <row r="231" spans="1:32" s="38" customFormat="1" ht="16.5" customHeight="1" thickBot="1" x14ac:dyDescent="0.25">
      <c r="A231" s="2302"/>
      <c r="B231" s="2304"/>
      <c r="C231" s="196"/>
      <c r="D231" s="1459"/>
      <c r="E231" s="1476"/>
      <c r="F231" s="2306"/>
      <c r="G231" s="2308"/>
      <c r="H231" s="2383"/>
      <c r="I231" s="2163"/>
      <c r="J231" s="36" t="s">
        <v>16</v>
      </c>
      <c r="K231" s="284">
        <f>SUM(K229:K230)</f>
        <v>31.3</v>
      </c>
      <c r="L231" s="103">
        <f>SUM(L229:L230)</f>
        <v>31.3</v>
      </c>
      <c r="M231" s="284">
        <f>SUM(M229:M230)</f>
        <v>31.3</v>
      </c>
      <c r="N231" s="308">
        <f>SUM(N229:N230)</f>
        <v>31.3</v>
      </c>
      <c r="O231" s="2655"/>
      <c r="P231" s="147"/>
      <c r="Q231" s="514"/>
      <c r="R231" s="147"/>
      <c r="S231" s="587"/>
    </row>
    <row r="232" spans="1:32" ht="36.75" customHeight="1" x14ac:dyDescent="0.2">
      <c r="A232" s="1205" t="s">
        <v>17</v>
      </c>
      <c r="B232" s="1206" t="s">
        <v>19</v>
      </c>
      <c r="C232" s="1294" t="s">
        <v>19</v>
      </c>
      <c r="D232" s="1456"/>
      <c r="E232" s="1452"/>
      <c r="F232" s="2305" t="s">
        <v>170</v>
      </c>
      <c r="G232" s="2099" t="s">
        <v>47</v>
      </c>
      <c r="H232" s="319">
        <v>2</v>
      </c>
      <c r="I232" s="2699" t="s">
        <v>351</v>
      </c>
      <c r="J232" s="33" t="s">
        <v>15</v>
      </c>
      <c r="K232" s="1642"/>
      <c r="L232" s="1655">
        <v>35</v>
      </c>
      <c r="M232" s="1634"/>
      <c r="N232" s="1632"/>
      <c r="O232" s="336" t="s">
        <v>219</v>
      </c>
      <c r="P232" s="1114">
        <v>0</v>
      </c>
      <c r="Q232" s="234">
        <v>3</v>
      </c>
      <c r="R232" s="1251"/>
      <c r="S232" s="1252"/>
    </row>
    <row r="233" spans="1:32" ht="15" customHeight="1" thickBot="1" x14ac:dyDescent="0.25">
      <c r="A233" s="1268"/>
      <c r="B233" s="1213"/>
      <c r="C233" s="1298"/>
      <c r="D233" s="1460"/>
      <c r="E233" s="1463"/>
      <c r="F233" s="2306"/>
      <c r="G233" s="397" t="s">
        <v>239</v>
      </c>
      <c r="H233" s="1300"/>
      <c r="I233" s="2731"/>
      <c r="J233" s="285" t="s">
        <v>16</v>
      </c>
      <c r="K233" s="841">
        <f>+K232</f>
        <v>0</v>
      </c>
      <c r="L233" s="837">
        <f>+L232</f>
        <v>35</v>
      </c>
      <c r="M233" s="1656"/>
      <c r="N233" s="379"/>
      <c r="O233" s="177"/>
      <c r="P233" s="2180"/>
      <c r="Q233" s="1186"/>
      <c r="R233" s="1257"/>
      <c r="S233" s="1258"/>
    </row>
    <row r="234" spans="1:32" ht="15" customHeight="1" x14ac:dyDescent="0.2">
      <c r="A234" s="1205" t="s">
        <v>17</v>
      </c>
      <c r="B234" s="1206" t="s">
        <v>19</v>
      </c>
      <c r="C234" s="1248" t="s">
        <v>21</v>
      </c>
      <c r="D234" s="1452"/>
      <c r="E234" s="1452"/>
      <c r="F234" s="2292" t="s">
        <v>98</v>
      </c>
      <c r="G234" s="193"/>
      <c r="H234" s="319">
        <v>6</v>
      </c>
      <c r="I234" s="2699" t="s">
        <v>360</v>
      </c>
      <c r="J234" s="234"/>
      <c r="K234" s="1657"/>
      <c r="L234" s="1658"/>
      <c r="M234" s="1659"/>
      <c r="N234" s="1565"/>
      <c r="O234" s="2101"/>
      <c r="P234" s="1185"/>
      <c r="Q234" s="1209"/>
      <c r="R234" s="1251"/>
      <c r="S234" s="1252"/>
      <c r="T234" s="2147"/>
    </row>
    <row r="235" spans="1:32" ht="15" customHeight="1" x14ac:dyDescent="0.2">
      <c r="A235" s="1196"/>
      <c r="B235" s="1179"/>
      <c r="C235" s="1254"/>
      <c r="D235" s="1453"/>
      <c r="E235" s="1453"/>
      <c r="F235" s="2293"/>
      <c r="G235" s="235"/>
      <c r="H235" s="316"/>
      <c r="I235" s="2700"/>
      <c r="J235" s="467"/>
      <c r="K235" s="1624"/>
      <c r="L235" s="1660"/>
      <c r="M235" s="1661"/>
      <c r="N235" s="1559"/>
      <c r="O235" s="2156"/>
      <c r="P235" s="2179"/>
      <c r="Q235" s="1186"/>
      <c r="R235" s="1257"/>
      <c r="S235" s="1258"/>
      <c r="T235" s="2147"/>
    </row>
    <row r="236" spans="1:32" s="1302" customFormat="1" ht="15" customHeight="1" x14ac:dyDescent="0.2">
      <c r="A236" s="1196"/>
      <c r="B236" s="1179"/>
      <c r="C236" s="1265"/>
      <c r="D236" s="1469" t="s">
        <v>14</v>
      </c>
      <c r="E236" s="1470"/>
      <c r="F236" s="2297" t="s">
        <v>85</v>
      </c>
      <c r="G236" s="391"/>
      <c r="H236" s="316"/>
      <c r="I236" s="2700"/>
      <c r="J236" s="184" t="s">
        <v>15</v>
      </c>
      <c r="K236" s="859">
        <v>1825.4</v>
      </c>
      <c r="L236" s="1740">
        <f>2204.9-100</f>
        <v>2104.9</v>
      </c>
      <c r="M236" s="2154">
        <v>2104.9</v>
      </c>
      <c r="N236" s="1738">
        <v>2104.9</v>
      </c>
      <c r="O236" s="2313" t="s">
        <v>220</v>
      </c>
      <c r="P236" s="2688">
        <v>92</v>
      </c>
      <c r="Q236" s="2690">
        <v>92</v>
      </c>
      <c r="R236" s="2692">
        <v>92</v>
      </c>
      <c r="S236" s="2693">
        <v>92</v>
      </c>
      <c r="T236" s="1253"/>
      <c r="U236" s="1301"/>
      <c r="V236" s="1301"/>
      <c r="W236" s="1301"/>
      <c r="X236" s="1301"/>
      <c r="Y236" s="1301"/>
      <c r="Z236" s="1301"/>
      <c r="AA236" s="1301"/>
      <c r="AB236" s="1301"/>
      <c r="AC236" s="1301"/>
      <c r="AD236" s="1301"/>
      <c r="AE236" s="1301"/>
      <c r="AF236" s="1301"/>
    </row>
    <row r="237" spans="1:32" s="1302" customFormat="1" ht="15" customHeight="1" x14ac:dyDescent="0.2">
      <c r="A237" s="1196"/>
      <c r="B237" s="1179"/>
      <c r="C237" s="1265"/>
      <c r="D237" s="1468"/>
      <c r="E237" s="1471"/>
      <c r="F237" s="2355"/>
      <c r="G237" s="392"/>
      <c r="H237" s="316"/>
      <c r="I237" s="2700"/>
      <c r="J237" s="182" t="s">
        <v>110</v>
      </c>
      <c r="K237" s="858">
        <v>330.2</v>
      </c>
      <c r="L237" s="327"/>
      <c r="M237" s="1737"/>
      <c r="N237" s="173"/>
      <c r="O237" s="2314"/>
      <c r="P237" s="2689"/>
      <c r="Q237" s="2691"/>
      <c r="R237" s="2567"/>
      <c r="S237" s="2694"/>
      <c r="T237" s="1301"/>
      <c r="U237" s="1301"/>
      <c r="V237" s="1301"/>
      <c r="W237" s="1301"/>
      <c r="X237" s="1301"/>
      <c r="Y237" s="1301"/>
      <c r="Z237" s="1301"/>
      <c r="AA237" s="1301"/>
      <c r="AB237" s="1301"/>
      <c r="AC237" s="1301"/>
      <c r="AD237" s="1301"/>
      <c r="AE237" s="1301"/>
      <c r="AF237" s="1301"/>
    </row>
    <row r="238" spans="1:32" s="1302" customFormat="1" ht="28.5" customHeight="1" x14ac:dyDescent="0.2">
      <c r="A238" s="1196"/>
      <c r="B238" s="1179"/>
      <c r="C238" s="189"/>
      <c r="D238" s="1461" t="s">
        <v>17</v>
      </c>
      <c r="E238" s="1461"/>
      <c r="F238" s="2625" t="s">
        <v>92</v>
      </c>
      <c r="G238" s="392"/>
      <c r="H238" s="316"/>
      <c r="I238" s="2700"/>
      <c r="J238" s="1739" t="s">
        <v>15</v>
      </c>
      <c r="K238" s="859">
        <f>78.1-20.9</f>
        <v>57.199999999999996</v>
      </c>
      <c r="L238" s="1425">
        <f>87+8.3</f>
        <v>95.3</v>
      </c>
      <c r="M238" s="1427">
        <v>45</v>
      </c>
      <c r="N238" s="287">
        <v>15</v>
      </c>
      <c r="O238" s="452" t="s">
        <v>221</v>
      </c>
      <c r="P238" s="2121">
        <v>39</v>
      </c>
      <c r="Q238" s="2125">
        <v>59</v>
      </c>
      <c r="R238" s="30">
        <v>79</v>
      </c>
      <c r="S238" s="1403">
        <v>89</v>
      </c>
      <c r="T238" s="1301"/>
      <c r="U238" s="1301"/>
      <c r="V238" s="1301"/>
      <c r="W238" s="1301"/>
      <c r="X238" s="1301"/>
      <c r="Y238" s="1301"/>
      <c r="Z238" s="1301"/>
      <c r="AA238" s="1301"/>
      <c r="AB238" s="1301"/>
      <c r="AC238" s="1301"/>
      <c r="AD238" s="1301"/>
      <c r="AE238" s="1301"/>
      <c r="AF238" s="1301"/>
    </row>
    <row r="239" spans="1:32" s="1302" customFormat="1" ht="29.25" customHeight="1" x14ac:dyDescent="0.2">
      <c r="A239" s="1196"/>
      <c r="B239" s="1179"/>
      <c r="C239" s="189"/>
      <c r="D239" s="1461"/>
      <c r="E239" s="1461"/>
      <c r="F239" s="2626"/>
      <c r="G239" s="391"/>
      <c r="H239" s="316"/>
      <c r="I239" s="2178"/>
      <c r="J239" s="1407"/>
      <c r="K239" s="1409"/>
      <c r="L239" s="1426"/>
      <c r="M239" s="1428"/>
      <c r="N239" s="1723"/>
      <c r="O239" s="515" t="s">
        <v>222</v>
      </c>
      <c r="P239" s="27">
        <v>20</v>
      </c>
      <c r="Q239" s="479">
        <v>20</v>
      </c>
      <c r="R239" s="26">
        <v>10</v>
      </c>
      <c r="S239" s="1757"/>
      <c r="T239" s="1301"/>
      <c r="U239" s="1301"/>
      <c r="V239" s="1301"/>
      <c r="W239" s="1301"/>
      <c r="X239" s="1301"/>
      <c r="Y239" s="1301"/>
      <c r="Z239" s="1301"/>
      <c r="AA239" s="1301"/>
      <c r="AB239" s="1301"/>
      <c r="AC239" s="1301"/>
      <c r="AD239" s="1301"/>
      <c r="AE239" s="1301"/>
      <c r="AF239" s="1301"/>
    </row>
    <row r="240" spans="1:32" s="14" customFormat="1" ht="42" customHeight="1" x14ac:dyDescent="0.2">
      <c r="A240" s="2139"/>
      <c r="B240" s="2094"/>
      <c r="C240" s="189"/>
      <c r="D240" s="1483" t="s">
        <v>19</v>
      </c>
      <c r="E240" s="1483"/>
      <c r="F240" s="2145" t="s">
        <v>378</v>
      </c>
      <c r="G240" s="392"/>
      <c r="H240" s="375"/>
      <c r="I240" s="2178"/>
      <c r="J240" s="187" t="s">
        <v>15</v>
      </c>
      <c r="K240" s="1410"/>
      <c r="L240" s="955">
        <v>3.6</v>
      </c>
      <c r="M240" s="1429"/>
      <c r="N240" s="1724"/>
      <c r="O240" s="452" t="s">
        <v>220</v>
      </c>
      <c r="P240" s="2151"/>
      <c r="Q240" s="519">
        <v>1</v>
      </c>
      <c r="R240" s="589"/>
      <c r="S240" s="1856"/>
      <c r="T240" s="1"/>
      <c r="U240" s="1"/>
      <c r="V240" s="1"/>
      <c r="W240" s="1"/>
      <c r="X240" s="1"/>
      <c r="Y240" s="1"/>
      <c r="Z240" s="1"/>
      <c r="AA240" s="1"/>
      <c r="AB240" s="1"/>
      <c r="AC240" s="1"/>
      <c r="AD240" s="1"/>
      <c r="AE240" s="1"/>
      <c r="AF240" s="1"/>
    </row>
    <row r="241" spans="1:32" s="1302" customFormat="1" ht="17.25" customHeight="1" x14ac:dyDescent="0.2">
      <c r="A241" s="1196"/>
      <c r="B241" s="1175"/>
      <c r="C241" s="189"/>
      <c r="D241" s="1461" t="s">
        <v>21</v>
      </c>
      <c r="E241" s="1461"/>
      <c r="F241" s="2624" t="s">
        <v>752</v>
      </c>
      <c r="G241" s="392"/>
      <c r="H241" s="316"/>
      <c r="I241" s="2178"/>
      <c r="J241" s="1408" t="s">
        <v>15</v>
      </c>
      <c r="K241" s="1411">
        <f>16-10</f>
        <v>6</v>
      </c>
      <c r="L241" s="327">
        <v>6</v>
      </c>
      <c r="M241" s="1737"/>
      <c r="N241" s="173"/>
      <c r="O241" s="2644" t="s">
        <v>223</v>
      </c>
      <c r="P241" s="2151">
        <v>2</v>
      </c>
      <c r="Q241" s="519">
        <v>4</v>
      </c>
      <c r="R241" s="17"/>
      <c r="S241" s="1082"/>
      <c r="T241" s="1301"/>
      <c r="U241" s="1301"/>
      <c r="V241" s="1301"/>
      <c r="W241" s="1301"/>
      <c r="X241" s="1301"/>
      <c r="Y241" s="1301"/>
      <c r="Z241" s="1301"/>
      <c r="AA241" s="1301"/>
      <c r="AB241" s="1301"/>
      <c r="AC241" s="1301"/>
      <c r="AD241" s="1301"/>
      <c r="AE241" s="1301"/>
      <c r="AF241" s="1301"/>
    </row>
    <row r="242" spans="1:32" s="1302" customFormat="1" ht="17.25" customHeight="1" x14ac:dyDescent="0.2">
      <c r="A242" s="1196"/>
      <c r="B242" s="1175"/>
      <c r="C242" s="189"/>
      <c r="D242" s="1461"/>
      <c r="E242" s="1461"/>
      <c r="F242" s="2625"/>
      <c r="G242" s="392"/>
      <c r="H242" s="316"/>
      <c r="I242" s="2178"/>
      <c r="J242" s="1408" t="s">
        <v>110</v>
      </c>
      <c r="K242" s="1411"/>
      <c r="L242" s="173">
        <v>6</v>
      </c>
      <c r="M242" s="1737"/>
      <c r="N242" s="173"/>
      <c r="O242" s="2645"/>
      <c r="P242" s="2152"/>
      <c r="Q242" s="511"/>
      <c r="R242" s="1395"/>
      <c r="S242" s="1084"/>
      <c r="T242" s="1301"/>
      <c r="U242" s="1301"/>
      <c r="V242" s="1301"/>
      <c r="W242" s="1301"/>
      <c r="X242" s="1301"/>
      <c r="Y242" s="1301"/>
      <c r="Z242" s="1301"/>
      <c r="AA242" s="1301"/>
      <c r="AB242" s="1301"/>
      <c r="AC242" s="1301"/>
      <c r="AD242" s="1301"/>
      <c r="AE242" s="1301"/>
      <c r="AF242" s="1301"/>
    </row>
    <row r="243" spans="1:32" s="1302" customFormat="1" ht="20.25" customHeight="1" x14ac:dyDescent="0.2">
      <c r="A243" s="1196"/>
      <c r="B243" s="1175"/>
      <c r="C243" s="189"/>
      <c r="D243" s="1461"/>
      <c r="E243" s="1461"/>
      <c r="F243" s="2625"/>
      <c r="G243" s="392"/>
      <c r="H243" s="316"/>
      <c r="I243" s="2178"/>
      <c r="J243" s="187" t="s">
        <v>15</v>
      </c>
      <c r="K243" s="1412"/>
      <c r="L243" s="1079">
        <v>0.2</v>
      </c>
      <c r="M243" s="2155">
        <v>7.1</v>
      </c>
      <c r="N243" s="94"/>
      <c r="O243" s="2279" t="s">
        <v>376</v>
      </c>
      <c r="P243" s="1725"/>
      <c r="Q243" s="1719">
        <v>2</v>
      </c>
      <c r="R243" s="1720">
        <v>2</v>
      </c>
      <c r="S243" s="2182"/>
      <c r="T243" s="1301"/>
      <c r="U243" s="1301"/>
      <c r="V243" s="1301"/>
      <c r="W243" s="1301"/>
      <c r="X243" s="1301"/>
      <c r="Y243" s="1301"/>
      <c r="Z243" s="1301"/>
      <c r="AA243" s="1301"/>
      <c r="AB243" s="1301"/>
      <c r="AC243" s="1301"/>
      <c r="AD243" s="1301"/>
      <c r="AE243" s="1301"/>
      <c r="AF243" s="1301"/>
    </row>
    <row r="244" spans="1:32" s="1302" customFormat="1" ht="20.25" customHeight="1" x14ac:dyDescent="0.2">
      <c r="A244" s="1196"/>
      <c r="B244" s="1175"/>
      <c r="C244" s="189"/>
      <c r="D244" s="1461"/>
      <c r="E244" s="1461"/>
      <c r="F244" s="2625"/>
      <c r="G244" s="392"/>
      <c r="H244" s="316"/>
      <c r="I244" s="2178"/>
      <c r="J244" s="1408" t="s">
        <v>15</v>
      </c>
      <c r="K244" s="1411"/>
      <c r="L244" s="1079">
        <v>29</v>
      </c>
      <c r="M244" s="2155">
        <v>25.8</v>
      </c>
      <c r="N244" s="173"/>
      <c r="O244" s="2279"/>
      <c r="P244" s="592"/>
      <c r="Q244" s="21"/>
      <c r="R244" s="589"/>
      <c r="S244" s="2182"/>
      <c r="T244" s="1301"/>
      <c r="U244" s="1301"/>
      <c r="V244" s="1301"/>
      <c r="W244" s="1301"/>
      <c r="X244" s="1301"/>
      <c r="Y244" s="1301"/>
      <c r="Z244" s="1301"/>
      <c r="AA244" s="1301"/>
      <c r="AB244" s="1301"/>
      <c r="AC244" s="1301"/>
      <c r="AD244" s="1301"/>
      <c r="AE244" s="1301"/>
      <c r="AF244" s="1301"/>
    </row>
    <row r="245" spans="1:32" ht="42.75" customHeight="1" x14ac:dyDescent="0.2">
      <c r="A245" s="1196"/>
      <c r="B245" s="1175"/>
      <c r="C245" s="189"/>
      <c r="D245" s="1461"/>
      <c r="E245" s="1461"/>
      <c r="F245" s="2146"/>
      <c r="G245" s="391"/>
      <c r="H245" s="316"/>
      <c r="I245" s="2178"/>
      <c r="J245" s="1404" t="s">
        <v>3</v>
      </c>
      <c r="K245" s="1413">
        <v>324</v>
      </c>
      <c r="L245" s="1079">
        <v>143</v>
      </c>
      <c r="M245" s="2155">
        <v>127.7</v>
      </c>
      <c r="N245" s="173"/>
      <c r="O245" s="515" t="s">
        <v>747</v>
      </c>
      <c r="P245" s="41"/>
      <c r="Q245" s="502">
        <v>2</v>
      </c>
      <c r="R245" s="1392">
        <v>2</v>
      </c>
      <c r="S245" s="1304"/>
    </row>
    <row r="246" spans="1:32" ht="27" customHeight="1" x14ac:dyDescent="0.2">
      <c r="A246" s="1196"/>
      <c r="B246" s="1179"/>
      <c r="C246" s="189"/>
      <c r="D246" s="1484" t="s">
        <v>22</v>
      </c>
      <c r="E246" s="1484"/>
      <c r="F246" s="2624" t="s">
        <v>738</v>
      </c>
      <c r="G246" s="392"/>
      <c r="H246" s="2640">
        <v>6</v>
      </c>
      <c r="I246" s="2642" t="s">
        <v>360</v>
      </c>
      <c r="J246" s="1739" t="s">
        <v>15</v>
      </c>
      <c r="K246" s="1414">
        <v>23.5</v>
      </c>
      <c r="L246" s="1740"/>
      <c r="M246" s="2154"/>
      <c r="N246" s="1738"/>
      <c r="O246" s="2644" t="s">
        <v>56</v>
      </c>
      <c r="P246" s="2646">
        <v>1</v>
      </c>
      <c r="Q246" s="519"/>
      <c r="R246" s="17"/>
      <c r="S246" s="1082"/>
    </row>
    <row r="247" spans="1:32" ht="27" customHeight="1" x14ac:dyDescent="0.2">
      <c r="A247" s="1196"/>
      <c r="B247" s="1305"/>
      <c r="C247" s="191"/>
      <c r="D247" s="1462"/>
      <c r="E247" s="1462"/>
      <c r="F247" s="2625"/>
      <c r="G247" s="392"/>
      <c r="H247" s="2641"/>
      <c r="I247" s="2643"/>
      <c r="J247" s="1739" t="s">
        <v>110</v>
      </c>
      <c r="K247" s="1414"/>
      <c r="L247" s="1740">
        <v>5</v>
      </c>
      <c r="M247" s="2154"/>
      <c r="N247" s="1738"/>
      <c r="O247" s="2645"/>
      <c r="P247" s="2647"/>
      <c r="Q247" s="504"/>
      <c r="R247" s="1395"/>
      <c r="S247" s="2182"/>
    </row>
    <row r="248" spans="1:32" ht="30" customHeight="1" x14ac:dyDescent="0.2">
      <c r="A248" s="1196"/>
      <c r="B248" s="1305"/>
      <c r="C248" s="191"/>
      <c r="D248" s="1462"/>
      <c r="E248" s="1462"/>
      <c r="F248" s="2625"/>
      <c r="G248" s="392"/>
      <c r="H248" s="2148">
        <v>5</v>
      </c>
      <c r="I248" s="2642" t="s">
        <v>366</v>
      </c>
      <c r="J248" s="1408" t="s">
        <v>15</v>
      </c>
      <c r="K248" s="1741"/>
      <c r="L248" s="327">
        <v>237.1</v>
      </c>
      <c r="M248" s="1737">
        <v>692.9</v>
      </c>
      <c r="N248" s="1399"/>
      <c r="O248" s="2722" t="s">
        <v>377</v>
      </c>
      <c r="P248" s="2151"/>
      <c r="Q248" s="519">
        <v>30</v>
      </c>
      <c r="R248" s="138">
        <v>100</v>
      </c>
      <c r="S248" s="79"/>
    </row>
    <row r="249" spans="1:32" ht="14.25" customHeight="1" thickBot="1" x14ac:dyDescent="0.25">
      <c r="A249" s="1196"/>
      <c r="B249" s="1305"/>
      <c r="C249" s="191"/>
      <c r="D249" s="1462"/>
      <c r="E249" s="1462"/>
      <c r="F249" s="2636"/>
      <c r="G249" s="393"/>
      <c r="H249" s="1300"/>
      <c r="I249" s="2659"/>
      <c r="J249" s="16" t="s">
        <v>16</v>
      </c>
      <c r="K249" s="429">
        <f>SUM(K236:K248)</f>
        <v>2566.2999999999997</v>
      </c>
      <c r="L249" s="165">
        <f>SUM(L236:L248)</f>
        <v>2630.1</v>
      </c>
      <c r="M249" s="249">
        <f>SUM(M236:M248)</f>
        <v>3003.4</v>
      </c>
      <c r="N249" s="840">
        <f t="shared" ref="N249" si="11">SUM(N236:N248)</f>
        <v>2119.9</v>
      </c>
      <c r="O249" s="2280"/>
      <c r="P249" s="1726"/>
      <c r="Q249" s="492"/>
      <c r="R249" s="1130"/>
      <c r="S249" s="1282"/>
    </row>
    <row r="250" spans="1:32" s="1307" customFormat="1" ht="14.25" customHeight="1" thickBot="1" x14ac:dyDescent="0.25">
      <c r="A250" s="1306" t="s">
        <v>17</v>
      </c>
      <c r="B250" s="1285" t="s">
        <v>21</v>
      </c>
      <c r="C250" s="2590" t="s">
        <v>20</v>
      </c>
      <c r="D250" s="2591"/>
      <c r="E250" s="2591"/>
      <c r="F250" s="2591"/>
      <c r="G250" s="2591"/>
      <c r="H250" s="2591"/>
      <c r="I250" s="2591"/>
      <c r="J250" s="2592"/>
      <c r="K250" s="1662">
        <f>+K228+K233+K249+K231</f>
        <v>4938.2</v>
      </c>
      <c r="L250" s="1605">
        <f>+L228+L233+L249+L231</f>
        <v>4950.0000000000009</v>
      </c>
      <c r="M250" s="1607">
        <f>+M228+M233+M249+M231</f>
        <v>4939.3</v>
      </c>
      <c r="N250" s="1643">
        <f>+N228+N233+N249+N231</f>
        <v>4017.8</v>
      </c>
      <c r="O250" s="1241"/>
      <c r="P250" s="1242"/>
      <c r="Q250" s="1405"/>
      <c r="R250" s="1405"/>
      <c r="S250" s="1406"/>
    </row>
    <row r="251" spans="1:32" s="1142" customFormat="1" ht="14.25" customHeight="1" thickBot="1" x14ac:dyDescent="0.25">
      <c r="A251" s="1306" t="s">
        <v>17</v>
      </c>
      <c r="B251" s="2593" t="s">
        <v>6</v>
      </c>
      <c r="C251" s="2594"/>
      <c r="D251" s="2594"/>
      <c r="E251" s="2594"/>
      <c r="F251" s="2594"/>
      <c r="G251" s="2594"/>
      <c r="H251" s="2594"/>
      <c r="I251" s="2594"/>
      <c r="J251" s="2595"/>
      <c r="K251" s="1663">
        <f>K250+K208+K185</f>
        <v>9066.7000000000007</v>
      </c>
      <c r="L251" s="1664">
        <f>L250+L208+L185</f>
        <v>12079.500000000002</v>
      </c>
      <c r="M251" s="1665">
        <f>M250+M208+M185</f>
        <v>14442</v>
      </c>
      <c r="N251" s="1666">
        <f>N250+N208+N185</f>
        <v>12986.8</v>
      </c>
      <c r="O251" s="1244"/>
      <c r="P251" s="1138"/>
      <c r="Q251" s="1138"/>
      <c r="R251" s="1138"/>
      <c r="S251" s="1139"/>
      <c r="V251" s="1145"/>
      <c r="X251" s="1145"/>
    </row>
    <row r="252" spans="1:32" s="1142" customFormat="1" ht="14.25" customHeight="1" thickBot="1" x14ac:dyDescent="0.25">
      <c r="A252" s="1308" t="s">
        <v>5</v>
      </c>
      <c r="B252" s="2637" t="s">
        <v>7</v>
      </c>
      <c r="C252" s="2254"/>
      <c r="D252" s="2254"/>
      <c r="E252" s="2254"/>
      <c r="F252" s="2254"/>
      <c r="G252" s="2254"/>
      <c r="H252" s="2254"/>
      <c r="I252" s="2254"/>
      <c r="J252" s="2734"/>
      <c r="K252" s="1667">
        <f>K251+K110</f>
        <v>83448.800000000003</v>
      </c>
      <c r="L252" s="1668">
        <f>L251+L110</f>
        <v>91154.1</v>
      </c>
      <c r="M252" s="1669">
        <f>M251+M110</f>
        <v>94042.7</v>
      </c>
      <c r="N252" s="1670">
        <f>N251+N110</f>
        <v>92171.200000000012</v>
      </c>
      <c r="O252" s="1309"/>
      <c r="P252" s="1310"/>
      <c r="Q252" s="1310"/>
      <c r="R252" s="1310"/>
      <c r="S252" s="1311"/>
    </row>
    <row r="253" spans="1:32" s="1142" customFormat="1" ht="23.25" customHeight="1" thickBot="1" x14ac:dyDescent="0.25">
      <c r="A253" s="2738" t="s">
        <v>0</v>
      </c>
      <c r="B253" s="2738"/>
      <c r="C253" s="2738"/>
      <c r="D253" s="2738"/>
      <c r="E253" s="2738"/>
      <c r="F253" s="2738"/>
      <c r="G253" s="2738"/>
      <c r="H253" s="2738"/>
      <c r="I253" s="2738"/>
      <c r="J253" s="2738"/>
      <c r="K253" s="2738"/>
      <c r="L253" s="2738"/>
      <c r="M253" s="2738"/>
      <c r="N253" s="2738"/>
      <c r="O253" s="2738"/>
      <c r="P253" s="2738"/>
      <c r="Q253" s="2738"/>
      <c r="R253" s="2738"/>
      <c r="S253" s="2738"/>
    </row>
    <row r="254" spans="1:32" s="1142" customFormat="1" ht="59.25" customHeight="1" thickBot="1" x14ac:dyDescent="0.25">
      <c r="A254" s="2258" t="s">
        <v>1</v>
      </c>
      <c r="B254" s="2259"/>
      <c r="C254" s="2259"/>
      <c r="D254" s="2259"/>
      <c r="E254" s="2259"/>
      <c r="F254" s="2259"/>
      <c r="G254" s="2259"/>
      <c r="H254" s="2259"/>
      <c r="I254" s="2259"/>
      <c r="J254" s="2638"/>
      <c r="K254" s="1126" t="s">
        <v>123</v>
      </c>
      <c r="L254" s="1127" t="s">
        <v>819</v>
      </c>
      <c r="M254" s="1442" t="s">
        <v>126</v>
      </c>
      <c r="N254" s="1440" t="s">
        <v>379</v>
      </c>
      <c r="O254" s="203"/>
      <c r="P254" s="203"/>
      <c r="Q254" s="1140"/>
      <c r="R254" s="1140"/>
      <c r="S254" s="1140"/>
      <c r="W254" s="1145"/>
    </row>
    <row r="255" spans="1:32" s="1142" customFormat="1" ht="13.5" customHeight="1" x14ac:dyDescent="0.2">
      <c r="A255" s="2260" t="s">
        <v>24</v>
      </c>
      <c r="B255" s="2261"/>
      <c r="C255" s="2261"/>
      <c r="D255" s="2261"/>
      <c r="E255" s="2261"/>
      <c r="F255" s="2261"/>
      <c r="G255" s="2261"/>
      <c r="H255" s="2261"/>
      <c r="I255" s="2261"/>
      <c r="J255" s="2639"/>
      <c r="K255" s="1128">
        <f>SUM(K256:K263)</f>
        <v>82742.400000000009</v>
      </c>
      <c r="L255" s="1439">
        <f t="shared" ref="L255:N255" si="12">SUM(L256:L263)</f>
        <v>90497.900000000009</v>
      </c>
      <c r="M255" s="1443">
        <f t="shared" si="12"/>
        <v>93404.9</v>
      </c>
      <c r="N255" s="1441">
        <f t="shared" si="12"/>
        <v>92171.199999999997</v>
      </c>
      <c r="O255" s="203"/>
      <c r="P255" s="203"/>
      <c r="Q255" s="1140"/>
      <c r="R255" s="1140"/>
      <c r="S255" s="1140"/>
    </row>
    <row r="256" spans="1:32" s="1142" customFormat="1" ht="14.25" customHeight="1" x14ac:dyDescent="0.2">
      <c r="A256" s="2241" t="s">
        <v>27</v>
      </c>
      <c r="B256" s="2242"/>
      <c r="C256" s="2242"/>
      <c r="D256" s="2242"/>
      <c r="E256" s="2242"/>
      <c r="F256" s="2242"/>
      <c r="G256" s="2242"/>
      <c r="H256" s="2242"/>
      <c r="I256" s="2242"/>
      <c r="J256" s="2243"/>
      <c r="K256" s="1671">
        <f>SUMIF(J13:J248,"sb",K13:K248)</f>
        <v>37289.299999999996</v>
      </c>
      <c r="L256" s="219">
        <f>SUMIF(J13:J248,"sb",L13:L248)</f>
        <v>38884.100000000006</v>
      </c>
      <c r="M256" s="268">
        <f>SUMIF(J13:J248,"sb",M13:M248)</f>
        <v>41997.299999999996</v>
      </c>
      <c r="N256" s="294">
        <f>SUMIF(J13:J248,"sb",N13:N248)</f>
        <v>40041.599999999999</v>
      </c>
      <c r="O256" s="369"/>
      <c r="P256" s="202"/>
      <c r="Q256" s="1140"/>
      <c r="R256" s="1140"/>
      <c r="S256" s="1140"/>
    </row>
    <row r="257" spans="1:27" s="1142" customFormat="1" ht="18" customHeight="1" x14ac:dyDescent="0.2">
      <c r="A257" s="2241" t="s">
        <v>111</v>
      </c>
      <c r="B257" s="2242"/>
      <c r="C257" s="2242"/>
      <c r="D257" s="2242"/>
      <c r="E257" s="2242"/>
      <c r="F257" s="2242"/>
      <c r="G257" s="2242"/>
      <c r="H257" s="2242"/>
      <c r="I257" s="2242"/>
      <c r="J257" s="2243"/>
      <c r="K257" s="444">
        <f>SUMIF(J13:J248,"sb(l)",K13:K248)</f>
        <v>637.9</v>
      </c>
      <c r="L257" s="444">
        <f>SUMIF(J13:J248,"sb(l)",L13:L248)</f>
        <v>603.69999999999993</v>
      </c>
      <c r="M257" s="366"/>
      <c r="N257" s="1560"/>
      <c r="O257" s="202"/>
      <c r="P257" s="202"/>
      <c r="Q257" s="1140"/>
      <c r="R257" s="1140"/>
      <c r="S257" s="1140"/>
    </row>
    <row r="258" spans="1:27" s="1142" customFormat="1" ht="15.75" customHeight="1" x14ac:dyDescent="0.2">
      <c r="A258" s="2241" t="s">
        <v>32</v>
      </c>
      <c r="B258" s="2242"/>
      <c r="C258" s="2242"/>
      <c r="D258" s="2242"/>
      <c r="E258" s="2242"/>
      <c r="F258" s="2242"/>
      <c r="G258" s="2242"/>
      <c r="H258" s="2242"/>
      <c r="I258" s="2242"/>
      <c r="J258" s="2243"/>
      <c r="K258" s="1671">
        <f>SUMIF(J13:J248,"sb(sp)",K13:K248)</f>
        <v>5540</v>
      </c>
      <c r="L258" s="219">
        <f>SUMIF(J13:J248,"sb(sp)",L13:L248)</f>
        <v>5544.9000000000005</v>
      </c>
      <c r="M258" s="268">
        <f>SUMIF(J13:J248,"sb(sp)",M13:M248)</f>
        <v>5544.9000000000005</v>
      </c>
      <c r="N258" s="294">
        <f>SUMIF(J13:J248,"sb(sp)",N13:N248)</f>
        <v>5544.9000000000005</v>
      </c>
      <c r="O258" s="202"/>
      <c r="P258" s="202"/>
      <c r="Q258" s="1140"/>
      <c r="R258" s="1140"/>
      <c r="S258" s="1140"/>
    </row>
    <row r="259" spans="1:27" s="1142" customFormat="1" ht="15.75" customHeight="1" x14ac:dyDescent="0.2">
      <c r="A259" s="2241" t="s">
        <v>269</v>
      </c>
      <c r="B259" s="2242"/>
      <c r="C259" s="2242"/>
      <c r="D259" s="2242"/>
      <c r="E259" s="2242"/>
      <c r="F259" s="2242"/>
      <c r="G259" s="2242"/>
      <c r="H259" s="2242"/>
      <c r="I259" s="2242"/>
      <c r="J259" s="2243"/>
      <c r="K259" s="1671">
        <f>SUMIF(J13:J248,"sb(p)",K13:K248)</f>
        <v>0</v>
      </c>
      <c r="L259" s="219">
        <f>SUMIF(J13:J248,"sb(p)",L13:L248)</f>
        <v>2900</v>
      </c>
      <c r="M259" s="268">
        <f>SUMIF(J13:J248,"sb(p)",M13:M248)</f>
        <v>2986.5</v>
      </c>
      <c r="N259" s="294">
        <f>SUMIF(J13:J248,"sb(p)",N13:N248)</f>
        <v>4900</v>
      </c>
      <c r="O259" s="202"/>
      <c r="P259" s="202"/>
      <c r="Q259" s="1140"/>
      <c r="R259" s="1140"/>
      <c r="S259" s="1140"/>
    </row>
    <row r="260" spans="1:27" s="1142" customFormat="1" ht="15.75" customHeight="1" x14ac:dyDescent="0.2">
      <c r="A260" s="2241" t="s">
        <v>71</v>
      </c>
      <c r="B260" s="2242"/>
      <c r="C260" s="2242"/>
      <c r="D260" s="2242"/>
      <c r="E260" s="2242"/>
      <c r="F260" s="2242"/>
      <c r="G260" s="2242"/>
      <c r="H260" s="2242"/>
      <c r="I260" s="2242"/>
      <c r="J260" s="2243"/>
      <c r="K260" s="1671">
        <f>SUMIF(J13:J248,"sb(spl)",K13:K248)</f>
        <v>593.70000000000005</v>
      </c>
      <c r="L260" s="219"/>
      <c r="M260" s="268"/>
      <c r="N260" s="294"/>
      <c r="O260" s="202"/>
      <c r="P260" s="202"/>
      <c r="Q260" s="1140"/>
      <c r="R260" s="1140"/>
      <c r="S260" s="1140"/>
    </row>
    <row r="261" spans="1:27" s="1142" customFormat="1" ht="15.75" customHeight="1" x14ac:dyDescent="0.2">
      <c r="A261" s="2241" t="s">
        <v>28</v>
      </c>
      <c r="B261" s="2242"/>
      <c r="C261" s="2242"/>
      <c r="D261" s="2242"/>
      <c r="E261" s="2242"/>
      <c r="F261" s="2242"/>
      <c r="G261" s="2242"/>
      <c r="H261" s="2242"/>
      <c r="I261" s="2242"/>
      <c r="J261" s="2243"/>
      <c r="K261" s="1672">
        <f>SUMIF(J13:J248,"sb(vb)",K13:K248)</f>
        <v>37946.600000000006</v>
      </c>
      <c r="L261" s="220">
        <f>SUMIF(J13:J248,"sb(vb)",L13:L248)</f>
        <v>40730.400000000001</v>
      </c>
      <c r="M261" s="269">
        <f>SUMIF(J13:J248,"sb(vb)",M13:M248)</f>
        <v>40920.699999999997</v>
      </c>
      <c r="N261" s="351">
        <f>SUMIF(J13:J248,"sb(vb)",N13:N248)</f>
        <v>41031.5</v>
      </c>
      <c r="O261" s="202"/>
      <c r="P261" s="202"/>
      <c r="Q261" s="1140"/>
      <c r="R261" s="1140"/>
      <c r="S261" s="1140"/>
    </row>
    <row r="262" spans="1:27" ht="30" customHeight="1" x14ac:dyDescent="0.2">
      <c r="A262" s="2241" t="s">
        <v>227</v>
      </c>
      <c r="B262" s="2242"/>
      <c r="C262" s="2242"/>
      <c r="D262" s="2242"/>
      <c r="E262" s="2242"/>
      <c r="F262" s="2242"/>
      <c r="G262" s="2242"/>
      <c r="H262" s="2242"/>
      <c r="I262" s="2242"/>
      <c r="J262" s="2243"/>
      <c r="K262" s="462">
        <f>SUMIF(J13:J248,"sb(esa)",K13:K248)</f>
        <v>43.3</v>
      </c>
      <c r="L262" s="462">
        <f>SUMIF(J13:J249,"sb(esa)",L13:L249)</f>
        <v>43.3</v>
      </c>
      <c r="M262" s="616">
        <f>SUMIF(J13:J249,"sb(esa)",M13:M249)</f>
        <v>7.7</v>
      </c>
      <c r="N262" s="1673">
        <f>SUMIF(J13:J249,"sb(esa)",N13:N249)</f>
        <v>0</v>
      </c>
      <c r="O262" s="202"/>
      <c r="P262" s="202"/>
      <c r="Q262" s="1140"/>
      <c r="R262" s="1140"/>
      <c r="S262" s="1140"/>
      <c r="T262" s="1142"/>
      <c r="U262" s="1142"/>
      <c r="V262" s="1142"/>
      <c r="W262" s="1142"/>
      <c r="X262" s="1142"/>
      <c r="Y262" s="1142"/>
      <c r="Z262" s="1142"/>
      <c r="AA262" s="1142"/>
    </row>
    <row r="263" spans="1:27" ht="19.5" customHeight="1" thickBot="1" x14ac:dyDescent="0.25">
      <c r="A263" s="2250" t="s">
        <v>114</v>
      </c>
      <c r="B263" s="2251"/>
      <c r="C263" s="2251"/>
      <c r="D263" s="2251"/>
      <c r="E263" s="2251"/>
      <c r="F263" s="2251"/>
      <c r="G263" s="2251"/>
      <c r="H263" s="2251"/>
      <c r="I263" s="2251"/>
      <c r="J263" s="2252"/>
      <c r="K263" s="1674">
        <f>SUMIF(J13:J248,"sb(es)",K13:K248)</f>
        <v>691.6</v>
      </c>
      <c r="L263" s="222">
        <f>SUMIF(J13:J249,"sb(es)",L13:L249)</f>
        <v>1791.5000000000002</v>
      </c>
      <c r="M263" s="270">
        <f>SUMIF(J13:J249,"sb(es)",M13:M249)</f>
        <v>1947.8</v>
      </c>
      <c r="N263" s="354">
        <f>SUMIF(J13:J249,"sb(es)",N13:N249)</f>
        <v>653.20000000000005</v>
      </c>
      <c r="O263" s="202"/>
      <c r="P263" s="202"/>
      <c r="Q263" s="1140"/>
      <c r="R263" s="1140"/>
      <c r="S263" s="1140"/>
      <c r="T263" s="1142"/>
      <c r="U263" s="1142"/>
      <c r="V263" s="1142"/>
      <c r="W263" s="1142"/>
      <c r="X263" s="1142"/>
      <c r="Y263" s="1142"/>
      <c r="Z263" s="1142"/>
      <c r="AA263" s="1142"/>
    </row>
    <row r="264" spans="1:27" ht="17.25" customHeight="1" thickBot="1" x14ac:dyDescent="0.25">
      <c r="A264" s="2253" t="s">
        <v>25</v>
      </c>
      <c r="B264" s="2254"/>
      <c r="C264" s="2254"/>
      <c r="D264" s="2254"/>
      <c r="E264" s="2254"/>
      <c r="F264" s="2254"/>
      <c r="G264" s="2254"/>
      <c r="H264" s="2254"/>
      <c r="I264" s="2254"/>
      <c r="J264" s="2634"/>
      <c r="K264" s="1675">
        <f>SUM(K265:K266)</f>
        <v>706.4</v>
      </c>
      <c r="L264" s="583">
        <f>SUM(L265:L266)</f>
        <v>656.2</v>
      </c>
      <c r="M264" s="584">
        <f>SUM(M265:M266)</f>
        <v>637.79999999999995</v>
      </c>
      <c r="N264" s="1676">
        <f>SUM(N265:N266)</f>
        <v>0</v>
      </c>
      <c r="O264" s="203"/>
      <c r="P264" s="203"/>
      <c r="Q264" s="1140"/>
      <c r="R264" s="1140"/>
      <c r="S264" s="1140"/>
      <c r="T264" s="1142"/>
      <c r="U264" s="1142"/>
      <c r="V264" s="1142"/>
      <c r="W264" s="1142"/>
      <c r="X264" s="1142"/>
      <c r="Z264" s="1142"/>
      <c r="AA264" s="1142"/>
    </row>
    <row r="265" spans="1:27" ht="15" customHeight="1" x14ac:dyDescent="0.2">
      <c r="A265" s="2735" t="s">
        <v>29</v>
      </c>
      <c r="B265" s="2736"/>
      <c r="C265" s="2736"/>
      <c r="D265" s="2736"/>
      <c r="E265" s="2736"/>
      <c r="F265" s="2736"/>
      <c r="G265" s="2736"/>
      <c r="H265" s="2736"/>
      <c r="I265" s="2736"/>
      <c r="J265" s="2737"/>
      <c r="K265" s="356">
        <f>SUMIF(J13:J248,"es",K13:K248)</f>
        <v>297.5</v>
      </c>
      <c r="L265" s="221">
        <f>SUMIF(J13:J248,"es",L13:L248)</f>
        <v>509.4</v>
      </c>
      <c r="M265" s="652">
        <f>SUMIF(J13:J248,"es",M13:M248)</f>
        <v>509.4</v>
      </c>
      <c r="N265" s="353"/>
      <c r="O265" s="202"/>
      <c r="P265" s="202"/>
      <c r="Q265" s="1140"/>
      <c r="R265" s="1140"/>
      <c r="S265" s="1140"/>
    </row>
    <row r="266" spans="1:27" ht="15" customHeight="1" thickBot="1" x14ac:dyDescent="0.25">
      <c r="A266" s="2629" t="s">
        <v>118</v>
      </c>
      <c r="B266" s="2630"/>
      <c r="C266" s="2630"/>
      <c r="D266" s="2630"/>
      <c r="E266" s="2630"/>
      <c r="F266" s="2630"/>
      <c r="G266" s="2630"/>
      <c r="H266" s="2630"/>
      <c r="I266" s="2630"/>
      <c r="J266" s="2631"/>
      <c r="K266" s="221">
        <f>SUMIF(J13:J248,"lrvb",K13:K248)</f>
        <v>408.9</v>
      </c>
      <c r="L266" s="221">
        <f>SUMIF(J13:J248,"lrvb",L13:L248)</f>
        <v>146.80000000000001</v>
      </c>
      <c r="M266" s="307">
        <f>SUMIF(J13:J248,"lrvb",M13:M248)</f>
        <v>128.4</v>
      </c>
      <c r="N266" s="353"/>
      <c r="O266" s="202"/>
      <c r="P266" s="202"/>
      <c r="Q266" s="1140"/>
      <c r="R266" s="1140"/>
      <c r="S266" s="1140"/>
    </row>
    <row r="267" spans="1:27" ht="16.5" customHeight="1" thickBot="1" x14ac:dyDescent="0.25">
      <c r="A267" s="2238" t="s">
        <v>26</v>
      </c>
      <c r="B267" s="2239"/>
      <c r="C267" s="2239"/>
      <c r="D267" s="2239"/>
      <c r="E267" s="2239"/>
      <c r="F267" s="2239"/>
      <c r="G267" s="2239"/>
      <c r="H267" s="2239"/>
      <c r="I267" s="2239"/>
      <c r="J267" s="2632"/>
      <c r="K267" s="1677">
        <f>K264+K255</f>
        <v>83448.800000000003</v>
      </c>
      <c r="L267" s="223">
        <f t="shared" ref="L267:N267" si="13">L264+L255</f>
        <v>91154.1</v>
      </c>
      <c r="M267" s="271">
        <f t="shared" si="13"/>
        <v>94042.7</v>
      </c>
      <c r="N267" s="355">
        <f t="shared" si="13"/>
        <v>92171.199999999997</v>
      </c>
      <c r="O267" s="203"/>
      <c r="P267" s="203"/>
    </row>
    <row r="269" spans="1:27" x14ac:dyDescent="0.2">
      <c r="F269" s="1145"/>
      <c r="G269" s="2147"/>
      <c r="H269" s="2147"/>
      <c r="I269" s="1255"/>
      <c r="J269" s="1255"/>
      <c r="K269" s="1303"/>
      <c r="L269" s="1303"/>
      <c r="M269" s="1303"/>
      <c r="N269" s="1303"/>
    </row>
    <row r="270" spans="1:27" ht="12.75" customHeight="1" x14ac:dyDescent="0.2">
      <c r="A270" s="2633" t="s">
        <v>271</v>
      </c>
      <c r="B270" s="2633"/>
      <c r="C270" s="2633"/>
      <c r="D270" s="2633"/>
      <c r="E270" s="2633"/>
      <c r="F270" s="2633"/>
      <c r="G270" s="2633"/>
      <c r="H270" s="2633"/>
      <c r="I270" s="2633"/>
      <c r="J270" s="2633"/>
      <c r="K270" s="2633"/>
      <c r="L270" s="2633"/>
      <c r="M270" s="2633"/>
      <c r="N270" s="2633"/>
      <c r="O270" s="2633"/>
      <c r="P270" s="2633"/>
      <c r="Q270" s="2633"/>
      <c r="R270" s="2633"/>
      <c r="S270" s="2633"/>
    </row>
    <row r="271" spans="1:27" x14ac:dyDescent="0.2">
      <c r="F271" s="1145"/>
      <c r="G271" s="2147"/>
      <c r="H271" s="2147"/>
      <c r="I271" s="1255"/>
      <c r="J271" s="1255"/>
      <c r="K271" s="1303"/>
      <c r="L271" s="1303"/>
      <c r="M271" s="1303"/>
      <c r="N271" s="1303"/>
    </row>
    <row r="272" spans="1:27" x14ac:dyDescent="0.2">
      <c r="F272" s="1145"/>
      <c r="G272" s="2147"/>
      <c r="H272" s="2147"/>
      <c r="I272" s="1255"/>
      <c r="J272" s="1255"/>
      <c r="K272" s="1303"/>
      <c r="L272" s="1303"/>
      <c r="M272" s="1303"/>
      <c r="N272" s="1303"/>
    </row>
    <row r="273" spans="1:16" x14ac:dyDescent="0.2">
      <c r="F273" s="1145"/>
      <c r="G273" s="2147"/>
      <c r="H273" s="2147"/>
      <c r="I273" s="1255"/>
      <c r="J273" s="1255"/>
      <c r="K273" s="1303"/>
      <c r="L273" s="1303"/>
      <c r="M273" s="1303"/>
      <c r="N273" s="1303"/>
    </row>
    <row r="274" spans="1:16" x14ac:dyDescent="0.2">
      <c r="F274" s="1145"/>
      <c r="G274" s="2147"/>
      <c r="H274" s="2147"/>
      <c r="I274" s="1255"/>
      <c r="J274" s="1255"/>
      <c r="K274" s="1303"/>
      <c r="L274" s="1303"/>
      <c r="M274" s="1303"/>
      <c r="N274" s="1303"/>
    </row>
    <row r="275" spans="1:16" x14ac:dyDescent="0.2">
      <c r="F275" s="1145"/>
      <c r="G275" s="2147"/>
      <c r="H275" s="2147"/>
      <c r="I275" s="1255"/>
      <c r="J275" s="1255"/>
      <c r="K275" s="1303"/>
      <c r="L275" s="1303"/>
      <c r="M275" s="1303"/>
      <c r="N275" s="1303"/>
    </row>
    <row r="276" spans="1:16" x14ac:dyDescent="0.2">
      <c r="F276" s="1145"/>
      <c r="G276" s="2147"/>
      <c r="H276" s="2147"/>
      <c r="I276" s="1255"/>
      <c r="J276" s="1255"/>
      <c r="K276" s="1303"/>
      <c r="L276" s="1303"/>
      <c r="M276" s="1303"/>
      <c r="N276" s="1303"/>
    </row>
    <row r="277" spans="1:16" x14ac:dyDescent="0.2">
      <c r="F277" s="1145"/>
      <c r="G277" s="2147"/>
      <c r="H277" s="2147"/>
      <c r="I277" s="1255"/>
      <c r="J277" s="1255"/>
      <c r="K277" s="1303"/>
      <c r="L277" s="1303"/>
      <c r="M277" s="1303"/>
      <c r="N277" s="1303"/>
    </row>
    <row r="278" spans="1:16" x14ac:dyDescent="0.2">
      <c r="F278" s="1145"/>
      <c r="G278" s="2147"/>
      <c r="H278" s="2147"/>
      <c r="I278" s="1255"/>
      <c r="J278" s="1255"/>
      <c r="K278" s="1303"/>
      <c r="L278" s="1303"/>
      <c r="M278" s="1303"/>
      <c r="N278" s="1303"/>
    </row>
    <row r="279" spans="1:16" x14ac:dyDescent="0.2">
      <c r="F279" s="1145"/>
      <c r="G279" s="2147"/>
      <c r="H279" s="2147"/>
      <c r="I279" s="1255"/>
      <c r="J279" s="1255"/>
      <c r="K279" s="1303"/>
      <c r="L279" s="1303"/>
      <c r="M279" s="1303"/>
      <c r="N279" s="1303"/>
    </row>
    <row r="280" spans="1:16" x14ac:dyDescent="0.2">
      <c r="A280" s="1266"/>
      <c r="B280" s="1266"/>
      <c r="C280" s="1266"/>
      <c r="D280" s="1454"/>
      <c r="E280" s="1477"/>
      <c r="F280" s="1145"/>
      <c r="G280" s="2147"/>
      <c r="H280" s="2147"/>
      <c r="I280" s="1255"/>
      <c r="J280" s="1255"/>
      <c r="K280" s="1303"/>
      <c r="L280" s="1303"/>
      <c r="M280" s="1303"/>
      <c r="N280" s="1303"/>
      <c r="O280" s="1145"/>
      <c r="P280" s="2147"/>
    </row>
    <row r="281" spans="1:16" x14ac:dyDescent="0.2">
      <c r="A281" s="1266"/>
      <c r="B281" s="1266"/>
      <c r="C281" s="1266"/>
      <c r="D281" s="1454"/>
      <c r="E281" s="1477"/>
      <c r="F281" s="1145"/>
      <c r="G281" s="2147"/>
      <c r="H281" s="2147"/>
      <c r="I281" s="1255"/>
      <c r="J281" s="1255"/>
      <c r="K281" s="1303"/>
      <c r="L281" s="1303"/>
      <c r="M281" s="1303"/>
      <c r="N281" s="1303"/>
      <c r="O281" s="1145"/>
      <c r="P281" s="2147"/>
    </row>
    <row r="282" spans="1:16" x14ac:dyDescent="0.2">
      <c r="A282" s="1266"/>
      <c r="B282" s="1266"/>
      <c r="C282" s="1266"/>
      <c r="D282" s="1454"/>
      <c r="E282" s="1477"/>
      <c r="F282" s="1145"/>
      <c r="G282" s="2147"/>
      <c r="H282" s="2147"/>
      <c r="I282" s="1255"/>
      <c r="J282" s="1255"/>
      <c r="K282" s="1303"/>
      <c r="L282" s="1303"/>
      <c r="M282" s="1303"/>
      <c r="N282" s="1303"/>
      <c r="O282" s="1145"/>
      <c r="P282" s="2147"/>
    </row>
    <row r="283" spans="1:16" x14ac:dyDescent="0.2">
      <c r="A283" s="1266"/>
      <c r="B283" s="1266"/>
      <c r="C283" s="1266"/>
      <c r="D283" s="1454"/>
      <c r="E283" s="1477"/>
      <c r="F283" s="1145"/>
      <c r="G283" s="2147"/>
      <c r="H283" s="2147"/>
      <c r="I283" s="1255"/>
      <c r="J283" s="1255"/>
      <c r="K283" s="1303"/>
      <c r="L283" s="1303"/>
      <c r="M283" s="1303"/>
      <c r="N283" s="1303"/>
      <c r="O283" s="1145"/>
      <c r="P283" s="2147"/>
    </row>
    <row r="284" spans="1:16" x14ac:dyDescent="0.2">
      <c r="A284" s="1266"/>
      <c r="B284" s="1266"/>
      <c r="C284" s="1266"/>
      <c r="D284" s="1454"/>
      <c r="E284" s="1477"/>
      <c r="F284" s="1145"/>
      <c r="G284" s="2147"/>
      <c r="H284" s="2147"/>
      <c r="I284" s="1255"/>
      <c r="J284" s="1255"/>
      <c r="K284" s="1303"/>
      <c r="L284" s="1303"/>
      <c r="M284" s="1303"/>
      <c r="N284" s="1303"/>
      <c r="O284" s="1145"/>
      <c r="P284" s="2147"/>
    </row>
    <row r="285" spans="1:16" x14ac:dyDescent="0.2">
      <c r="A285" s="1266"/>
      <c r="B285" s="1266"/>
      <c r="C285" s="1266"/>
      <c r="D285" s="1454"/>
      <c r="E285" s="1477"/>
      <c r="F285" s="1145"/>
      <c r="G285" s="2147"/>
      <c r="H285" s="2147"/>
      <c r="I285" s="1255"/>
      <c r="J285" s="1255"/>
      <c r="K285" s="1303"/>
      <c r="L285" s="1303"/>
      <c r="M285" s="1303"/>
      <c r="N285" s="1303"/>
      <c r="O285" s="1145"/>
      <c r="P285" s="2147"/>
    </row>
    <row r="286" spans="1:16" x14ac:dyDescent="0.2">
      <c r="A286" s="1266"/>
      <c r="B286" s="1266"/>
      <c r="C286" s="1266"/>
      <c r="D286" s="1454"/>
      <c r="E286" s="1477"/>
      <c r="F286" s="1145"/>
      <c r="G286" s="2147"/>
      <c r="H286" s="2147"/>
      <c r="I286" s="1255"/>
      <c r="J286" s="1255"/>
      <c r="K286" s="1303"/>
      <c r="L286" s="1303"/>
      <c r="M286" s="1303"/>
      <c r="N286" s="1303"/>
      <c r="O286" s="1145"/>
      <c r="P286" s="2147"/>
    </row>
    <row r="287" spans="1:16" x14ac:dyDescent="0.2">
      <c r="A287" s="1266"/>
      <c r="B287" s="1266"/>
      <c r="C287" s="1266"/>
      <c r="D287" s="1454"/>
      <c r="E287" s="1477"/>
      <c r="F287" s="1145"/>
      <c r="G287" s="2147"/>
      <c r="H287" s="2147"/>
      <c r="I287" s="1255"/>
      <c r="J287" s="1255"/>
      <c r="K287" s="1303"/>
      <c r="L287" s="1303"/>
      <c r="M287" s="1303"/>
      <c r="N287" s="1303"/>
      <c r="O287" s="1145"/>
      <c r="P287" s="2147"/>
    </row>
    <row r="288" spans="1:16" x14ac:dyDescent="0.2">
      <c r="A288" s="1266"/>
      <c r="B288" s="1266"/>
      <c r="C288" s="1266"/>
      <c r="D288" s="1454"/>
      <c r="E288" s="1477"/>
      <c r="F288" s="1145"/>
      <c r="G288" s="2147"/>
      <c r="H288" s="2147"/>
      <c r="I288" s="1255"/>
      <c r="J288" s="1255"/>
      <c r="K288" s="1303"/>
      <c r="L288" s="1303"/>
      <c r="M288" s="1303"/>
      <c r="N288" s="1303"/>
      <c r="O288" s="1145"/>
      <c r="P288" s="2147"/>
    </row>
    <row r="289" spans="1:16" x14ac:dyDescent="0.2">
      <c r="A289" s="1266"/>
      <c r="B289" s="1266"/>
      <c r="C289" s="1266"/>
      <c r="D289" s="1454"/>
      <c r="E289" s="1477"/>
      <c r="F289" s="1145"/>
      <c r="G289" s="2147"/>
      <c r="H289" s="2147"/>
      <c r="I289" s="1255"/>
      <c r="J289" s="1255"/>
      <c r="K289" s="1303"/>
      <c r="L289" s="1303"/>
      <c r="M289" s="1303"/>
      <c r="N289" s="1303"/>
      <c r="O289" s="1145"/>
      <c r="P289" s="2147"/>
    </row>
    <row r="290" spans="1:16" x14ac:dyDescent="0.2">
      <c r="A290" s="1266"/>
      <c r="B290" s="1266"/>
      <c r="C290" s="1266"/>
      <c r="D290" s="1454"/>
      <c r="E290" s="1477"/>
      <c r="F290" s="1145"/>
      <c r="G290" s="2147"/>
      <c r="H290" s="2147"/>
      <c r="I290" s="1255"/>
      <c r="J290" s="1255"/>
      <c r="K290" s="1303"/>
      <c r="L290" s="1303"/>
      <c r="M290" s="1303"/>
      <c r="N290" s="1303"/>
      <c r="O290" s="1145"/>
      <c r="P290" s="2147"/>
    </row>
    <row r="291" spans="1:16" x14ac:dyDescent="0.2">
      <c r="A291" s="1266"/>
      <c r="B291" s="1266"/>
      <c r="C291" s="1266"/>
      <c r="D291" s="1454"/>
      <c r="E291" s="1477"/>
      <c r="F291" s="1145"/>
      <c r="G291" s="2147"/>
      <c r="H291" s="2147"/>
      <c r="I291" s="1255"/>
      <c r="J291" s="1255"/>
      <c r="K291" s="1303"/>
      <c r="L291" s="1303"/>
      <c r="M291" s="1303"/>
      <c r="N291" s="1303"/>
      <c r="O291" s="1145"/>
      <c r="P291" s="2147"/>
    </row>
    <row r="292" spans="1:16" x14ac:dyDescent="0.2">
      <c r="A292" s="1266"/>
      <c r="B292" s="1266"/>
      <c r="C292" s="1266"/>
      <c r="D292" s="1454"/>
      <c r="E292" s="1477"/>
      <c r="F292" s="1145"/>
      <c r="G292" s="2147"/>
      <c r="H292" s="2147"/>
      <c r="I292" s="1255"/>
      <c r="J292" s="1255"/>
      <c r="K292" s="1303"/>
      <c r="L292" s="1303"/>
      <c r="M292" s="1303"/>
      <c r="N292" s="1303"/>
      <c r="O292" s="1145"/>
      <c r="P292" s="2147"/>
    </row>
  </sheetData>
  <mergeCells count="214">
    <mergeCell ref="A257:J257"/>
    <mergeCell ref="J179:J180"/>
    <mergeCell ref="F187:F188"/>
    <mergeCell ref="I189:I190"/>
    <mergeCell ref="F176:F177"/>
    <mergeCell ref="I176:I178"/>
    <mergeCell ref="C185:J185"/>
    <mergeCell ref="C186:S186"/>
    <mergeCell ref="A267:J267"/>
    <mergeCell ref="C250:J250"/>
    <mergeCell ref="B251:J251"/>
    <mergeCell ref="B252:J252"/>
    <mergeCell ref="A258:J258"/>
    <mergeCell ref="A259:J259"/>
    <mergeCell ref="A260:J260"/>
    <mergeCell ref="A261:J261"/>
    <mergeCell ref="A262:J262"/>
    <mergeCell ref="A263:J263"/>
    <mergeCell ref="A264:J264"/>
    <mergeCell ref="A265:J265"/>
    <mergeCell ref="A266:J266"/>
    <mergeCell ref="A253:S253"/>
    <mergeCell ref="A254:J254"/>
    <mergeCell ref="A255:J255"/>
    <mergeCell ref="A256:J256"/>
    <mergeCell ref="O248:O249"/>
    <mergeCell ref="O241:O242"/>
    <mergeCell ref="I248:I249"/>
    <mergeCell ref="M192:M193"/>
    <mergeCell ref="N192:N193"/>
    <mergeCell ref="F203:F204"/>
    <mergeCell ref="F206:F207"/>
    <mergeCell ref="C208:J208"/>
    <mergeCell ref="C209:S209"/>
    <mergeCell ref="F197:F198"/>
    <mergeCell ref="L200:L201"/>
    <mergeCell ref="F200:F201"/>
    <mergeCell ref="F225:F226"/>
    <mergeCell ref="F227:F228"/>
    <mergeCell ref="F210:F211"/>
    <mergeCell ref="I210:I212"/>
    <mergeCell ref="F192:F193"/>
    <mergeCell ref="J192:J193"/>
    <mergeCell ref="F232:F233"/>
    <mergeCell ref="I196:I198"/>
    <mergeCell ref="I232:I233"/>
    <mergeCell ref="F246:F249"/>
    <mergeCell ref="G225:G226"/>
    <mergeCell ref="O1:S1"/>
    <mergeCell ref="G69:G70"/>
    <mergeCell ref="G151:J151"/>
    <mergeCell ref="F152:F153"/>
    <mergeCell ref="F156:F158"/>
    <mergeCell ref="G165:J165"/>
    <mergeCell ref="G174:J174"/>
    <mergeCell ref="F166:F167"/>
    <mergeCell ref="F168:F170"/>
    <mergeCell ref="O172:O174"/>
    <mergeCell ref="F171:F172"/>
    <mergeCell ref="I141:I142"/>
    <mergeCell ref="F145:F146"/>
    <mergeCell ref="F69:F70"/>
    <mergeCell ref="F79:F80"/>
    <mergeCell ref="F93:F94"/>
    <mergeCell ref="I171:I172"/>
    <mergeCell ref="I152:I153"/>
    <mergeCell ref="I159:I160"/>
    <mergeCell ref="I166:I167"/>
    <mergeCell ref="I168:I169"/>
    <mergeCell ref="A9:S9"/>
    <mergeCell ref="A10:S10"/>
    <mergeCell ref="B11:S11"/>
    <mergeCell ref="X174:X175"/>
    <mergeCell ref="F107:F108"/>
    <mergeCell ref="C109:J109"/>
    <mergeCell ref="F129:F131"/>
    <mergeCell ref="B110:J110"/>
    <mergeCell ref="B111:S111"/>
    <mergeCell ref="I116:I118"/>
    <mergeCell ref="F119:F122"/>
    <mergeCell ref="O119:O120"/>
    <mergeCell ref="O121:O122"/>
    <mergeCell ref="O123:O124"/>
    <mergeCell ref="F123:F125"/>
    <mergeCell ref="F132:F134"/>
    <mergeCell ref="F126:F128"/>
    <mergeCell ref="F116:F118"/>
    <mergeCell ref="B113:B115"/>
    <mergeCell ref="C113:C115"/>
    <mergeCell ref="F160:F161"/>
    <mergeCell ref="F113:F115"/>
    <mergeCell ref="G113:G115"/>
    <mergeCell ref="O162:O163"/>
    <mergeCell ref="F162:F163"/>
    <mergeCell ref="C112:S112"/>
    <mergeCell ref="X165:X166"/>
    <mergeCell ref="C12:S12"/>
    <mergeCell ref="F24:F28"/>
    <mergeCell ref="F31:F32"/>
    <mergeCell ref="O33:O34"/>
    <mergeCell ref="O86:O87"/>
    <mergeCell ref="S86:S87"/>
    <mergeCell ref="F33:F34"/>
    <mergeCell ref="F14:F17"/>
    <mergeCell ref="F18:F20"/>
    <mergeCell ref="F21:F23"/>
    <mergeCell ref="F35:F36"/>
    <mergeCell ref="G83:J83"/>
    <mergeCell ref="F29:F30"/>
    <mergeCell ref="A2:S2"/>
    <mergeCell ref="A3:S3"/>
    <mergeCell ref="A4:S4"/>
    <mergeCell ref="A6:A8"/>
    <mergeCell ref="B6:B8"/>
    <mergeCell ref="C6:C8"/>
    <mergeCell ref="F6:F8"/>
    <mergeCell ref="G6:G8"/>
    <mergeCell ref="H6:H8"/>
    <mergeCell ref="N6:N8"/>
    <mergeCell ref="O6:S6"/>
    <mergeCell ref="K6:K8"/>
    <mergeCell ref="J6:J8"/>
    <mergeCell ref="L6:L8"/>
    <mergeCell ref="R5:S5"/>
    <mergeCell ref="M6:M8"/>
    <mergeCell ref="P7:S7"/>
    <mergeCell ref="D6:D8"/>
    <mergeCell ref="E6:E8"/>
    <mergeCell ref="I6:I8"/>
    <mergeCell ref="O7:O8"/>
    <mergeCell ref="A270:S270"/>
    <mergeCell ref="I135:I137"/>
    <mergeCell ref="T129:U129"/>
    <mergeCell ref="I123:I125"/>
    <mergeCell ref="F66:F67"/>
    <mergeCell ref="I97:I98"/>
    <mergeCell ref="O113:O115"/>
    <mergeCell ref="P236:P237"/>
    <mergeCell ref="Q236:Q237"/>
    <mergeCell ref="R236:R237"/>
    <mergeCell ref="S236:S237"/>
    <mergeCell ref="Q86:Q87"/>
    <mergeCell ref="R86:R87"/>
    <mergeCell ref="L86:L87"/>
    <mergeCell ref="F105:F106"/>
    <mergeCell ref="F103:F104"/>
    <mergeCell ref="I95:I96"/>
    <mergeCell ref="F97:F98"/>
    <mergeCell ref="F234:F235"/>
    <mergeCell ref="I234:I238"/>
    <mergeCell ref="O236:O237"/>
    <mergeCell ref="S101:S102"/>
    <mergeCell ref="O100:O102"/>
    <mergeCell ref="F99:F101"/>
    <mergeCell ref="F90:F91"/>
    <mergeCell ref="H194:H195"/>
    <mergeCell ref="I194:I195"/>
    <mergeCell ref="F194:F195"/>
    <mergeCell ref="W38:W40"/>
    <mergeCell ref="F135:F136"/>
    <mergeCell ref="V38:V40"/>
    <mergeCell ref="T123:U123"/>
    <mergeCell ref="U38:U40"/>
    <mergeCell ref="F48:F50"/>
    <mergeCell ref="F45:F47"/>
    <mergeCell ref="F37:F44"/>
    <mergeCell ref="F57:F58"/>
    <mergeCell ref="F51:F53"/>
    <mergeCell ref="F59:F61"/>
    <mergeCell ref="I107:I108"/>
    <mergeCell ref="I105:I106"/>
    <mergeCell ref="I103:I104"/>
    <mergeCell ref="K179:K180"/>
    <mergeCell ref="L179:L180"/>
    <mergeCell ref="F137:F138"/>
    <mergeCell ref="F139:F140"/>
    <mergeCell ref="F147:F148"/>
    <mergeCell ref="F143:F144"/>
    <mergeCell ref="A113:A115"/>
    <mergeCell ref="M179:M180"/>
    <mergeCell ref="O218:O220"/>
    <mergeCell ref="O132:O133"/>
    <mergeCell ref="O229:O231"/>
    <mergeCell ref="F229:F231"/>
    <mergeCell ref="O164:O165"/>
    <mergeCell ref="F141:F142"/>
    <mergeCell ref="F149:F151"/>
    <mergeCell ref="I162:I164"/>
    <mergeCell ref="I114:I115"/>
    <mergeCell ref="I156:I157"/>
    <mergeCell ref="I119:I122"/>
    <mergeCell ref="I132:I134"/>
    <mergeCell ref="I143:I144"/>
    <mergeCell ref="F154:F155"/>
    <mergeCell ref="I154:I155"/>
    <mergeCell ref="N179:N180"/>
    <mergeCell ref="G184:J184"/>
    <mergeCell ref="F183:F184"/>
    <mergeCell ref="F190:F191"/>
    <mergeCell ref="F179:F180"/>
    <mergeCell ref="I187:I188"/>
    <mergeCell ref="H246:H247"/>
    <mergeCell ref="I246:I247"/>
    <mergeCell ref="O246:O247"/>
    <mergeCell ref="P246:P247"/>
    <mergeCell ref="A229:A231"/>
    <mergeCell ref="B229:B231"/>
    <mergeCell ref="G229:G231"/>
    <mergeCell ref="H229:H231"/>
    <mergeCell ref="I229:I230"/>
    <mergeCell ref="O243:O244"/>
    <mergeCell ref="F236:F237"/>
    <mergeCell ref="F238:F239"/>
    <mergeCell ref="F241:F244"/>
  </mergeCells>
  <printOptions horizontalCentered="1"/>
  <pageMargins left="0.51181102362204722" right="0.11811023622047245" top="0.35433070866141736" bottom="0.35433070866141736" header="0.31496062992125984" footer="0.31496062992125984"/>
  <pageSetup paperSize="9" scale="62" orientation="portrait" r:id="rId1"/>
  <rowBreaks count="4" manualBreakCount="4">
    <brk id="62" max="18" man="1"/>
    <brk id="106" max="18" man="1"/>
    <brk id="158" max="18" man="1"/>
    <brk id="252" max="18"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37" sqref="L36:L37"/>
    </sheetView>
  </sheetViews>
  <sheetFormatPr defaultRowHeight="12.75" x14ac:dyDescent="0.2"/>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38" sqref="L38"/>
    </sheetView>
  </sheetViews>
  <sheetFormatPr defaultRowHeight="12.75" x14ac:dyDescent="0.2"/>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K11" sqref="K11"/>
    </sheetView>
  </sheetViews>
  <sheetFormatPr defaultRowHeight="12.75" x14ac:dyDescent="0.2"/>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workbookViewId="0">
      <selection activeCell="C14" sqref="C14"/>
    </sheetView>
  </sheetViews>
  <sheetFormatPr defaultRowHeight="12.75" x14ac:dyDescent="0.2"/>
  <cols>
    <col min="2" max="2" width="28.85546875" customWidth="1"/>
    <col min="3" max="3" width="24.28515625" customWidth="1"/>
    <col min="4" max="4" width="21.28515625" customWidth="1"/>
    <col min="5" max="5" width="13.85546875" customWidth="1"/>
  </cols>
  <sheetData>
    <row r="1" spans="1:5" ht="16.5" thickBot="1" x14ac:dyDescent="0.25">
      <c r="A1" s="2739" t="s">
        <v>756</v>
      </c>
      <c r="B1" s="2739"/>
      <c r="C1" s="2739"/>
      <c r="D1" s="2739"/>
      <c r="E1" s="2739"/>
    </row>
    <row r="2" spans="1:5" ht="32.25" thickBot="1" x14ac:dyDescent="0.25">
      <c r="A2" s="2191" t="s">
        <v>400</v>
      </c>
      <c r="B2" s="2192" t="s">
        <v>757</v>
      </c>
      <c r="C2" s="2192" t="s">
        <v>758</v>
      </c>
      <c r="D2" s="2192" t="s">
        <v>759</v>
      </c>
      <c r="E2" s="2192" t="s">
        <v>760</v>
      </c>
    </row>
    <row r="3" spans="1:5" ht="16.5" customHeight="1" thickBot="1" x14ac:dyDescent="0.25">
      <c r="A3" s="2740" t="s">
        <v>761</v>
      </c>
      <c r="B3" s="2741"/>
      <c r="C3" s="2741"/>
      <c r="D3" s="2741"/>
      <c r="E3" s="2741"/>
    </row>
    <row r="4" spans="1:5" ht="31.5" customHeight="1" x14ac:dyDescent="0.2">
      <c r="A4" s="2742" t="s">
        <v>762</v>
      </c>
      <c r="B4" s="2744" t="s">
        <v>763</v>
      </c>
      <c r="C4" s="2746" t="s">
        <v>764</v>
      </c>
      <c r="D4" s="2742" t="s">
        <v>765</v>
      </c>
      <c r="E4" s="2744"/>
    </row>
    <row r="5" spans="1:5" ht="13.5" customHeight="1" thickBot="1" x14ac:dyDescent="0.25">
      <c r="A5" s="2743"/>
      <c r="B5" s="2745"/>
      <c r="C5" s="2747"/>
      <c r="D5" s="2743"/>
      <c r="E5" s="2745"/>
    </row>
    <row r="6" spans="1:5" ht="16.5" thickBot="1" x14ac:dyDescent="0.25">
      <c r="A6" s="2196" t="s">
        <v>711</v>
      </c>
      <c r="B6" s="2197" t="s">
        <v>766</v>
      </c>
      <c r="C6" s="2197" t="s">
        <v>767</v>
      </c>
      <c r="D6" s="2198" t="s">
        <v>768</v>
      </c>
      <c r="E6" s="2197"/>
    </row>
    <row r="7" spans="1:5" ht="16.5" thickBot="1" x14ac:dyDescent="0.25">
      <c r="A7" s="2196"/>
      <c r="B7" s="2197"/>
      <c r="C7" s="2199" t="s">
        <v>769</v>
      </c>
      <c r="D7" s="2200" t="s">
        <v>770</v>
      </c>
      <c r="E7" s="2197"/>
    </row>
    <row r="8" spans="1:5" ht="16.5" customHeight="1" thickBot="1" x14ac:dyDescent="0.25">
      <c r="A8" s="2740" t="s">
        <v>771</v>
      </c>
      <c r="B8" s="2741"/>
      <c r="C8" s="2741"/>
      <c r="D8" s="2741"/>
      <c r="E8" s="2741"/>
    </row>
    <row r="9" spans="1:5" ht="32.25" thickBot="1" x14ac:dyDescent="0.25">
      <c r="A9" s="2196" t="s">
        <v>713</v>
      </c>
      <c r="B9" s="2197" t="s">
        <v>772</v>
      </c>
      <c r="C9" s="2197" t="s">
        <v>773</v>
      </c>
      <c r="D9" s="2198" t="s">
        <v>774</v>
      </c>
      <c r="E9" s="2197"/>
    </row>
    <row r="10" spans="1:5" ht="32.25" thickBot="1" x14ac:dyDescent="0.25">
      <c r="A10" s="2196" t="s">
        <v>565</v>
      </c>
      <c r="B10" s="2197" t="s">
        <v>775</v>
      </c>
      <c r="C10" s="2197" t="s">
        <v>773</v>
      </c>
      <c r="D10" s="2198" t="s">
        <v>774</v>
      </c>
      <c r="E10" s="2197"/>
    </row>
    <row r="11" spans="1:5" ht="32.25" thickBot="1" x14ac:dyDescent="0.25">
      <c r="A11" s="2196" t="s">
        <v>617</v>
      </c>
      <c r="B11" s="2197" t="s">
        <v>776</v>
      </c>
      <c r="C11" s="2197" t="s">
        <v>777</v>
      </c>
      <c r="D11" s="2198" t="s">
        <v>778</v>
      </c>
      <c r="E11" s="2197"/>
    </row>
    <row r="12" spans="1:5" ht="32.25" thickBot="1" x14ac:dyDescent="0.25">
      <c r="A12" s="2196" t="s">
        <v>650</v>
      </c>
      <c r="B12" s="2197" t="s">
        <v>779</v>
      </c>
      <c r="C12" s="2197" t="s">
        <v>777</v>
      </c>
      <c r="D12" s="2198" t="s">
        <v>780</v>
      </c>
      <c r="E12" s="2197"/>
    </row>
    <row r="13" spans="1:5" ht="32.25" thickBot="1" x14ac:dyDescent="0.25">
      <c r="A13" s="2196" t="s">
        <v>781</v>
      </c>
      <c r="B13" s="2197" t="s">
        <v>782</v>
      </c>
      <c r="C13" s="2197" t="s">
        <v>773</v>
      </c>
      <c r="D13" s="2198" t="s">
        <v>783</v>
      </c>
      <c r="E13" s="2197"/>
    </row>
    <row r="14" spans="1:5" ht="32.25" thickBot="1" x14ac:dyDescent="0.25">
      <c r="A14" s="2196" t="s">
        <v>784</v>
      </c>
      <c r="B14" s="2197" t="s">
        <v>785</v>
      </c>
      <c r="C14" s="2197" t="s">
        <v>777</v>
      </c>
      <c r="D14" s="2198" t="s">
        <v>786</v>
      </c>
      <c r="E14" s="2197"/>
    </row>
    <row r="15" spans="1:5" ht="16.5" thickBot="1" x14ac:dyDescent="0.25">
      <c r="A15" s="2196" t="s">
        <v>787</v>
      </c>
      <c r="B15" s="2197" t="s">
        <v>788</v>
      </c>
      <c r="C15" s="2197" t="s">
        <v>789</v>
      </c>
      <c r="D15" s="2198" t="s">
        <v>786</v>
      </c>
      <c r="E15" s="2197"/>
    </row>
    <row r="16" spans="1:5" ht="32.25" thickBot="1" x14ac:dyDescent="0.25">
      <c r="A16" s="2193" t="s">
        <v>790</v>
      </c>
      <c r="B16" s="2194" t="s">
        <v>791</v>
      </c>
      <c r="C16" s="2194" t="s">
        <v>777</v>
      </c>
      <c r="D16" s="2195" t="s">
        <v>786</v>
      </c>
      <c r="E16" s="2194"/>
    </row>
    <row r="17" spans="1:5" ht="42.75" customHeight="1" thickBot="1" x14ac:dyDescent="0.25">
      <c r="A17" s="2202" t="s">
        <v>792</v>
      </c>
      <c r="B17" s="2203" t="s">
        <v>793</v>
      </c>
      <c r="C17" s="2203" t="s">
        <v>777</v>
      </c>
      <c r="D17" s="2204" t="s">
        <v>794</v>
      </c>
      <c r="E17" s="2205"/>
    </row>
    <row r="18" spans="1:5" ht="32.25" thickBot="1" x14ac:dyDescent="0.25">
      <c r="A18" s="2196" t="s">
        <v>795</v>
      </c>
      <c r="B18" s="2197" t="s">
        <v>796</v>
      </c>
      <c r="C18" s="2197" t="s">
        <v>773</v>
      </c>
      <c r="D18" s="2198" t="s">
        <v>774</v>
      </c>
      <c r="E18" s="2197"/>
    </row>
    <row r="19" spans="1:5" ht="32.25" thickBot="1" x14ac:dyDescent="0.25">
      <c r="A19" s="2196" t="s">
        <v>797</v>
      </c>
      <c r="B19" s="2197" t="s">
        <v>798</v>
      </c>
      <c r="C19" s="2197" t="s">
        <v>773</v>
      </c>
      <c r="D19" s="2198" t="s">
        <v>799</v>
      </c>
      <c r="E19" s="2197"/>
    </row>
    <row r="20" spans="1:5" ht="16.5" thickBot="1" x14ac:dyDescent="0.25">
      <c r="A20" s="2196"/>
      <c r="B20" s="2197"/>
      <c r="C20" s="2199" t="s">
        <v>769</v>
      </c>
      <c r="D20" s="2200" t="s">
        <v>800</v>
      </c>
      <c r="E20" s="2197"/>
    </row>
    <row r="21" spans="1:5" ht="16.5" thickBot="1" x14ac:dyDescent="0.25">
      <c r="A21" s="2196"/>
      <c r="B21" s="2197"/>
      <c r="C21" s="2201" t="s">
        <v>769</v>
      </c>
      <c r="D21" s="2200" t="s">
        <v>801</v>
      </c>
      <c r="E21" s="2197"/>
    </row>
    <row r="22" spans="1:5" ht="15" x14ac:dyDescent="0.2">
      <c r="A22" s="2190"/>
    </row>
    <row r="23" spans="1:5" ht="15" x14ac:dyDescent="0.2">
      <c r="A23" s="2190" t="s">
        <v>802</v>
      </c>
    </row>
    <row r="24" spans="1:5" ht="15" x14ac:dyDescent="0.2">
      <c r="A24" s="2190" t="s">
        <v>803</v>
      </c>
    </row>
    <row r="25" spans="1:5" ht="15" x14ac:dyDescent="0.2">
      <c r="A25" s="2190"/>
    </row>
    <row r="26" spans="1:5" ht="15" x14ac:dyDescent="0.2">
      <c r="A26" s="2190"/>
    </row>
  </sheetData>
  <mergeCells count="8">
    <mergeCell ref="A1:E1"/>
    <mergeCell ref="A8:E8"/>
    <mergeCell ref="A4:A5"/>
    <mergeCell ref="B4:B5"/>
    <mergeCell ref="C4:C5"/>
    <mergeCell ref="D4:D5"/>
    <mergeCell ref="E4:E5"/>
    <mergeCell ref="A3:E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7"/>
  <sheetViews>
    <sheetView workbookViewId="0">
      <selection activeCell="J14" sqref="J14"/>
    </sheetView>
  </sheetViews>
  <sheetFormatPr defaultRowHeight="15.75" x14ac:dyDescent="0.25"/>
  <cols>
    <col min="1" max="1" width="6.42578125" style="1529" customWidth="1"/>
    <col min="2" max="2" width="67.140625" style="1518" customWidth="1"/>
    <col min="3" max="3" width="15.7109375" style="1529" customWidth="1"/>
    <col min="4" max="4" width="16.85546875" style="1518" customWidth="1"/>
    <col min="5" max="5" width="16.5703125" style="1538" customWidth="1"/>
    <col min="6" max="16384" width="9.140625" style="1518"/>
  </cols>
  <sheetData>
    <row r="1" spans="1:5" ht="48" thickBot="1" x14ac:dyDescent="0.3">
      <c r="A1" s="1515" t="s">
        <v>400</v>
      </c>
      <c r="B1" s="1516" t="s">
        <v>401</v>
      </c>
      <c r="C1" s="1516" t="s">
        <v>402</v>
      </c>
      <c r="D1" s="1516" t="s">
        <v>403</v>
      </c>
      <c r="E1" s="1544" t="s">
        <v>404</v>
      </c>
    </row>
    <row r="2" spans="1:5" ht="16.5" thickBot="1" x14ac:dyDescent="0.3">
      <c r="A2" s="1527" t="s">
        <v>405</v>
      </c>
      <c r="B2" s="1541" t="s">
        <v>704</v>
      </c>
      <c r="C2" s="1550"/>
      <c r="D2" s="1541"/>
      <c r="E2" s="1545"/>
    </row>
    <row r="3" spans="1:5" ht="41.25" customHeight="1" thickBot="1" x14ac:dyDescent="0.3">
      <c r="A3" s="1523" t="s">
        <v>406</v>
      </c>
      <c r="B3" s="1524" t="s">
        <v>407</v>
      </c>
      <c r="C3" s="1523" t="s">
        <v>408</v>
      </c>
      <c r="D3" s="1523" t="s">
        <v>409</v>
      </c>
      <c r="E3" s="1532">
        <v>200</v>
      </c>
    </row>
    <row r="4" spans="1:5" ht="36.75" customHeight="1" thickBot="1" x14ac:dyDescent="0.3">
      <c r="A4" s="1523" t="s">
        <v>410</v>
      </c>
      <c r="B4" s="1524" t="s">
        <v>411</v>
      </c>
      <c r="C4" s="1523" t="s">
        <v>412</v>
      </c>
      <c r="D4" s="1523" t="s">
        <v>409</v>
      </c>
      <c r="E4" s="1532">
        <v>200</v>
      </c>
    </row>
    <row r="5" spans="1:5" ht="35.25" customHeight="1" thickBot="1" x14ac:dyDescent="0.3">
      <c r="A5" s="1523" t="s">
        <v>413</v>
      </c>
      <c r="B5" s="1524" t="s">
        <v>414</v>
      </c>
      <c r="C5" s="1523" t="s">
        <v>412</v>
      </c>
      <c r="D5" s="1523" t="s">
        <v>409</v>
      </c>
      <c r="E5" s="1532">
        <v>200</v>
      </c>
    </row>
    <row r="6" spans="1:5" ht="35.25" customHeight="1" thickBot="1" x14ac:dyDescent="0.3">
      <c r="A6" s="1523" t="s">
        <v>415</v>
      </c>
      <c r="B6" s="1524" t="s">
        <v>416</v>
      </c>
      <c r="C6" s="1523" t="s">
        <v>408</v>
      </c>
      <c r="D6" s="1523" t="s">
        <v>417</v>
      </c>
      <c r="E6" s="1532">
        <v>600</v>
      </c>
    </row>
    <row r="7" spans="1:5" ht="20.25" customHeight="1" thickBot="1" x14ac:dyDescent="0.3">
      <c r="A7" s="1523" t="s">
        <v>418</v>
      </c>
      <c r="B7" s="1524" t="s">
        <v>419</v>
      </c>
      <c r="C7" s="1523" t="s">
        <v>408</v>
      </c>
      <c r="D7" s="1523" t="s">
        <v>420</v>
      </c>
      <c r="E7" s="1532">
        <v>400</v>
      </c>
    </row>
    <row r="8" spans="1:5" ht="20.25" customHeight="1" thickBot="1" x14ac:dyDescent="0.3">
      <c r="A8" s="1523" t="s">
        <v>421</v>
      </c>
      <c r="B8" s="1524" t="s">
        <v>422</v>
      </c>
      <c r="C8" s="1523" t="s">
        <v>423</v>
      </c>
      <c r="D8" s="1523" t="s">
        <v>420</v>
      </c>
      <c r="E8" s="1532">
        <v>200</v>
      </c>
    </row>
    <row r="9" spans="1:5" ht="20.25" customHeight="1" thickBot="1" x14ac:dyDescent="0.3">
      <c r="A9" s="1515" t="s">
        <v>424</v>
      </c>
      <c r="B9" s="1526" t="s">
        <v>425</v>
      </c>
      <c r="C9" s="1516" t="s">
        <v>412</v>
      </c>
      <c r="D9" s="1516" t="s">
        <v>420</v>
      </c>
      <c r="E9" s="1533">
        <v>200</v>
      </c>
    </row>
    <row r="10" spans="1:5" ht="36" customHeight="1" thickBot="1" x14ac:dyDescent="0.3">
      <c r="A10" s="1523" t="s">
        <v>426</v>
      </c>
      <c r="B10" s="1524" t="s">
        <v>427</v>
      </c>
      <c r="C10" s="1523" t="s">
        <v>408</v>
      </c>
      <c r="D10" s="1523" t="s">
        <v>428</v>
      </c>
      <c r="E10" s="1532">
        <v>2000</v>
      </c>
    </row>
    <row r="11" spans="1:5" ht="24.75" customHeight="1" thickBot="1" x14ac:dyDescent="0.3">
      <c r="A11" s="1523" t="s">
        <v>429</v>
      </c>
      <c r="B11" s="1524" t="s">
        <v>430</v>
      </c>
      <c r="C11" s="1523" t="s">
        <v>408</v>
      </c>
      <c r="D11" s="1523" t="s">
        <v>417</v>
      </c>
      <c r="E11" s="1532">
        <v>300</v>
      </c>
    </row>
    <row r="12" spans="1:5" ht="34.5" customHeight="1" thickBot="1" x14ac:dyDescent="0.3">
      <c r="A12" s="1523" t="s">
        <v>431</v>
      </c>
      <c r="B12" s="1524" t="s">
        <v>432</v>
      </c>
      <c r="C12" s="1523" t="s">
        <v>412</v>
      </c>
      <c r="D12" s="1523" t="s">
        <v>433</v>
      </c>
      <c r="E12" s="1532">
        <v>800</v>
      </c>
    </row>
    <row r="13" spans="1:5" ht="21" customHeight="1" thickBot="1" x14ac:dyDescent="0.3">
      <c r="A13" s="1523" t="s">
        <v>434</v>
      </c>
      <c r="B13" s="1524" t="s">
        <v>435</v>
      </c>
      <c r="C13" s="1523" t="s">
        <v>423</v>
      </c>
      <c r="D13" s="1523" t="s">
        <v>436</v>
      </c>
      <c r="E13" s="1532">
        <v>200</v>
      </c>
    </row>
    <row r="14" spans="1:5" ht="37.5" customHeight="1" thickBot="1" x14ac:dyDescent="0.3">
      <c r="A14" s="1523" t="s">
        <v>437</v>
      </c>
      <c r="B14" s="1524" t="s">
        <v>438</v>
      </c>
      <c r="C14" s="1523" t="s">
        <v>423</v>
      </c>
      <c r="D14" s="1523" t="s">
        <v>436</v>
      </c>
      <c r="E14" s="1532">
        <v>200</v>
      </c>
    </row>
    <row r="15" spans="1:5" ht="33.75" customHeight="1" thickBot="1" x14ac:dyDescent="0.3">
      <c r="A15" s="1523" t="s">
        <v>439</v>
      </c>
      <c r="B15" s="1524" t="s">
        <v>440</v>
      </c>
      <c r="C15" s="1523" t="s">
        <v>408</v>
      </c>
      <c r="D15" s="1523" t="s">
        <v>436</v>
      </c>
      <c r="E15" s="1532">
        <v>400</v>
      </c>
    </row>
    <row r="16" spans="1:5" ht="39" customHeight="1" thickBot="1" x14ac:dyDescent="0.3">
      <c r="A16" s="1515" t="s">
        <v>441</v>
      </c>
      <c r="B16" s="1530" t="s">
        <v>442</v>
      </c>
      <c r="C16" s="1515" t="s">
        <v>423</v>
      </c>
      <c r="D16" s="1515" t="s">
        <v>443</v>
      </c>
      <c r="E16" s="1534">
        <v>200</v>
      </c>
    </row>
    <row r="17" spans="1:5" ht="16.5" thickBot="1" x14ac:dyDescent="0.3">
      <c r="D17" s="1531" t="s">
        <v>16</v>
      </c>
      <c r="E17" s="1535">
        <f>SUM(E3:E16)</f>
        <v>6100</v>
      </c>
    </row>
    <row r="19" spans="1:5" ht="16.5" thickBot="1" x14ac:dyDescent="0.3">
      <c r="A19" s="1527" t="s">
        <v>711</v>
      </c>
      <c r="B19" s="1542" t="s">
        <v>705</v>
      </c>
      <c r="C19" s="1551"/>
      <c r="D19" s="1542"/>
      <c r="E19" s="1546"/>
    </row>
    <row r="20" spans="1:5" x14ac:dyDescent="0.25">
      <c r="A20" s="2749" t="s">
        <v>444</v>
      </c>
      <c r="B20" s="2755" t="s">
        <v>445</v>
      </c>
      <c r="C20" s="2749" t="s">
        <v>412</v>
      </c>
      <c r="D20" s="2749" t="s">
        <v>446</v>
      </c>
      <c r="E20" s="2753">
        <v>9500</v>
      </c>
    </row>
    <row r="21" spans="1:5" ht="16.5" thickBot="1" x14ac:dyDescent="0.3">
      <c r="A21" s="2750"/>
      <c r="B21" s="2756"/>
      <c r="C21" s="2750"/>
      <c r="D21" s="2750"/>
      <c r="E21" s="2754"/>
    </row>
    <row r="22" spans="1:5" ht="16.5" thickBot="1" x14ac:dyDescent="0.3">
      <c r="A22" s="1521" t="s">
        <v>447</v>
      </c>
      <c r="B22" s="1522" t="s">
        <v>448</v>
      </c>
      <c r="C22" s="1519" t="s">
        <v>412</v>
      </c>
      <c r="D22" s="1519" t="s">
        <v>449</v>
      </c>
      <c r="E22" s="1537">
        <v>200</v>
      </c>
    </row>
    <row r="23" spans="1:5" ht="15" customHeight="1" thickBot="1" x14ac:dyDescent="0.3">
      <c r="A23" s="1523" t="s">
        <v>450</v>
      </c>
      <c r="B23" s="1525" t="s">
        <v>451</v>
      </c>
      <c r="C23" s="1523" t="s">
        <v>412</v>
      </c>
      <c r="D23" s="1523" t="s">
        <v>449</v>
      </c>
      <c r="E23" s="1532">
        <v>200</v>
      </c>
    </row>
    <row r="24" spans="1:5" ht="16.5" thickBot="1" x14ac:dyDescent="0.3">
      <c r="A24" s="1523" t="s">
        <v>452</v>
      </c>
      <c r="B24" s="1525" t="s">
        <v>453</v>
      </c>
      <c r="C24" s="1523" t="s">
        <v>423</v>
      </c>
      <c r="D24" s="1523" t="s">
        <v>409</v>
      </c>
      <c r="E24" s="1532">
        <v>200</v>
      </c>
    </row>
    <row r="25" spans="1:5" ht="16.5" thickBot="1" x14ac:dyDescent="0.3">
      <c r="A25" s="1515" t="s">
        <v>454</v>
      </c>
      <c r="B25" s="1536" t="s">
        <v>455</v>
      </c>
      <c r="C25" s="1516" t="s">
        <v>423</v>
      </c>
      <c r="D25" s="1516" t="s">
        <v>409</v>
      </c>
      <c r="E25" s="1533">
        <v>200</v>
      </c>
    </row>
    <row r="26" spans="1:5" ht="16.5" thickBot="1" x14ac:dyDescent="0.3">
      <c r="A26" s="1521" t="s">
        <v>456</v>
      </c>
      <c r="B26" s="1522" t="s">
        <v>457</v>
      </c>
      <c r="C26" s="1519" t="s">
        <v>412</v>
      </c>
      <c r="D26" s="1519" t="s">
        <v>417</v>
      </c>
      <c r="E26" s="1537">
        <v>200</v>
      </c>
    </row>
    <row r="27" spans="1:5" ht="16.5" thickBot="1" x14ac:dyDescent="0.3">
      <c r="A27" s="1521" t="s">
        <v>458</v>
      </c>
      <c r="B27" s="1522" t="s">
        <v>459</v>
      </c>
      <c r="C27" s="1519" t="s">
        <v>412</v>
      </c>
      <c r="D27" s="1519" t="s">
        <v>417</v>
      </c>
      <c r="E27" s="1537">
        <v>200</v>
      </c>
    </row>
    <row r="28" spans="1:5" ht="16.5" thickBot="1" x14ac:dyDescent="0.3">
      <c r="A28" s="1521" t="s">
        <v>460</v>
      </c>
      <c r="B28" s="1522" t="s">
        <v>461</v>
      </c>
      <c r="C28" s="1519" t="s">
        <v>412</v>
      </c>
      <c r="D28" s="1519" t="s">
        <v>417</v>
      </c>
      <c r="E28" s="1537">
        <v>200</v>
      </c>
    </row>
    <row r="29" spans="1:5" ht="16.5" thickBot="1" x14ac:dyDescent="0.3">
      <c r="A29" s="1521" t="s">
        <v>462</v>
      </c>
      <c r="B29" s="1522" t="s">
        <v>463</v>
      </c>
      <c r="C29" s="1519" t="s">
        <v>423</v>
      </c>
      <c r="D29" s="1519" t="s">
        <v>417</v>
      </c>
      <c r="E29" s="1537">
        <v>200</v>
      </c>
    </row>
    <row r="30" spans="1:5" ht="16.5" thickBot="1" x14ac:dyDescent="0.3">
      <c r="A30" s="1523" t="s">
        <v>464</v>
      </c>
      <c r="B30" s="1525" t="s">
        <v>465</v>
      </c>
      <c r="C30" s="1523" t="s">
        <v>423</v>
      </c>
      <c r="D30" s="1523" t="s">
        <v>417</v>
      </c>
      <c r="E30" s="1532">
        <v>200</v>
      </c>
    </row>
    <row r="31" spans="1:5" ht="16.5" thickBot="1" x14ac:dyDescent="0.3">
      <c r="A31" s="1523" t="s">
        <v>466</v>
      </c>
      <c r="B31" s="1525" t="s">
        <v>467</v>
      </c>
      <c r="C31" s="1523" t="s">
        <v>412</v>
      </c>
      <c r="D31" s="1523" t="s">
        <v>420</v>
      </c>
      <c r="E31" s="1532">
        <v>200</v>
      </c>
    </row>
    <row r="32" spans="1:5" ht="16.5" thickBot="1" x14ac:dyDescent="0.3">
      <c r="A32" s="1523" t="s">
        <v>468</v>
      </c>
      <c r="B32" s="1525" t="s">
        <v>469</v>
      </c>
      <c r="C32" s="1523" t="s">
        <v>423</v>
      </c>
      <c r="D32" s="1523" t="s">
        <v>420</v>
      </c>
      <c r="E32" s="1532">
        <v>200</v>
      </c>
    </row>
    <row r="33" spans="1:5" x14ac:dyDescent="0.25">
      <c r="A33" s="2749" t="s">
        <v>470</v>
      </c>
      <c r="B33" s="2755" t="s">
        <v>471</v>
      </c>
      <c r="C33" s="2749" t="s">
        <v>423</v>
      </c>
      <c r="D33" s="2749" t="s">
        <v>420</v>
      </c>
      <c r="E33" s="2753">
        <v>200</v>
      </c>
    </row>
    <row r="34" spans="1:5" ht="16.5" thickBot="1" x14ac:dyDescent="0.3">
      <c r="A34" s="2750"/>
      <c r="B34" s="2756"/>
      <c r="C34" s="2750"/>
      <c r="D34" s="2750"/>
      <c r="E34" s="2754"/>
    </row>
    <row r="35" spans="1:5" ht="16.5" thickBot="1" x14ac:dyDescent="0.3">
      <c r="A35" s="1521" t="s">
        <v>472</v>
      </c>
      <c r="B35" s="1522" t="s">
        <v>473</v>
      </c>
      <c r="C35" s="1519" t="s">
        <v>412</v>
      </c>
      <c r="D35" s="1519" t="s">
        <v>420</v>
      </c>
      <c r="E35" s="1537">
        <v>400</v>
      </c>
    </row>
    <row r="36" spans="1:5" ht="32.25" thickBot="1" x14ac:dyDescent="0.3">
      <c r="A36" s="1521" t="s">
        <v>474</v>
      </c>
      <c r="B36" s="1522" t="s">
        <v>475</v>
      </c>
      <c r="C36" s="1519" t="s">
        <v>412</v>
      </c>
      <c r="D36" s="1519" t="s">
        <v>476</v>
      </c>
      <c r="E36" s="1537">
        <v>600</v>
      </c>
    </row>
    <row r="37" spans="1:5" x14ac:dyDescent="0.25">
      <c r="A37" s="2749" t="s">
        <v>477</v>
      </c>
      <c r="B37" s="2755" t="s">
        <v>478</v>
      </c>
      <c r="C37" s="2749" t="s">
        <v>412</v>
      </c>
      <c r="D37" s="2749" t="s">
        <v>476</v>
      </c>
      <c r="E37" s="2753">
        <v>300</v>
      </c>
    </row>
    <row r="38" spans="1:5" ht="16.5" thickBot="1" x14ac:dyDescent="0.3">
      <c r="A38" s="2750"/>
      <c r="B38" s="2756"/>
      <c r="C38" s="2750"/>
      <c r="D38" s="2750"/>
      <c r="E38" s="2754"/>
    </row>
    <row r="39" spans="1:5" x14ac:dyDescent="0.25">
      <c r="A39" s="2749" t="s">
        <v>479</v>
      </c>
      <c r="B39" s="2755" t="s">
        <v>480</v>
      </c>
      <c r="C39" s="2749" t="s">
        <v>412</v>
      </c>
      <c r="D39" s="2749" t="s">
        <v>476</v>
      </c>
      <c r="E39" s="2753">
        <v>200</v>
      </c>
    </row>
    <row r="40" spans="1:5" ht="16.5" thickBot="1" x14ac:dyDescent="0.3">
      <c r="A40" s="2750"/>
      <c r="B40" s="2756"/>
      <c r="C40" s="2750"/>
      <c r="D40" s="2750"/>
      <c r="E40" s="2754"/>
    </row>
    <row r="41" spans="1:5" x14ac:dyDescent="0.25">
      <c r="A41" s="2749" t="s">
        <v>481</v>
      </c>
      <c r="B41" s="2755" t="s">
        <v>482</v>
      </c>
      <c r="C41" s="2749" t="s">
        <v>412</v>
      </c>
      <c r="D41" s="2749" t="s">
        <v>476</v>
      </c>
      <c r="E41" s="2753">
        <v>200</v>
      </c>
    </row>
    <row r="42" spans="1:5" ht="16.5" thickBot="1" x14ac:dyDescent="0.3">
      <c r="A42" s="2750"/>
      <c r="B42" s="2756"/>
      <c r="C42" s="2750"/>
      <c r="D42" s="2750"/>
      <c r="E42" s="2754"/>
    </row>
    <row r="43" spans="1:5" x14ac:dyDescent="0.25">
      <c r="A43" s="2749" t="s">
        <v>483</v>
      </c>
      <c r="B43" s="2755" t="s">
        <v>484</v>
      </c>
      <c r="C43" s="2749" t="s">
        <v>412</v>
      </c>
      <c r="D43" s="2749" t="s">
        <v>436</v>
      </c>
      <c r="E43" s="2753">
        <v>200</v>
      </c>
    </row>
    <row r="44" spans="1:5" ht="16.5" thickBot="1" x14ac:dyDescent="0.3">
      <c r="A44" s="2750"/>
      <c r="B44" s="2756"/>
      <c r="C44" s="2750"/>
      <c r="D44" s="2750"/>
      <c r="E44" s="2754"/>
    </row>
    <row r="45" spans="1:5" x14ac:dyDescent="0.25">
      <c r="A45" s="2749" t="s">
        <v>485</v>
      </c>
      <c r="B45" s="2755" t="s">
        <v>486</v>
      </c>
      <c r="C45" s="2749" t="s">
        <v>423</v>
      </c>
      <c r="D45" s="2749" t="s">
        <v>436</v>
      </c>
      <c r="E45" s="2753">
        <v>200</v>
      </c>
    </row>
    <row r="46" spans="1:5" ht="16.5" thickBot="1" x14ac:dyDescent="0.3">
      <c r="A46" s="2750"/>
      <c r="B46" s="2756"/>
      <c r="C46" s="2750"/>
      <c r="D46" s="2750"/>
      <c r="E46" s="2754"/>
    </row>
    <row r="47" spans="1:5" ht="16.5" thickBot="1" x14ac:dyDescent="0.3">
      <c r="A47" s="1523" t="s">
        <v>487</v>
      </c>
      <c r="B47" s="1525" t="s">
        <v>488</v>
      </c>
      <c r="C47" s="1523" t="s">
        <v>412</v>
      </c>
      <c r="D47" s="1523" t="s">
        <v>443</v>
      </c>
      <c r="E47" s="1532">
        <v>200</v>
      </c>
    </row>
    <row r="48" spans="1:5" ht="16.5" thickBot="1" x14ac:dyDescent="0.3">
      <c r="A48" s="1515" t="s">
        <v>489</v>
      </c>
      <c r="B48" s="1536" t="s">
        <v>490</v>
      </c>
      <c r="C48" s="1516" t="s">
        <v>408</v>
      </c>
      <c r="D48" s="1516" t="s">
        <v>491</v>
      </c>
      <c r="E48" s="1533">
        <v>300</v>
      </c>
    </row>
    <row r="49" spans="1:5" x14ac:dyDescent="0.25">
      <c r="A49" s="2749" t="s">
        <v>492</v>
      </c>
      <c r="B49" s="2755" t="s">
        <v>493</v>
      </c>
      <c r="C49" s="2749" t="s">
        <v>412</v>
      </c>
      <c r="D49" s="2749" t="s">
        <v>443</v>
      </c>
      <c r="E49" s="2753">
        <v>200</v>
      </c>
    </row>
    <row r="50" spans="1:5" ht="16.5" thickBot="1" x14ac:dyDescent="0.3">
      <c r="A50" s="2750"/>
      <c r="B50" s="2756"/>
      <c r="C50" s="2750"/>
      <c r="D50" s="2750"/>
      <c r="E50" s="2754"/>
    </row>
    <row r="51" spans="1:5" ht="16.5" thickBot="1" x14ac:dyDescent="0.3">
      <c r="D51" s="1531" t="s">
        <v>16</v>
      </c>
      <c r="E51" s="1535">
        <f>SUM(E20:E50)</f>
        <v>14700</v>
      </c>
    </row>
    <row r="53" spans="1:5" ht="16.5" thickBot="1" x14ac:dyDescent="0.3">
      <c r="A53" s="1527" t="s">
        <v>712</v>
      </c>
      <c r="B53" s="1543" t="s">
        <v>706</v>
      </c>
      <c r="C53" s="1552"/>
      <c r="D53" s="1543"/>
      <c r="E53" s="1547"/>
    </row>
    <row r="54" spans="1:5" ht="16.5" thickBot="1" x14ac:dyDescent="0.3">
      <c r="A54" s="1515" t="s">
        <v>494</v>
      </c>
      <c r="B54" s="1526" t="s">
        <v>495</v>
      </c>
      <c r="C54" s="1516" t="s">
        <v>412</v>
      </c>
      <c r="D54" s="1516" t="s">
        <v>449</v>
      </c>
      <c r="E54" s="1533">
        <v>500</v>
      </c>
    </row>
    <row r="55" spans="1:5" x14ac:dyDescent="0.25">
      <c r="A55" s="1523" t="s">
        <v>496</v>
      </c>
      <c r="B55" s="1524" t="s">
        <v>497</v>
      </c>
      <c r="C55" s="1523" t="s">
        <v>412</v>
      </c>
      <c r="D55" s="1523" t="s">
        <v>409</v>
      </c>
      <c r="E55" s="1532">
        <v>500</v>
      </c>
    </row>
    <row r="56" spans="1:5" ht="16.5" thickBot="1" x14ac:dyDescent="0.3">
      <c r="A56" s="1521" t="s">
        <v>498</v>
      </c>
      <c r="B56" s="1520" t="s">
        <v>499</v>
      </c>
      <c r="C56" s="1519" t="s">
        <v>412</v>
      </c>
      <c r="D56" s="1519" t="s">
        <v>417</v>
      </c>
      <c r="E56" s="1537">
        <v>200</v>
      </c>
    </row>
    <row r="57" spans="1:5" ht="32.25" thickBot="1" x14ac:dyDescent="0.3">
      <c r="A57" s="1521" t="s">
        <v>500</v>
      </c>
      <c r="B57" s="1520" t="s">
        <v>501</v>
      </c>
      <c r="C57" s="1519" t="s">
        <v>412</v>
      </c>
      <c r="D57" s="1519" t="s">
        <v>417</v>
      </c>
      <c r="E57" s="1537">
        <v>500</v>
      </c>
    </row>
    <row r="58" spans="1:5" ht="16.5" thickBot="1" x14ac:dyDescent="0.3">
      <c r="A58" s="1523" t="s">
        <v>502</v>
      </c>
      <c r="B58" s="1524" t="s">
        <v>503</v>
      </c>
      <c r="C58" s="1523" t="s">
        <v>408</v>
      </c>
      <c r="D58" s="1523" t="s">
        <v>476</v>
      </c>
      <c r="E58" s="1532">
        <v>1000</v>
      </c>
    </row>
    <row r="59" spans="1:5" ht="16.5" thickBot="1" x14ac:dyDescent="0.3">
      <c r="A59" s="1523" t="s">
        <v>504</v>
      </c>
      <c r="B59" s="1524" t="s">
        <v>505</v>
      </c>
      <c r="C59" s="1523" t="s">
        <v>412</v>
      </c>
      <c r="D59" s="1523" t="s">
        <v>476</v>
      </c>
      <c r="E59" s="1532">
        <v>5000</v>
      </c>
    </row>
    <row r="60" spans="1:5" ht="32.25" thickBot="1" x14ac:dyDescent="0.3">
      <c r="A60" s="1515" t="s">
        <v>506</v>
      </c>
      <c r="B60" s="1526" t="s">
        <v>507</v>
      </c>
      <c r="C60" s="1516" t="s">
        <v>412</v>
      </c>
      <c r="D60" s="1516" t="s">
        <v>508</v>
      </c>
      <c r="E60" s="1533">
        <v>500</v>
      </c>
    </row>
    <row r="61" spans="1:5" ht="16.5" thickBot="1" x14ac:dyDescent="0.3">
      <c r="A61" s="1521" t="s">
        <v>509</v>
      </c>
      <c r="B61" s="1520" t="s">
        <v>510</v>
      </c>
      <c r="C61" s="1519" t="s">
        <v>412</v>
      </c>
      <c r="D61" s="1519" t="s">
        <v>511</v>
      </c>
      <c r="E61" s="1537">
        <v>300</v>
      </c>
    </row>
    <row r="62" spans="1:5" ht="16.5" thickBot="1" x14ac:dyDescent="0.3">
      <c r="A62" s="1521" t="s">
        <v>512</v>
      </c>
      <c r="B62" s="1520" t="s">
        <v>513</v>
      </c>
      <c r="C62" s="1519" t="s">
        <v>412</v>
      </c>
      <c r="D62" s="1519" t="s">
        <v>514</v>
      </c>
      <c r="E62" s="1537">
        <v>8000</v>
      </c>
    </row>
    <row r="63" spans="1:5" ht="16.5" thickBot="1" x14ac:dyDescent="0.3">
      <c r="A63" s="1521" t="s">
        <v>515</v>
      </c>
      <c r="B63" s="1520" t="s">
        <v>516</v>
      </c>
      <c r="C63" s="1519" t="s">
        <v>408</v>
      </c>
      <c r="D63" s="1519" t="s">
        <v>436</v>
      </c>
      <c r="E63" s="1537">
        <v>10000</v>
      </c>
    </row>
    <row r="64" spans="1:5" ht="16.5" thickBot="1" x14ac:dyDescent="0.3">
      <c r="A64" s="1515" t="s">
        <v>517</v>
      </c>
      <c r="B64" s="1530" t="s">
        <v>518</v>
      </c>
      <c r="C64" s="1515" t="s">
        <v>412</v>
      </c>
      <c r="D64" s="1515" t="s">
        <v>519</v>
      </c>
      <c r="E64" s="1534">
        <v>1000</v>
      </c>
    </row>
    <row r="65" spans="1:5" ht="16.5" thickBot="1" x14ac:dyDescent="0.3">
      <c r="D65" s="1531" t="s">
        <v>16</v>
      </c>
      <c r="E65" s="1535">
        <f>SUM(E54:E64)</f>
        <v>27500</v>
      </c>
    </row>
    <row r="67" spans="1:5" ht="16.5" thickBot="1" x14ac:dyDescent="0.3">
      <c r="A67" s="1527" t="s">
        <v>713</v>
      </c>
      <c r="B67" s="1528" t="s">
        <v>707</v>
      </c>
      <c r="C67" s="1527"/>
      <c r="D67" s="1528"/>
      <c r="E67" s="1548"/>
    </row>
    <row r="68" spans="1:5" x14ac:dyDescent="0.25">
      <c r="A68" s="1523" t="s">
        <v>520</v>
      </c>
      <c r="B68" s="1524" t="s">
        <v>521</v>
      </c>
      <c r="C68" s="1523" t="s">
        <v>423</v>
      </c>
      <c r="D68" s="1523" t="s">
        <v>446</v>
      </c>
      <c r="E68" s="1532">
        <v>5400</v>
      </c>
    </row>
    <row r="69" spans="1:5" ht="16.5" thickBot="1" x14ac:dyDescent="0.3">
      <c r="A69" s="1521" t="s">
        <v>522</v>
      </c>
      <c r="B69" s="1520" t="s">
        <v>523</v>
      </c>
      <c r="C69" s="1519" t="s">
        <v>423</v>
      </c>
      <c r="D69" s="1519" t="s">
        <v>446</v>
      </c>
      <c r="E69" s="1537">
        <v>5000</v>
      </c>
    </row>
    <row r="70" spans="1:5" ht="16.5" thickBot="1" x14ac:dyDescent="0.3">
      <c r="A70" s="1523" t="s">
        <v>524</v>
      </c>
      <c r="B70" s="1524" t="s">
        <v>525</v>
      </c>
      <c r="C70" s="1523" t="s">
        <v>423</v>
      </c>
      <c r="D70" s="1523" t="s">
        <v>449</v>
      </c>
      <c r="E70" s="1532">
        <v>200</v>
      </c>
    </row>
    <row r="71" spans="1:5" x14ac:dyDescent="0.25">
      <c r="A71" s="1523" t="s">
        <v>526</v>
      </c>
      <c r="B71" s="1524" t="s">
        <v>527</v>
      </c>
      <c r="C71" s="1523" t="s">
        <v>423</v>
      </c>
      <c r="D71" s="1523" t="s">
        <v>409</v>
      </c>
      <c r="E71" s="1532">
        <v>200</v>
      </c>
    </row>
    <row r="72" spans="1:5" ht="16.5" thickBot="1" x14ac:dyDescent="0.3">
      <c r="A72" s="1521" t="s">
        <v>528</v>
      </c>
      <c r="B72" s="1520" t="s">
        <v>529</v>
      </c>
      <c r="C72" s="1519" t="s">
        <v>423</v>
      </c>
      <c r="D72" s="1519" t="s">
        <v>409</v>
      </c>
      <c r="E72" s="1537">
        <v>200</v>
      </c>
    </row>
    <row r="73" spans="1:5" ht="16.5" thickBot="1" x14ac:dyDescent="0.3">
      <c r="A73" s="1523" t="s">
        <v>530</v>
      </c>
      <c r="B73" s="1524" t="s">
        <v>531</v>
      </c>
      <c r="C73" s="1523" t="s">
        <v>423</v>
      </c>
      <c r="D73" s="1523" t="s">
        <v>532</v>
      </c>
      <c r="E73" s="1532">
        <v>400</v>
      </c>
    </row>
    <row r="74" spans="1:5" ht="16.5" thickBot="1" x14ac:dyDescent="0.3">
      <c r="A74" s="1515" t="s">
        <v>533</v>
      </c>
      <c r="B74" s="1526" t="s">
        <v>534</v>
      </c>
      <c r="C74" s="1516" t="s">
        <v>423</v>
      </c>
      <c r="D74" s="1516" t="s">
        <v>417</v>
      </c>
      <c r="E74" s="1533">
        <v>200</v>
      </c>
    </row>
    <row r="75" spans="1:5" ht="16.5" thickBot="1" x14ac:dyDescent="0.3">
      <c r="A75" s="1523" t="s">
        <v>535</v>
      </c>
      <c r="B75" s="1524" t="s">
        <v>536</v>
      </c>
      <c r="C75" s="1523" t="s">
        <v>423</v>
      </c>
      <c r="D75" s="1523" t="s">
        <v>537</v>
      </c>
      <c r="E75" s="1532">
        <v>200</v>
      </c>
    </row>
    <row r="76" spans="1:5" x14ac:dyDescent="0.25">
      <c r="A76" s="2749" t="s">
        <v>538</v>
      </c>
      <c r="B76" s="2751" t="s">
        <v>539</v>
      </c>
      <c r="C76" s="2749" t="s">
        <v>423</v>
      </c>
      <c r="D76" s="2749" t="s">
        <v>420</v>
      </c>
      <c r="E76" s="2753">
        <v>400</v>
      </c>
    </row>
    <row r="77" spans="1:5" ht="16.5" thickBot="1" x14ac:dyDescent="0.3">
      <c r="A77" s="2750"/>
      <c r="B77" s="2752"/>
      <c r="C77" s="2750"/>
      <c r="D77" s="2750"/>
      <c r="E77" s="2754"/>
    </row>
    <row r="78" spans="1:5" x14ac:dyDescent="0.25">
      <c r="A78" s="1523" t="s">
        <v>540</v>
      </c>
      <c r="B78" s="1524" t="s">
        <v>541</v>
      </c>
      <c r="C78" s="1523" t="s">
        <v>423</v>
      </c>
      <c r="D78" s="1523" t="s">
        <v>420</v>
      </c>
      <c r="E78" s="1532">
        <v>300</v>
      </c>
    </row>
    <row r="79" spans="1:5" ht="16.5" thickBot="1" x14ac:dyDescent="0.3">
      <c r="A79" s="1521" t="s">
        <v>542</v>
      </c>
      <c r="B79" s="1520" t="s">
        <v>543</v>
      </c>
      <c r="C79" s="1519" t="s">
        <v>544</v>
      </c>
      <c r="D79" s="1519" t="s">
        <v>420</v>
      </c>
      <c r="E79" s="1537">
        <v>200</v>
      </c>
    </row>
    <row r="80" spans="1:5" ht="16.5" thickBot="1" x14ac:dyDescent="0.3">
      <c r="A80" s="1521" t="s">
        <v>545</v>
      </c>
      <c r="B80" s="1520" t="s">
        <v>546</v>
      </c>
      <c r="C80" s="1519" t="s">
        <v>423</v>
      </c>
      <c r="D80" s="1519" t="s">
        <v>547</v>
      </c>
      <c r="E80" s="1537">
        <v>200</v>
      </c>
    </row>
    <row r="81" spans="1:5" ht="16.5" thickBot="1" x14ac:dyDescent="0.3">
      <c r="A81" s="1521" t="s">
        <v>548</v>
      </c>
      <c r="B81" s="1520" t="s">
        <v>549</v>
      </c>
      <c r="C81" s="1519" t="s">
        <v>423</v>
      </c>
      <c r="D81" s="1519" t="s">
        <v>476</v>
      </c>
      <c r="E81" s="1537">
        <v>200</v>
      </c>
    </row>
    <row r="82" spans="1:5" ht="32.25" thickBot="1" x14ac:dyDescent="0.3">
      <c r="A82" s="1521" t="s">
        <v>550</v>
      </c>
      <c r="B82" s="1520" t="s">
        <v>551</v>
      </c>
      <c r="C82" s="1519" t="s">
        <v>423</v>
      </c>
      <c r="D82" s="1519" t="s">
        <v>476</v>
      </c>
      <c r="E82" s="1537">
        <v>200</v>
      </c>
    </row>
    <row r="83" spans="1:5" ht="16.5" thickBot="1" x14ac:dyDescent="0.3">
      <c r="A83" s="1521" t="s">
        <v>552</v>
      </c>
      <c r="B83" s="1520" t="s">
        <v>553</v>
      </c>
      <c r="C83" s="1519" t="s">
        <v>423</v>
      </c>
      <c r="D83" s="1519" t="s">
        <v>554</v>
      </c>
      <c r="E83" s="1537">
        <v>200</v>
      </c>
    </row>
    <row r="84" spans="1:5" ht="16.5" thickBot="1" x14ac:dyDescent="0.3">
      <c r="A84" s="1521" t="s">
        <v>555</v>
      </c>
      <c r="B84" s="1514" t="s">
        <v>556</v>
      </c>
      <c r="C84" s="1519" t="s">
        <v>423</v>
      </c>
      <c r="D84" s="1519" t="s">
        <v>514</v>
      </c>
      <c r="E84" s="1537">
        <v>200</v>
      </c>
    </row>
    <row r="85" spans="1:5" ht="16.5" thickBot="1" x14ac:dyDescent="0.3">
      <c r="A85" s="1521" t="s">
        <v>557</v>
      </c>
      <c r="B85" s="1514" t="s">
        <v>558</v>
      </c>
      <c r="C85" s="1519" t="s">
        <v>423</v>
      </c>
      <c r="D85" s="1519" t="s">
        <v>514</v>
      </c>
      <c r="E85" s="1537">
        <v>300</v>
      </c>
    </row>
    <row r="86" spans="1:5" ht="32.25" thickBot="1" x14ac:dyDescent="0.3">
      <c r="A86" s="1521" t="s">
        <v>559</v>
      </c>
      <c r="B86" s="1514" t="s">
        <v>560</v>
      </c>
      <c r="C86" s="1519" t="s">
        <v>544</v>
      </c>
      <c r="D86" s="1519" t="s">
        <v>514</v>
      </c>
      <c r="E86" s="1537">
        <v>300</v>
      </c>
    </row>
    <row r="87" spans="1:5" ht="32.25" thickBot="1" x14ac:dyDescent="0.3">
      <c r="A87" s="1521" t="s">
        <v>561</v>
      </c>
      <c r="B87" s="1514" t="s">
        <v>562</v>
      </c>
      <c r="C87" s="1519" t="s">
        <v>423</v>
      </c>
      <c r="D87" s="1519" t="s">
        <v>514</v>
      </c>
      <c r="E87" s="1537">
        <v>200</v>
      </c>
    </row>
    <row r="88" spans="1:5" ht="16.5" thickBot="1" x14ac:dyDescent="0.3">
      <c r="A88" s="1521" t="s">
        <v>563</v>
      </c>
      <c r="B88" s="1514" t="s">
        <v>564</v>
      </c>
      <c r="C88" s="1519" t="s">
        <v>423</v>
      </c>
      <c r="D88" s="1519" t="s">
        <v>436</v>
      </c>
      <c r="E88" s="1537">
        <v>200</v>
      </c>
    </row>
    <row r="89" spans="1:5" ht="16.5" thickBot="1" x14ac:dyDescent="0.3">
      <c r="D89" s="1531" t="s">
        <v>16</v>
      </c>
      <c r="E89" s="1535">
        <f>SUM(E68:E88)</f>
        <v>14700</v>
      </c>
    </row>
    <row r="90" spans="1:5" x14ac:dyDescent="0.25">
      <c r="E90" s="1539"/>
    </row>
    <row r="91" spans="1:5" ht="16.5" thickBot="1" x14ac:dyDescent="0.3">
      <c r="A91" s="1527" t="s">
        <v>565</v>
      </c>
      <c r="B91" s="1553" t="s">
        <v>708</v>
      </c>
    </row>
    <row r="92" spans="1:5" ht="16.5" thickBot="1" x14ac:dyDescent="0.3">
      <c r="A92" s="1515" t="s">
        <v>566</v>
      </c>
      <c r="B92" s="1526" t="s">
        <v>567</v>
      </c>
      <c r="C92" s="1516" t="s">
        <v>412</v>
      </c>
      <c r="D92" s="1516" t="s">
        <v>409</v>
      </c>
      <c r="E92" s="1533">
        <v>200</v>
      </c>
    </row>
    <row r="93" spans="1:5" ht="16.5" thickBot="1" x14ac:dyDescent="0.3">
      <c r="A93" s="1521" t="s">
        <v>568</v>
      </c>
      <c r="B93" s="1520" t="s">
        <v>569</v>
      </c>
      <c r="C93" s="1519" t="s">
        <v>412</v>
      </c>
      <c r="D93" s="1519" t="s">
        <v>409</v>
      </c>
      <c r="E93" s="1537">
        <v>200</v>
      </c>
    </row>
    <row r="94" spans="1:5" ht="16.5" thickBot="1" x14ac:dyDescent="0.3">
      <c r="A94" s="1521" t="s">
        <v>570</v>
      </c>
      <c r="B94" s="1520" t="s">
        <v>571</v>
      </c>
      <c r="C94" s="1519" t="s">
        <v>412</v>
      </c>
      <c r="D94" s="1519" t="s">
        <v>409</v>
      </c>
      <c r="E94" s="1537">
        <v>300</v>
      </c>
    </row>
    <row r="95" spans="1:5" ht="16.5" thickBot="1" x14ac:dyDescent="0.3">
      <c r="A95" s="1521" t="s">
        <v>572</v>
      </c>
      <c r="B95" s="1520" t="s">
        <v>573</v>
      </c>
      <c r="C95" s="1519" t="s">
        <v>544</v>
      </c>
      <c r="D95" s="1519" t="s">
        <v>409</v>
      </c>
      <c r="E95" s="1537">
        <v>200</v>
      </c>
    </row>
    <row r="96" spans="1:5" ht="16.5" thickBot="1" x14ac:dyDescent="0.3">
      <c r="A96" s="1521" t="s">
        <v>574</v>
      </c>
      <c r="B96" s="1520" t="s">
        <v>575</v>
      </c>
      <c r="C96" s="1519" t="s">
        <v>412</v>
      </c>
      <c r="D96" s="1519" t="s">
        <v>417</v>
      </c>
      <c r="E96" s="1537">
        <v>200</v>
      </c>
    </row>
    <row r="97" spans="1:5" ht="16.5" thickBot="1" x14ac:dyDescent="0.3">
      <c r="A97" s="1521" t="s">
        <v>576</v>
      </c>
      <c r="B97" s="1520" t="s">
        <v>577</v>
      </c>
      <c r="C97" s="1519" t="s">
        <v>544</v>
      </c>
      <c r="D97" s="1519" t="s">
        <v>409</v>
      </c>
      <c r="E97" s="1537">
        <v>200</v>
      </c>
    </row>
    <row r="98" spans="1:5" ht="16.5" thickBot="1" x14ac:dyDescent="0.3">
      <c r="A98" s="1521" t="s">
        <v>578</v>
      </c>
      <c r="B98" s="1520" t="s">
        <v>579</v>
      </c>
      <c r="C98" s="1519" t="s">
        <v>412</v>
      </c>
      <c r="D98" s="1519" t="s">
        <v>417</v>
      </c>
      <c r="E98" s="1537">
        <v>200</v>
      </c>
    </row>
    <row r="99" spans="1:5" ht="32.25" thickBot="1" x14ac:dyDescent="0.3">
      <c r="A99" s="1521" t="s">
        <v>580</v>
      </c>
      <c r="B99" s="1520" t="s">
        <v>581</v>
      </c>
      <c r="C99" s="1519" t="s">
        <v>412</v>
      </c>
      <c r="D99" s="1519" t="s">
        <v>417</v>
      </c>
      <c r="E99" s="1537">
        <v>400</v>
      </c>
    </row>
    <row r="100" spans="1:5" ht="16.5" thickBot="1" x14ac:dyDescent="0.3">
      <c r="A100" s="1521" t="s">
        <v>582</v>
      </c>
      <c r="B100" s="1520" t="s">
        <v>583</v>
      </c>
      <c r="C100" s="1519" t="s">
        <v>544</v>
      </c>
      <c r="D100" s="1519" t="s">
        <v>417</v>
      </c>
      <c r="E100" s="1537">
        <v>200</v>
      </c>
    </row>
    <row r="101" spans="1:5" ht="16.5" thickBot="1" x14ac:dyDescent="0.3">
      <c r="A101" s="1523" t="s">
        <v>584</v>
      </c>
      <c r="B101" s="1524" t="s">
        <v>585</v>
      </c>
      <c r="C101" s="1523" t="s">
        <v>412</v>
      </c>
      <c r="D101" s="1523" t="s">
        <v>417</v>
      </c>
      <c r="E101" s="1532">
        <v>400</v>
      </c>
    </row>
    <row r="102" spans="1:5" ht="16.5" thickBot="1" x14ac:dyDescent="0.3">
      <c r="A102" s="1523" t="s">
        <v>586</v>
      </c>
      <c r="B102" s="1524" t="s">
        <v>587</v>
      </c>
      <c r="C102" s="1523" t="s">
        <v>412</v>
      </c>
      <c r="D102" s="1523" t="s">
        <v>417</v>
      </c>
      <c r="E102" s="1532">
        <v>600</v>
      </c>
    </row>
    <row r="103" spans="1:5" x14ac:dyDescent="0.25">
      <c r="A103" s="1523" t="s">
        <v>588</v>
      </c>
      <c r="B103" s="1524" t="s">
        <v>589</v>
      </c>
      <c r="C103" s="1523" t="s">
        <v>412</v>
      </c>
      <c r="D103" s="1523" t="s">
        <v>420</v>
      </c>
      <c r="E103" s="1532">
        <v>200</v>
      </c>
    </row>
    <row r="104" spans="1:5" ht="16.5" thickBot="1" x14ac:dyDescent="0.3">
      <c r="A104" s="1521" t="s">
        <v>590</v>
      </c>
      <c r="B104" s="1520" t="s">
        <v>591</v>
      </c>
      <c r="C104" s="1519" t="s">
        <v>412</v>
      </c>
      <c r="D104" s="1519" t="s">
        <v>420</v>
      </c>
      <c r="E104" s="1537">
        <v>400</v>
      </c>
    </row>
    <row r="105" spans="1:5" ht="16.5" thickBot="1" x14ac:dyDescent="0.3">
      <c r="A105" s="1523" t="s">
        <v>592</v>
      </c>
      <c r="B105" s="1524" t="s">
        <v>593</v>
      </c>
      <c r="C105" s="1523" t="s">
        <v>544</v>
      </c>
      <c r="D105" s="1523" t="s">
        <v>420</v>
      </c>
      <c r="E105" s="1532">
        <v>300</v>
      </c>
    </row>
    <row r="106" spans="1:5" ht="16.5" thickBot="1" x14ac:dyDescent="0.3">
      <c r="A106" s="1523" t="s">
        <v>594</v>
      </c>
      <c r="B106" s="1524" t="s">
        <v>595</v>
      </c>
      <c r="C106" s="1523" t="s">
        <v>544</v>
      </c>
      <c r="D106" s="1523" t="s">
        <v>596</v>
      </c>
      <c r="E106" s="1532">
        <v>300</v>
      </c>
    </row>
    <row r="107" spans="1:5" ht="16.5" thickBot="1" x14ac:dyDescent="0.3">
      <c r="A107" s="1515" t="s">
        <v>597</v>
      </c>
      <c r="B107" s="1526" t="s">
        <v>598</v>
      </c>
      <c r="C107" s="1516" t="s">
        <v>412</v>
      </c>
      <c r="D107" s="1516" t="s">
        <v>420</v>
      </c>
      <c r="E107" s="1533">
        <v>400</v>
      </c>
    </row>
    <row r="108" spans="1:5" x14ac:dyDescent="0.25">
      <c r="A108" s="2749" t="s">
        <v>599</v>
      </c>
      <c r="B108" s="2751" t="s">
        <v>600</v>
      </c>
      <c r="C108" s="2749" t="s">
        <v>412</v>
      </c>
      <c r="D108" s="2749" t="s">
        <v>420</v>
      </c>
      <c r="E108" s="2753">
        <v>200</v>
      </c>
    </row>
    <row r="109" spans="1:5" ht="16.5" thickBot="1" x14ac:dyDescent="0.3">
      <c r="A109" s="2750"/>
      <c r="B109" s="2752"/>
      <c r="C109" s="2750"/>
      <c r="D109" s="2750"/>
      <c r="E109" s="2754"/>
    </row>
    <row r="110" spans="1:5" ht="16.5" thickBot="1" x14ac:dyDescent="0.3">
      <c r="A110" s="1523" t="s">
        <v>592</v>
      </c>
      <c r="B110" s="1524" t="s">
        <v>601</v>
      </c>
      <c r="C110" s="1523" t="s">
        <v>412</v>
      </c>
      <c r="D110" s="1523" t="s">
        <v>420</v>
      </c>
      <c r="E110" s="1532">
        <v>400</v>
      </c>
    </row>
    <row r="111" spans="1:5" x14ac:dyDescent="0.25">
      <c r="A111" s="2749" t="s">
        <v>602</v>
      </c>
      <c r="B111" s="2751" t="s">
        <v>603</v>
      </c>
      <c r="C111" s="2749" t="s">
        <v>412</v>
      </c>
      <c r="D111" s="2749" t="s">
        <v>420</v>
      </c>
      <c r="E111" s="2753">
        <v>300</v>
      </c>
    </row>
    <row r="112" spans="1:5" ht="16.5" thickBot="1" x14ac:dyDescent="0.3">
      <c r="A112" s="2750"/>
      <c r="B112" s="2752"/>
      <c r="C112" s="2750"/>
      <c r="D112" s="2750"/>
      <c r="E112" s="2754"/>
    </row>
    <row r="113" spans="1:5" ht="16.5" thickBot="1" x14ac:dyDescent="0.3">
      <c r="A113" s="1523" t="s">
        <v>604</v>
      </c>
      <c r="B113" s="1524" t="s">
        <v>605</v>
      </c>
      <c r="C113" s="1523" t="s">
        <v>412</v>
      </c>
      <c r="D113" s="1523" t="s">
        <v>476</v>
      </c>
      <c r="E113" s="1532">
        <v>200</v>
      </c>
    </row>
    <row r="114" spans="1:5" ht="16.5" thickBot="1" x14ac:dyDescent="0.3">
      <c r="A114" s="1523" t="s">
        <v>606</v>
      </c>
      <c r="B114" s="1524" t="s">
        <v>607</v>
      </c>
      <c r="C114" s="1523" t="s">
        <v>412</v>
      </c>
      <c r="D114" s="1523" t="s">
        <v>476</v>
      </c>
      <c r="E114" s="1532">
        <v>400</v>
      </c>
    </row>
    <row r="115" spans="1:5" x14ac:dyDescent="0.25">
      <c r="A115" s="2749" t="s">
        <v>608</v>
      </c>
      <c r="B115" s="2751" t="s">
        <v>609</v>
      </c>
      <c r="C115" s="2749" t="s">
        <v>412</v>
      </c>
      <c r="D115" s="2749" t="s">
        <v>476</v>
      </c>
      <c r="E115" s="2753">
        <v>200</v>
      </c>
    </row>
    <row r="116" spans="1:5" ht="16.5" thickBot="1" x14ac:dyDescent="0.3">
      <c r="A116" s="2750"/>
      <c r="B116" s="2752"/>
      <c r="C116" s="2750"/>
      <c r="D116" s="2750"/>
      <c r="E116" s="2754"/>
    </row>
    <row r="117" spans="1:5" x14ac:dyDescent="0.25">
      <c r="A117" s="2749" t="s">
        <v>610</v>
      </c>
      <c r="B117" s="2751" t="s">
        <v>611</v>
      </c>
      <c r="C117" s="2749" t="s">
        <v>412</v>
      </c>
      <c r="D117" s="2749" t="s">
        <v>476</v>
      </c>
      <c r="E117" s="2753">
        <v>200</v>
      </c>
    </row>
    <row r="118" spans="1:5" ht="16.5" thickBot="1" x14ac:dyDescent="0.3">
      <c r="A118" s="2750"/>
      <c r="B118" s="2752"/>
      <c r="C118" s="2750"/>
      <c r="D118" s="2750"/>
      <c r="E118" s="2754"/>
    </row>
    <row r="119" spans="1:5" x14ac:dyDescent="0.25">
      <c r="A119" s="2749" t="s">
        <v>612</v>
      </c>
      <c r="B119" s="2751" t="s">
        <v>613</v>
      </c>
      <c r="C119" s="2749" t="s">
        <v>412</v>
      </c>
      <c r="D119" s="2749" t="s">
        <v>476</v>
      </c>
      <c r="E119" s="2753">
        <v>400</v>
      </c>
    </row>
    <row r="120" spans="1:5" ht="16.5" thickBot="1" x14ac:dyDescent="0.3">
      <c r="A120" s="2750"/>
      <c r="B120" s="2752"/>
      <c r="C120" s="2750"/>
      <c r="D120" s="2750"/>
      <c r="E120" s="2754"/>
    </row>
    <row r="121" spans="1:5" ht="16.5" thickBot="1" x14ac:dyDescent="0.3">
      <c r="A121" s="1515" t="s">
        <v>606</v>
      </c>
      <c r="B121" s="1530" t="s">
        <v>614</v>
      </c>
      <c r="C121" s="1515" t="s">
        <v>412</v>
      </c>
      <c r="D121" s="1515" t="s">
        <v>508</v>
      </c>
      <c r="E121" s="1534">
        <v>200</v>
      </c>
    </row>
    <row r="122" spans="1:5" ht="16.5" thickBot="1" x14ac:dyDescent="0.3">
      <c r="A122" s="1521" t="s">
        <v>608</v>
      </c>
      <c r="B122" s="1520" t="s">
        <v>615</v>
      </c>
      <c r="C122" s="1519" t="s">
        <v>412</v>
      </c>
      <c r="D122" s="1519" t="s">
        <v>443</v>
      </c>
      <c r="E122" s="1537">
        <v>200</v>
      </c>
    </row>
    <row r="123" spans="1:5" ht="19.5" customHeight="1" thickBot="1" x14ac:dyDescent="0.3">
      <c r="A123" s="1521" t="s">
        <v>610</v>
      </c>
      <c r="B123" s="1520" t="s">
        <v>616</v>
      </c>
      <c r="C123" s="1519" t="s">
        <v>544</v>
      </c>
      <c r="D123" s="1519" t="s">
        <v>519</v>
      </c>
      <c r="E123" s="1537">
        <v>200</v>
      </c>
    </row>
    <row r="124" spans="1:5" ht="16.5" thickBot="1" x14ac:dyDescent="0.3">
      <c r="D124" s="1531" t="s">
        <v>16</v>
      </c>
      <c r="E124" s="1535">
        <f>SUM(E92:E123)</f>
        <v>7600</v>
      </c>
    </row>
    <row r="126" spans="1:5" ht="16.5" thickBot="1" x14ac:dyDescent="0.3">
      <c r="A126" s="1527" t="s">
        <v>617</v>
      </c>
      <c r="B126" s="1553" t="s">
        <v>709</v>
      </c>
    </row>
    <row r="127" spans="1:5" ht="16.5" thickBot="1" x14ac:dyDescent="0.3">
      <c r="A127" s="1515" t="s">
        <v>618</v>
      </c>
      <c r="B127" s="1526" t="s">
        <v>619</v>
      </c>
      <c r="C127" s="1516" t="s">
        <v>544</v>
      </c>
      <c r="D127" s="1516" t="s">
        <v>620</v>
      </c>
      <c r="E127" s="1533">
        <v>200</v>
      </c>
    </row>
    <row r="128" spans="1:5" x14ac:dyDescent="0.25">
      <c r="A128" s="2749" t="s">
        <v>621</v>
      </c>
      <c r="B128" s="2751" t="s">
        <v>622</v>
      </c>
      <c r="C128" s="2749" t="s">
        <v>412</v>
      </c>
      <c r="D128" s="1517" t="s">
        <v>623</v>
      </c>
      <c r="E128" s="2753">
        <v>200</v>
      </c>
    </row>
    <row r="129" spans="1:5" ht="16.5" thickBot="1" x14ac:dyDescent="0.3">
      <c r="A129" s="2750"/>
      <c r="B129" s="2752"/>
      <c r="C129" s="2750"/>
      <c r="D129" s="1519" t="s">
        <v>443</v>
      </c>
      <c r="E129" s="2754"/>
    </row>
    <row r="130" spans="1:5" ht="16.5" thickBot="1" x14ac:dyDescent="0.3">
      <c r="A130" s="1521" t="s">
        <v>624</v>
      </c>
      <c r="B130" s="1520" t="s">
        <v>625</v>
      </c>
      <c r="C130" s="1519" t="s">
        <v>544</v>
      </c>
      <c r="D130" s="1519" t="s">
        <v>417</v>
      </c>
      <c r="E130" s="1537">
        <v>200</v>
      </c>
    </row>
    <row r="131" spans="1:5" x14ac:dyDescent="0.25">
      <c r="A131" s="2749" t="s">
        <v>626</v>
      </c>
      <c r="B131" s="2751" t="s">
        <v>627</v>
      </c>
      <c r="C131" s="2749" t="s">
        <v>412</v>
      </c>
      <c r="D131" s="2749" t="s">
        <v>417</v>
      </c>
      <c r="E131" s="2753">
        <v>200</v>
      </c>
    </row>
    <row r="132" spans="1:5" ht="16.5" thickBot="1" x14ac:dyDescent="0.3">
      <c r="A132" s="2750"/>
      <c r="B132" s="2752"/>
      <c r="C132" s="2750"/>
      <c r="D132" s="2750"/>
      <c r="E132" s="2754"/>
    </row>
    <row r="133" spans="1:5" ht="16.5" thickBot="1" x14ac:dyDescent="0.3">
      <c r="A133" s="1521" t="s">
        <v>628</v>
      </c>
      <c r="B133" s="1520" t="s">
        <v>629</v>
      </c>
      <c r="C133" s="1519" t="s">
        <v>423</v>
      </c>
      <c r="D133" s="1519" t="s">
        <v>420</v>
      </c>
      <c r="E133" s="1537">
        <v>200</v>
      </c>
    </row>
    <row r="134" spans="1:5" ht="16.5" thickBot="1" x14ac:dyDescent="0.3">
      <c r="A134" s="1521" t="s">
        <v>630</v>
      </c>
      <c r="B134" s="1522" t="s">
        <v>631</v>
      </c>
      <c r="C134" s="1519" t="s">
        <v>412</v>
      </c>
      <c r="D134" s="1519" t="s">
        <v>420</v>
      </c>
      <c r="E134" s="1537">
        <v>200</v>
      </c>
    </row>
    <row r="135" spans="1:5" ht="16.5" thickBot="1" x14ac:dyDescent="0.3">
      <c r="A135" s="1521" t="s">
        <v>632</v>
      </c>
      <c r="B135" s="1514" t="s">
        <v>633</v>
      </c>
      <c r="C135" s="1519" t="s">
        <v>423</v>
      </c>
      <c r="D135" s="1519" t="s">
        <v>420</v>
      </c>
      <c r="E135" s="1537">
        <v>200</v>
      </c>
    </row>
    <row r="136" spans="1:5" ht="19.5" customHeight="1" thickBot="1" x14ac:dyDescent="0.3">
      <c r="A136" s="1521" t="s">
        <v>634</v>
      </c>
      <c r="B136" s="1520" t="s">
        <v>635</v>
      </c>
      <c r="C136" s="1519" t="s">
        <v>423</v>
      </c>
      <c r="D136" s="1519" t="s">
        <v>420</v>
      </c>
      <c r="E136" s="1537">
        <v>200</v>
      </c>
    </row>
    <row r="137" spans="1:5" ht="32.25" thickBot="1" x14ac:dyDescent="0.3">
      <c r="A137" s="1521" t="s">
        <v>636</v>
      </c>
      <c r="B137" s="1520" t="s">
        <v>637</v>
      </c>
      <c r="C137" s="1519" t="s">
        <v>544</v>
      </c>
      <c r="D137" s="1519" t="s">
        <v>638</v>
      </c>
      <c r="E137" s="1537">
        <v>200</v>
      </c>
    </row>
    <row r="138" spans="1:5" ht="16.5" thickBot="1" x14ac:dyDescent="0.3">
      <c r="A138" s="1521" t="s">
        <v>639</v>
      </c>
      <c r="B138" s="1520" t="s">
        <v>640</v>
      </c>
      <c r="C138" s="1519" t="s">
        <v>412</v>
      </c>
      <c r="D138" s="1519" t="s">
        <v>508</v>
      </c>
      <c r="E138" s="1537">
        <v>300</v>
      </c>
    </row>
    <row r="139" spans="1:5" ht="16.5" thickBot="1" x14ac:dyDescent="0.3">
      <c r="A139" s="1521" t="s">
        <v>641</v>
      </c>
      <c r="B139" s="1520" t="s">
        <v>642</v>
      </c>
      <c r="C139" s="1519" t="s">
        <v>412</v>
      </c>
      <c r="D139" s="1519" t="s">
        <v>643</v>
      </c>
      <c r="E139" s="1537">
        <v>200</v>
      </c>
    </row>
    <row r="140" spans="1:5" x14ac:dyDescent="0.25">
      <c r="A140" s="2749" t="s">
        <v>644</v>
      </c>
      <c r="B140" s="2751" t="s">
        <v>645</v>
      </c>
      <c r="C140" s="2749" t="s">
        <v>423</v>
      </c>
      <c r="D140" s="2749" t="s">
        <v>443</v>
      </c>
      <c r="E140" s="2753">
        <v>200</v>
      </c>
    </row>
    <row r="141" spans="1:5" ht="16.5" thickBot="1" x14ac:dyDescent="0.3">
      <c r="A141" s="2750"/>
      <c r="B141" s="2752"/>
      <c r="C141" s="2750"/>
      <c r="D141" s="2750"/>
      <c r="E141" s="2754"/>
    </row>
    <row r="142" spans="1:5" ht="32.25" thickBot="1" x14ac:dyDescent="0.3">
      <c r="A142" s="1521" t="s">
        <v>646</v>
      </c>
      <c r="B142" s="1520" t="s">
        <v>647</v>
      </c>
      <c r="C142" s="1519" t="s">
        <v>412</v>
      </c>
      <c r="D142" s="1519" t="s">
        <v>443</v>
      </c>
      <c r="E142" s="1537">
        <v>400</v>
      </c>
    </row>
    <row r="143" spans="1:5" ht="18.75" customHeight="1" thickBot="1" x14ac:dyDescent="0.3">
      <c r="A143" s="1521" t="s">
        <v>648</v>
      </c>
      <c r="B143" s="1520" t="s">
        <v>649</v>
      </c>
      <c r="C143" s="1519" t="s">
        <v>423</v>
      </c>
      <c r="D143" s="1519" t="s">
        <v>519</v>
      </c>
      <c r="E143" s="1537">
        <v>200</v>
      </c>
    </row>
    <row r="144" spans="1:5" ht="16.5" thickBot="1" x14ac:dyDescent="0.3">
      <c r="D144" s="1531" t="s">
        <v>16</v>
      </c>
      <c r="E144" s="1535">
        <f>SUM(E127:E143)</f>
        <v>3100</v>
      </c>
    </row>
    <row r="146" spans="1:5" ht="16.5" thickBot="1" x14ac:dyDescent="0.3">
      <c r="A146" s="1527" t="s">
        <v>650</v>
      </c>
      <c r="B146" s="1553" t="s">
        <v>710</v>
      </c>
    </row>
    <row r="147" spans="1:5" ht="16.5" thickBot="1" x14ac:dyDescent="0.3">
      <c r="A147" s="1523" t="s">
        <v>651</v>
      </c>
      <c r="B147" s="1524" t="s">
        <v>652</v>
      </c>
      <c r="C147" s="1523" t="s">
        <v>544</v>
      </c>
      <c r="D147" s="1523" t="s">
        <v>653</v>
      </c>
      <c r="E147" s="1532">
        <v>200</v>
      </c>
    </row>
    <row r="148" spans="1:5" ht="16.5" thickBot="1" x14ac:dyDescent="0.3">
      <c r="A148" s="1515" t="s">
        <v>654</v>
      </c>
      <c r="B148" s="1526" t="s">
        <v>655</v>
      </c>
      <c r="C148" s="1516" t="s">
        <v>412</v>
      </c>
      <c r="D148" s="1516" t="s">
        <v>409</v>
      </c>
      <c r="E148" s="1533">
        <v>200</v>
      </c>
    </row>
    <row r="149" spans="1:5" ht="16.5" thickBot="1" x14ac:dyDescent="0.3">
      <c r="A149" s="1521" t="s">
        <v>656</v>
      </c>
      <c r="B149" s="1520" t="s">
        <v>657</v>
      </c>
      <c r="C149" s="1519" t="s">
        <v>423</v>
      </c>
      <c r="D149" s="1519" t="s">
        <v>409</v>
      </c>
      <c r="E149" s="1537">
        <v>500</v>
      </c>
    </row>
    <row r="150" spans="1:5" ht="16.5" thickBot="1" x14ac:dyDescent="0.3">
      <c r="A150" s="1521" t="s">
        <v>658</v>
      </c>
      <c r="B150" s="1520" t="s">
        <v>659</v>
      </c>
      <c r="C150" s="1519" t="s">
        <v>412</v>
      </c>
      <c r="D150" s="1519" t="s">
        <v>660</v>
      </c>
      <c r="E150" s="1537">
        <v>400</v>
      </c>
    </row>
    <row r="151" spans="1:5" ht="16.5" thickBot="1" x14ac:dyDescent="0.3">
      <c r="A151" s="1521" t="s">
        <v>661</v>
      </c>
      <c r="B151" s="1520" t="s">
        <v>662</v>
      </c>
      <c r="C151" s="1519" t="s">
        <v>423</v>
      </c>
      <c r="D151" s="1519" t="s">
        <v>409</v>
      </c>
      <c r="E151" s="1537">
        <v>1200</v>
      </c>
    </row>
    <row r="152" spans="1:5" ht="16.5" thickBot="1" x14ac:dyDescent="0.3">
      <c r="A152" s="1521" t="s">
        <v>663</v>
      </c>
      <c r="B152" s="1520" t="s">
        <v>664</v>
      </c>
      <c r="C152" s="1519" t="s">
        <v>412</v>
      </c>
      <c r="D152" s="1519" t="s">
        <v>417</v>
      </c>
      <c r="E152" s="1537">
        <v>200</v>
      </c>
    </row>
    <row r="153" spans="1:5" ht="32.25" thickBot="1" x14ac:dyDescent="0.3">
      <c r="A153" s="1521" t="s">
        <v>665</v>
      </c>
      <c r="B153" s="1520" t="s">
        <v>666</v>
      </c>
      <c r="C153" s="1519" t="s">
        <v>408</v>
      </c>
      <c r="D153" s="1519" t="s">
        <v>417</v>
      </c>
      <c r="E153" s="1537">
        <v>300</v>
      </c>
    </row>
    <row r="154" spans="1:5" ht="32.25" thickBot="1" x14ac:dyDescent="0.3">
      <c r="A154" s="1521" t="s">
        <v>667</v>
      </c>
      <c r="B154" s="1520" t="s">
        <v>714</v>
      </c>
      <c r="C154" s="1519" t="s">
        <v>412</v>
      </c>
      <c r="D154" s="1519" t="s">
        <v>668</v>
      </c>
      <c r="E154" s="1537">
        <v>5000</v>
      </c>
    </row>
    <row r="155" spans="1:5" x14ac:dyDescent="0.25">
      <c r="A155" s="2749" t="s">
        <v>669</v>
      </c>
      <c r="B155" s="2751" t="s">
        <v>670</v>
      </c>
      <c r="C155" s="2749" t="s">
        <v>412</v>
      </c>
      <c r="D155" s="2749" t="s">
        <v>420</v>
      </c>
      <c r="E155" s="2753">
        <v>200</v>
      </c>
    </row>
    <row r="156" spans="1:5" ht="16.5" thickBot="1" x14ac:dyDescent="0.3">
      <c r="A156" s="2750"/>
      <c r="B156" s="2752"/>
      <c r="C156" s="2750"/>
      <c r="D156" s="2750"/>
      <c r="E156" s="2754"/>
    </row>
    <row r="157" spans="1:5" x14ac:dyDescent="0.25">
      <c r="A157" s="2749" t="s">
        <v>671</v>
      </c>
      <c r="B157" s="2751" t="s">
        <v>672</v>
      </c>
      <c r="C157" s="2749" t="s">
        <v>408</v>
      </c>
      <c r="D157" s="2749" t="s">
        <v>420</v>
      </c>
      <c r="E157" s="2753">
        <v>500</v>
      </c>
    </row>
    <row r="158" spans="1:5" ht="16.5" thickBot="1" x14ac:dyDescent="0.3">
      <c r="A158" s="2750"/>
      <c r="B158" s="2752"/>
      <c r="C158" s="2750"/>
      <c r="D158" s="2750"/>
      <c r="E158" s="2754"/>
    </row>
    <row r="159" spans="1:5" ht="16.5" thickBot="1" x14ac:dyDescent="0.3">
      <c r="A159" s="1523" t="s">
        <v>673</v>
      </c>
      <c r="B159" s="1524" t="s">
        <v>674</v>
      </c>
      <c r="C159" s="1523" t="s">
        <v>423</v>
      </c>
      <c r="D159" s="1523" t="s">
        <v>420</v>
      </c>
      <c r="E159" s="1532">
        <v>200</v>
      </c>
    </row>
    <row r="160" spans="1:5" ht="16.5" thickBot="1" x14ac:dyDescent="0.3">
      <c r="A160" s="1523" t="s">
        <v>675</v>
      </c>
      <c r="B160" s="1524" t="s">
        <v>676</v>
      </c>
      <c r="C160" s="1523" t="s">
        <v>423</v>
      </c>
      <c r="D160" s="1523" t="s">
        <v>420</v>
      </c>
      <c r="E160" s="1532">
        <v>200</v>
      </c>
    </row>
    <row r="161" spans="1:5" ht="16.5" thickBot="1" x14ac:dyDescent="0.3">
      <c r="A161" s="1515" t="s">
        <v>677</v>
      </c>
      <c r="B161" s="1526" t="s">
        <v>678</v>
      </c>
      <c r="C161" s="1516" t="s">
        <v>412</v>
      </c>
      <c r="D161" s="1516" t="s">
        <v>476</v>
      </c>
      <c r="E161" s="1533">
        <v>200</v>
      </c>
    </row>
    <row r="162" spans="1:5" ht="16.5" thickBot="1" x14ac:dyDescent="0.3">
      <c r="A162" s="1521" t="s">
        <v>679</v>
      </c>
      <c r="B162" s="1520" t="s">
        <v>680</v>
      </c>
      <c r="C162" s="1519" t="s">
        <v>408</v>
      </c>
      <c r="D162" s="1519" t="s">
        <v>476</v>
      </c>
      <c r="E162" s="1537">
        <v>200</v>
      </c>
    </row>
    <row r="163" spans="1:5" ht="16.5" thickBot="1" x14ac:dyDescent="0.3">
      <c r="A163" s="1521" t="s">
        <v>681</v>
      </c>
      <c r="B163" s="1520" t="s">
        <v>682</v>
      </c>
      <c r="C163" s="1519" t="s">
        <v>408</v>
      </c>
      <c r="D163" s="1519" t="s">
        <v>476</v>
      </c>
      <c r="E163" s="1537">
        <v>1000</v>
      </c>
    </row>
    <row r="164" spans="1:5" ht="16.5" thickBot="1" x14ac:dyDescent="0.3">
      <c r="A164" s="1523" t="s">
        <v>683</v>
      </c>
      <c r="B164" s="1524" t="s">
        <v>684</v>
      </c>
      <c r="C164" s="1523" t="s">
        <v>544</v>
      </c>
      <c r="D164" s="1523" t="s">
        <v>476</v>
      </c>
      <c r="E164" s="1532">
        <v>200</v>
      </c>
    </row>
    <row r="165" spans="1:5" ht="32.25" thickBot="1" x14ac:dyDescent="0.3">
      <c r="A165" s="1515" t="s">
        <v>685</v>
      </c>
      <c r="B165" s="1526" t="s">
        <v>686</v>
      </c>
      <c r="C165" s="1516" t="s">
        <v>412</v>
      </c>
      <c r="D165" s="1516" t="s">
        <v>476</v>
      </c>
      <c r="E165" s="1533">
        <v>1000</v>
      </c>
    </row>
    <row r="166" spans="1:5" ht="16.5" thickBot="1" x14ac:dyDescent="0.3">
      <c r="A166" s="1523" t="s">
        <v>687</v>
      </c>
      <c r="B166" s="1524" t="s">
        <v>688</v>
      </c>
      <c r="C166" s="1523" t="s">
        <v>412</v>
      </c>
      <c r="D166" s="1523" t="s">
        <v>476</v>
      </c>
      <c r="E166" s="1532">
        <v>300</v>
      </c>
    </row>
    <row r="167" spans="1:5" ht="16.5" thickBot="1" x14ac:dyDescent="0.3">
      <c r="A167" s="1515" t="s">
        <v>689</v>
      </c>
      <c r="B167" s="1526" t="s">
        <v>690</v>
      </c>
      <c r="C167" s="1516" t="s">
        <v>408</v>
      </c>
      <c r="D167" s="1516" t="s">
        <v>508</v>
      </c>
      <c r="E167" s="1533">
        <v>500</v>
      </c>
    </row>
    <row r="168" spans="1:5" ht="16.5" thickBot="1" x14ac:dyDescent="0.3">
      <c r="A168" s="1521" t="s">
        <v>691</v>
      </c>
      <c r="B168" s="1520" t="s">
        <v>692</v>
      </c>
      <c r="C168" s="1519" t="s">
        <v>544</v>
      </c>
      <c r="D168" s="1519" t="s">
        <v>476</v>
      </c>
      <c r="E168" s="1537">
        <v>400</v>
      </c>
    </row>
    <row r="169" spans="1:5" ht="16.5" thickBot="1" x14ac:dyDescent="0.3">
      <c r="A169" s="1521" t="s">
        <v>693</v>
      </c>
      <c r="B169" s="1520" t="s">
        <v>694</v>
      </c>
      <c r="C169" s="1519" t="s">
        <v>423</v>
      </c>
      <c r="D169" s="1519" t="s">
        <v>695</v>
      </c>
      <c r="E169" s="1537">
        <v>200</v>
      </c>
    </row>
    <row r="170" spans="1:5" x14ac:dyDescent="0.25">
      <c r="A170" s="2749" t="s">
        <v>696</v>
      </c>
      <c r="B170" s="2751" t="s">
        <v>697</v>
      </c>
      <c r="C170" s="2749" t="s">
        <v>544</v>
      </c>
      <c r="D170" s="2749" t="s">
        <v>436</v>
      </c>
      <c r="E170" s="2753">
        <v>200</v>
      </c>
    </row>
    <row r="171" spans="1:5" ht="16.5" thickBot="1" x14ac:dyDescent="0.3">
      <c r="A171" s="2750"/>
      <c r="B171" s="2752"/>
      <c r="C171" s="2750"/>
      <c r="D171" s="2750"/>
      <c r="E171" s="2754"/>
    </row>
    <row r="172" spans="1:5" ht="16.5" thickBot="1" x14ac:dyDescent="0.3">
      <c r="A172" s="1521" t="s">
        <v>698</v>
      </c>
      <c r="B172" s="1520" t="s">
        <v>699</v>
      </c>
      <c r="C172" s="1519" t="s">
        <v>408</v>
      </c>
      <c r="D172" s="1519" t="s">
        <v>436</v>
      </c>
      <c r="E172" s="1537">
        <v>200</v>
      </c>
    </row>
    <row r="173" spans="1:5" ht="16.5" thickBot="1" x14ac:dyDescent="0.3">
      <c r="A173" s="1523" t="s">
        <v>700</v>
      </c>
      <c r="B173" s="1524" t="s">
        <v>701</v>
      </c>
      <c r="C173" s="1523" t="s">
        <v>412</v>
      </c>
      <c r="D173" s="1523" t="s">
        <v>443</v>
      </c>
      <c r="E173" s="1532">
        <v>200</v>
      </c>
    </row>
    <row r="174" spans="1:5" ht="16.5" thickBot="1" x14ac:dyDescent="0.3">
      <c r="A174" s="1515" t="s">
        <v>702</v>
      </c>
      <c r="B174" s="1530" t="s">
        <v>703</v>
      </c>
      <c r="C174" s="1515" t="s">
        <v>408</v>
      </c>
      <c r="D174" s="1515" t="s">
        <v>443</v>
      </c>
      <c r="E174" s="1532">
        <v>400</v>
      </c>
    </row>
    <row r="175" spans="1:5" ht="16.5" thickBot="1" x14ac:dyDescent="0.3">
      <c r="D175" s="1549" t="s">
        <v>16</v>
      </c>
      <c r="E175" s="1554">
        <f>SUM(E147:E174)</f>
        <v>14100</v>
      </c>
    </row>
    <row r="177" spans="3:5" x14ac:dyDescent="0.25">
      <c r="C177" s="2748" t="s">
        <v>715</v>
      </c>
      <c r="D177" s="2748"/>
      <c r="E177" s="1540">
        <f>+E175+E144+E124+E89+E65+E51+E17</f>
        <v>87800</v>
      </c>
    </row>
  </sheetData>
  <mergeCells count="100">
    <mergeCell ref="A45:A46"/>
    <mergeCell ref="B45:B46"/>
    <mergeCell ref="C45:C46"/>
    <mergeCell ref="D45:D46"/>
    <mergeCell ref="E45:E46"/>
    <mergeCell ref="A43:A44"/>
    <mergeCell ref="B43:B44"/>
    <mergeCell ref="C43:C44"/>
    <mergeCell ref="D43:D44"/>
    <mergeCell ref="E43:E44"/>
    <mergeCell ref="A119:A120"/>
    <mergeCell ref="B119:B120"/>
    <mergeCell ref="A76:A77"/>
    <mergeCell ref="B76:B77"/>
    <mergeCell ref="C76:C77"/>
    <mergeCell ref="A117:A118"/>
    <mergeCell ref="B117:B118"/>
    <mergeCell ref="C117:C118"/>
    <mergeCell ref="A111:A112"/>
    <mergeCell ref="B111:B112"/>
    <mergeCell ref="C111:C112"/>
    <mergeCell ref="A115:A116"/>
    <mergeCell ref="B115:B116"/>
    <mergeCell ref="C115:C116"/>
    <mergeCell ref="D131:D132"/>
    <mergeCell ref="E131:E132"/>
    <mergeCell ref="A128:A129"/>
    <mergeCell ref="B128:B129"/>
    <mergeCell ref="C128:C129"/>
    <mergeCell ref="E128:E129"/>
    <mergeCell ref="A131:A132"/>
    <mergeCell ref="B131:B132"/>
    <mergeCell ref="C131:C132"/>
    <mergeCell ref="A20:A21"/>
    <mergeCell ref="B20:B21"/>
    <mergeCell ref="C20:C21"/>
    <mergeCell ref="D20:D21"/>
    <mergeCell ref="E20:E21"/>
    <mergeCell ref="A37:A38"/>
    <mergeCell ref="B37:B38"/>
    <mergeCell ref="C37:C38"/>
    <mergeCell ref="D37:D38"/>
    <mergeCell ref="E37:E38"/>
    <mergeCell ref="A33:A34"/>
    <mergeCell ref="B33:B34"/>
    <mergeCell ref="C33:C34"/>
    <mergeCell ref="D33:D34"/>
    <mergeCell ref="E33:E34"/>
    <mergeCell ref="A41:A42"/>
    <mergeCell ref="B41:B42"/>
    <mergeCell ref="C41:C42"/>
    <mergeCell ref="D41:D42"/>
    <mergeCell ref="E41:E42"/>
    <mergeCell ref="A39:A40"/>
    <mergeCell ref="B39:B40"/>
    <mergeCell ref="C39:C40"/>
    <mergeCell ref="D39:D40"/>
    <mergeCell ref="E39:E40"/>
    <mergeCell ref="E49:E50"/>
    <mergeCell ref="A108:A109"/>
    <mergeCell ref="B108:B109"/>
    <mergeCell ref="C108:C109"/>
    <mergeCell ref="D108:D109"/>
    <mergeCell ref="E108:E109"/>
    <mergeCell ref="D76:D77"/>
    <mergeCell ref="E76:E77"/>
    <mergeCell ref="A49:A50"/>
    <mergeCell ref="B49:B50"/>
    <mergeCell ref="C49:C50"/>
    <mergeCell ref="D49:D50"/>
    <mergeCell ref="D111:D112"/>
    <mergeCell ref="E111:E112"/>
    <mergeCell ref="C119:C120"/>
    <mergeCell ref="D119:D120"/>
    <mergeCell ref="E119:E120"/>
    <mergeCell ref="D117:D118"/>
    <mergeCell ref="E117:E118"/>
    <mergeCell ref="D115:D116"/>
    <mergeCell ref="E115:E116"/>
    <mergeCell ref="A155:A156"/>
    <mergeCell ref="B155:B156"/>
    <mergeCell ref="C155:C156"/>
    <mergeCell ref="D155:D156"/>
    <mergeCell ref="E155:E156"/>
    <mergeCell ref="A140:A141"/>
    <mergeCell ref="B140:B141"/>
    <mergeCell ref="C140:C141"/>
    <mergeCell ref="D140:D141"/>
    <mergeCell ref="E140:E141"/>
    <mergeCell ref="E170:E171"/>
    <mergeCell ref="A157:A158"/>
    <mergeCell ref="B157:B158"/>
    <mergeCell ref="C157:C158"/>
    <mergeCell ref="D157:D158"/>
    <mergeCell ref="E157:E158"/>
    <mergeCell ref="C177:D177"/>
    <mergeCell ref="A170:A171"/>
    <mergeCell ref="B170:B171"/>
    <mergeCell ref="C170:C171"/>
    <mergeCell ref="D170:D17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273"/>
  <sheetViews>
    <sheetView zoomScaleNormal="100" zoomScaleSheetLayoutView="80" workbookViewId="0"/>
  </sheetViews>
  <sheetFormatPr defaultRowHeight="12.75" x14ac:dyDescent="0.2"/>
  <cols>
    <col min="1" max="3" width="2.42578125" style="61" customWidth="1"/>
    <col min="4" max="4" width="32.5703125" style="39" customWidth="1"/>
    <col min="5" max="6" width="3" style="45" customWidth="1"/>
    <col min="7" max="7" width="9.7109375" style="91" customWidth="1"/>
    <col min="8" max="16" width="8.85546875" style="111" customWidth="1"/>
    <col min="17" max="17" width="23.5703125" style="39" customWidth="1"/>
    <col min="18" max="18" width="7" style="45" customWidth="1"/>
    <col min="19" max="20" width="6.42578125" style="750" customWidth="1"/>
    <col min="21" max="21" width="23.5703125" style="750" customWidth="1"/>
    <col min="22" max="22" width="11.140625" style="38" customWidth="1"/>
    <col min="23" max="16384" width="9.140625" style="38"/>
  </cols>
  <sheetData>
    <row r="1" spans="1:23" ht="28.5" customHeight="1" x14ac:dyDescent="0.2">
      <c r="Q1" s="2494" t="s">
        <v>108</v>
      </c>
      <c r="R1" s="2494"/>
      <c r="S1" s="2494"/>
      <c r="T1" s="2494"/>
      <c r="U1" s="2494"/>
    </row>
    <row r="2" spans="1:23" s="123" customFormat="1" ht="15.75" x14ac:dyDescent="0.2">
      <c r="A2" s="2495" t="s">
        <v>235</v>
      </c>
      <c r="B2" s="2495"/>
      <c r="C2" s="2495"/>
      <c r="D2" s="2495"/>
      <c r="E2" s="2495"/>
      <c r="F2" s="2495"/>
      <c r="G2" s="2495"/>
      <c r="H2" s="2495"/>
      <c r="I2" s="2495"/>
      <c r="J2" s="2495"/>
      <c r="K2" s="2495"/>
      <c r="L2" s="2495"/>
      <c r="M2" s="2495"/>
      <c r="N2" s="2495"/>
      <c r="O2" s="2495"/>
      <c r="P2" s="2495"/>
      <c r="Q2" s="2495"/>
      <c r="R2" s="2495"/>
      <c r="S2" s="2495"/>
      <c r="T2" s="2495"/>
      <c r="U2" s="2495"/>
    </row>
    <row r="3" spans="1:23" s="123" customFormat="1" ht="15.75" x14ac:dyDescent="0.2">
      <c r="A3" s="2496" t="s">
        <v>30</v>
      </c>
      <c r="B3" s="2496"/>
      <c r="C3" s="2496"/>
      <c r="D3" s="2496"/>
      <c r="E3" s="2496"/>
      <c r="F3" s="2496"/>
      <c r="G3" s="2496"/>
      <c r="H3" s="2496"/>
      <c r="I3" s="2496"/>
      <c r="J3" s="2496"/>
      <c r="K3" s="2496"/>
      <c r="L3" s="2496"/>
      <c r="M3" s="2496"/>
      <c r="N3" s="2496"/>
      <c r="O3" s="2496"/>
      <c r="P3" s="2496"/>
      <c r="Q3" s="2496"/>
      <c r="R3" s="2496"/>
      <c r="S3" s="2496"/>
      <c r="T3" s="2496"/>
      <c r="U3" s="2496"/>
    </row>
    <row r="4" spans="1:23" s="123" customFormat="1" ht="15.75" x14ac:dyDescent="0.2">
      <c r="A4" s="2497" t="s">
        <v>55</v>
      </c>
      <c r="B4" s="2497"/>
      <c r="C4" s="2497"/>
      <c r="D4" s="2497"/>
      <c r="E4" s="2497"/>
      <c r="F4" s="2497"/>
      <c r="G4" s="2497"/>
      <c r="H4" s="2497"/>
      <c r="I4" s="2497"/>
      <c r="J4" s="2497"/>
      <c r="K4" s="2497"/>
      <c r="L4" s="2497"/>
      <c r="M4" s="2497"/>
      <c r="N4" s="2497"/>
      <c r="O4" s="2497"/>
      <c r="P4" s="2497"/>
      <c r="Q4" s="2497"/>
      <c r="R4" s="2497"/>
      <c r="S4" s="2497"/>
      <c r="T4" s="2497"/>
      <c r="U4" s="2497"/>
    </row>
    <row r="5" spans="1:23" ht="20.25" customHeight="1" thickBot="1" x14ac:dyDescent="0.25">
      <c r="A5" s="90"/>
      <c r="B5" s="90"/>
      <c r="C5" s="2498" t="s">
        <v>76</v>
      </c>
      <c r="D5" s="2498"/>
      <c r="E5" s="2498"/>
      <c r="F5" s="2498"/>
      <c r="G5" s="2498"/>
      <c r="H5" s="2498"/>
      <c r="I5" s="2498"/>
      <c r="J5" s="2498"/>
      <c r="K5" s="2498"/>
      <c r="L5" s="2498"/>
      <c r="M5" s="2498"/>
      <c r="N5" s="2498"/>
      <c r="O5" s="2498"/>
      <c r="P5" s="2498"/>
      <c r="Q5" s="2498"/>
      <c r="R5" s="2498"/>
      <c r="S5" s="2498"/>
      <c r="T5" s="2498"/>
      <c r="U5" s="2498"/>
    </row>
    <row r="6" spans="1:23" ht="24" customHeight="1" x14ac:dyDescent="0.2">
      <c r="A6" s="2499" t="s">
        <v>8</v>
      </c>
      <c r="B6" s="2502" t="s">
        <v>9</v>
      </c>
      <c r="C6" s="2505" t="s">
        <v>10</v>
      </c>
      <c r="D6" s="2508" t="s">
        <v>122</v>
      </c>
      <c r="E6" s="2511" t="s">
        <v>11</v>
      </c>
      <c r="F6" s="2491" t="s">
        <v>12</v>
      </c>
      <c r="G6" s="2486" t="s">
        <v>13</v>
      </c>
      <c r="H6" s="2483" t="s">
        <v>123</v>
      </c>
      <c r="I6" s="2477" t="s">
        <v>257</v>
      </c>
      <c r="J6" s="2480" t="s">
        <v>109</v>
      </c>
      <c r="K6" s="2483" t="s">
        <v>79</v>
      </c>
      <c r="L6" s="2477" t="s">
        <v>261</v>
      </c>
      <c r="M6" s="2480" t="s">
        <v>109</v>
      </c>
      <c r="N6" s="2483" t="s">
        <v>124</v>
      </c>
      <c r="O6" s="2477" t="s">
        <v>262</v>
      </c>
      <c r="P6" s="2486" t="s">
        <v>109</v>
      </c>
      <c r="Q6" s="2489" t="s">
        <v>125</v>
      </c>
      <c r="R6" s="2490"/>
      <c r="S6" s="2490"/>
      <c r="T6" s="2490"/>
      <c r="U6" s="2514" t="s">
        <v>260</v>
      </c>
    </row>
    <row r="7" spans="1:23" ht="15.75" customHeight="1" x14ac:dyDescent="0.2">
      <c r="A7" s="2500"/>
      <c r="B7" s="2503"/>
      <c r="C7" s="2506"/>
      <c r="D7" s="2509"/>
      <c r="E7" s="2512"/>
      <c r="F7" s="2492"/>
      <c r="G7" s="2487"/>
      <c r="H7" s="2484"/>
      <c r="I7" s="2478"/>
      <c r="J7" s="2481"/>
      <c r="K7" s="2484"/>
      <c r="L7" s="2478"/>
      <c r="M7" s="2481"/>
      <c r="N7" s="2484"/>
      <c r="O7" s="2478"/>
      <c r="P7" s="2487"/>
      <c r="Q7" s="2517" t="s">
        <v>23</v>
      </c>
      <c r="R7" s="2519" t="s">
        <v>59</v>
      </c>
      <c r="S7" s="2520"/>
      <c r="T7" s="2520"/>
      <c r="U7" s="2515"/>
    </row>
    <row r="8" spans="1:23" ht="91.5" customHeight="1" thickBot="1" x14ac:dyDescent="0.25">
      <c r="A8" s="2501"/>
      <c r="B8" s="2504"/>
      <c r="C8" s="2507"/>
      <c r="D8" s="2510"/>
      <c r="E8" s="2513"/>
      <c r="F8" s="2493"/>
      <c r="G8" s="2488"/>
      <c r="H8" s="2485"/>
      <c r="I8" s="2479"/>
      <c r="J8" s="2482"/>
      <c r="K8" s="2485"/>
      <c r="L8" s="2479"/>
      <c r="M8" s="2482"/>
      <c r="N8" s="2485"/>
      <c r="O8" s="2479"/>
      <c r="P8" s="2488"/>
      <c r="Q8" s="2518"/>
      <c r="R8" s="362" t="s">
        <v>60</v>
      </c>
      <c r="S8" s="362" t="s">
        <v>82</v>
      </c>
      <c r="T8" s="362" t="s">
        <v>121</v>
      </c>
      <c r="U8" s="2516"/>
    </row>
    <row r="9" spans="1:23" ht="13.5" thickBot="1" x14ac:dyDescent="0.25">
      <c r="A9" s="2468" t="s">
        <v>67</v>
      </c>
      <c r="B9" s="2469"/>
      <c r="C9" s="2469"/>
      <c r="D9" s="2469"/>
      <c r="E9" s="2469"/>
      <c r="F9" s="2469"/>
      <c r="G9" s="2469"/>
      <c r="H9" s="2469"/>
      <c r="I9" s="2469"/>
      <c r="J9" s="2469"/>
      <c r="K9" s="2469"/>
      <c r="L9" s="2469"/>
      <c r="M9" s="2469"/>
      <c r="N9" s="2469"/>
      <c r="O9" s="2469"/>
      <c r="P9" s="2469"/>
      <c r="Q9" s="2469"/>
      <c r="R9" s="2469"/>
      <c r="S9" s="2469"/>
      <c r="T9" s="2469"/>
      <c r="U9" s="2470"/>
    </row>
    <row r="10" spans="1:23" s="52" customFormat="1" ht="12.75" customHeight="1" thickBot="1" x14ac:dyDescent="0.25">
      <c r="A10" s="2471" t="s">
        <v>31</v>
      </c>
      <c r="B10" s="2472"/>
      <c r="C10" s="2472"/>
      <c r="D10" s="2472"/>
      <c r="E10" s="2472"/>
      <c r="F10" s="2472"/>
      <c r="G10" s="2472"/>
      <c r="H10" s="2472"/>
      <c r="I10" s="2472"/>
      <c r="J10" s="2472"/>
      <c r="K10" s="2472"/>
      <c r="L10" s="2472"/>
      <c r="M10" s="2472"/>
      <c r="N10" s="2472"/>
      <c r="O10" s="2472"/>
      <c r="P10" s="2472"/>
      <c r="Q10" s="2472"/>
      <c r="R10" s="2472"/>
      <c r="S10" s="2472"/>
      <c r="T10" s="2472"/>
      <c r="U10" s="2473"/>
      <c r="V10" s="224"/>
    </row>
    <row r="11" spans="1:23" s="52" customFormat="1" ht="13.5" thickBot="1" x14ac:dyDescent="0.25">
      <c r="A11" s="560" t="s">
        <v>14</v>
      </c>
      <c r="B11" s="2474" t="s">
        <v>36</v>
      </c>
      <c r="C11" s="2475"/>
      <c r="D11" s="2475"/>
      <c r="E11" s="2475"/>
      <c r="F11" s="2475"/>
      <c r="G11" s="2475"/>
      <c r="H11" s="2475"/>
      <c r="I11" s="2475"/>
      <c r="J11" s="2475"/>
      <c r="K11" s="2475"/>
      <c r="L11" s="2475"/>
      <c r="M11" s="2475"/>
      <c r="N11" s="2475"/>
      <c r="O11" s="2475"/>
      <c r="P11" s="2475"/>
      <c r="Q11" s="2475"/>
      <c r="R11" s="2475"/>
      <c r="S11" s="2475"/>
      <c r="T11" s="2475"/>
      <c r="U11" s="2476"/>
    </row>
    <row r="12" spans="1:23" s="52" customFormat="1" ht="13.5" thickBot="1" x14ac:dyDescent="0.25">
      <c r="A12" s="563" t="s">
        <v>14</v>
      </c>
      <c r="B12" s="7" t="s">
        <v>14</v>
      </c>
      <c r="C12" s="2453" t="s">
        <v>72</v>
      </c>
      <c r="D12" s="2454"/>
      <c r="E12" s="2454"/>
      <c r="F12" s="2454"/>
      <c r="G12" s="2455"/>
      <c r="H12" s="2455"/>
      <c r="I12" s="2455"/>
      <c r="J12" s="2455"/>
      <c r="K12" s="2455"/>
      <c r="L12" s="2455"/>
      <c r="M12" s="2455"/>
      <c r="N12" s="2455"/>
      <c r="O12" s="2455"/>
      <c r="P12" s="2455"/>
      <c r="Q12" s="2455"/>
      <c r="R12" s="2455"/>
      <c r="S12" s="2455"/>
      <c r="T12" s="2455"/>
      <c r="U12" s="2456"/>
    </row>
    <row r="13" spans="1:23" s="52" customFormat="1" ht="27.75" customHeight="1" x14ac:dyDescent="0.2">
      <c r="A13" s="564" t="s">
        <v>14</v>
      </c>
      <c r="B13" s="3" t="s">
        <v>14</v>
      </c>
      <c r="C13" s="2457" t="s">
        <v>14</v>
      </c>
      <c r="D13" s="2458" t="s">
        <v>45</v>
      </c>
      <c r="E13" s="2460" t="s">
        <v>240</v>
      </c>
      <c r="F13" s="2461">
        <v>2</v>
      </c>
      <c r="G13" s="848" t="s">
        <v>15</v>
      </c>
      <c r="H13" s="661">
        <f>29261.8+9</f>
        <v>29270.799999999999</v>
      </c>
      <c r="I13" s="883">
        <f>29261.8+9+55+1.3-19.7+36.2+4.4</f>
        <v>29348</v>
      </c>
      <c r="J13" s="1028">
        <f>+I13-H13</f>
        <v>77.200000000000728</v>
      </c>
      <c r="K13" s="661">
        <v>29317.599999999999</v>
      </c>
      <c r="L13" s="652">
        <v>29317.599999999999</v>
      </c>
      <c r="M13" s="653">
        <f>+L13-K13</f>
        <v>0</v>
      </c>
      <c r="N13" s="657">
        <v>29311.5</v>
      </c>
      <c r="O13" s="652">
        <v>29311.5</v>
      </c>
      <c r="P13" s="653">
        <f>+O13-N13</f>
        <v>0</v>
      </c>
      <c r="Q13" s="453"/>
      <c r="R13" s="476"/>
      <c r="S13" s="200"/>
      <c r="T13" s="382"/>
      <c r="U13" s="2462" t="s">
        <v>318</v>
      </c>
    </row>
    <row r="14" spans="1:23" s="52" customFormat="1" ht="27.75" customHeight="1" x14ac:dyDescent="0.2">
      <c r="A14" s="565"/>
      <c r="B14" s="5"/>
      <c r="C14" s="2433"/>
      <c r="D14" s="2459"/>
      <c r="E14" s="2443"/>
      <c r="F14" s="2446"/>
      <c r="G14" s="78" t="s">
        <v>18</v>
      </c>
      <c r="H14" s="662">
        <v>36475.699999999997</v>
      </c>
      <c r="I14" s="1030">
        <f>36475.7+945.4</f>
        <v>37421.1</v>
      </c>
      <c r="J14" s="1029">
        <f>+I14-H14</f>
        <v>945.40000000000146</v>
      </c>
      <c r="K14" s="662">
        <v>35492</v>
      </c>
      <c r="L14" s="380">
        <v>35492</v>
      </c>
      <c r="M14" s="620">
        <f>+L14-K14</f>
        <v>0</v>
      </c>
      <c r="N14" s="658">
        <v>35492</v>
      </c>
      <c r="O14" s="380">
        <v>35492</v>
      </c>
      <c r="P14" s="620">
        <f>+O14-N14</f>
        <v>0</v>
      </c>
      <c r="Q14" s="820"/>
      <c r="R14" s="211"/>
      <c r="S14" s="201"/>
      <c r="T14" s="376"/>
      <c r="U14" s="2463"/>
    </row>
    <row r="15" spans="1:23" s="52" customFormat="1" ht="27.75" customHeight="1" x14ac:dyDescent="0.2">
      <c r="A15" s="565"/>
      <c r="B15" s="5"/>
      <c r="C15" s="808"/>
      <c r="D15" s="727"/>
      <c r="E15" s="447"/>
      <c r="F15" s="800"/>
      <c r="G15" s="78" t="s">
        <v>18</v>
      </c>
      <c r="H15" s="662">
        <v>132.1</v>
      </c>
      <c r="I15" s="380">
        <v>132.1</v>
      </c>
      <c r="J15" s="620"/>
      <c r="K15" s="613"/>
      <c r="L15" s="380"/>
      <c r="M15" s="620"/>
      <c r="N15" s="527"/>
      <c r="O15" s="380"/>
      <c r="P15" s="620"/>
      <c r="Q15" s="820"/>
      <c r="R15" s="211"/>
      <c r="S15" s="201"/>
      <c r="T15" s="376"/>
      <c r="U15" s="2463"/>
    </row>
    <row r="16" spans="1:23" s="52" customFormat="1" ht="27.75" customHeight="1" x14ac:dyDescent="0.2">
      <c r="A16" s="565"/>
      <c r="B16" s="807"/>
      <c r="C16" s="13"/>
      <c r="D16" s="63"/>
      <c r="E16" s="447"/>
      <c r="F16" s="800"/>
      <c r="G16" s="849" t="s">
        <v>44</v>
      </c>
      <c r="H16" s="662">
        <v>5503.7</v>
      </c>
      <c r="I16" s="1030">
        <f>5503.7+31.3+5</f>
        <v>5540</v>
      </c>
      <c r="J16" s="1050">
        <f>+I16-H16</f>
        <v>36.300000000000182</v>
      </c>
      <c r="K16" s="613">
        <v>5509</v>
      </c>
      <c r="L16" s="380">
        <v>5509</v>
      </c>
      <c r="M16" s="620"/>
      <c r="N16" s="527">
        <v>5509</v>
      </c>
      <c r="O16" s="380">
        <v>5509</v>
      </c>
      <c r="P16" s="620"/>
      <c r="Q16" s="225"/>
      <c r="R16" s="77"/>
      <c r="S16" s="76"/>
      <c r="T16" s="255"/>
      <c r="U16" s="2463"/>
      <c r="V16" s="298"/>
      <c r="W16" s="224"/>
    </row>
    <row r="17" spans="1:28" s="52" customFormat="1" ht="27.75" customHeight="1" x14ac:dyDescent="0.2">
      <c r="A17" s="565"/>
      <c r="B17" s="807"/>
      <c r="C17" s="13"/>
      <c r="D17" s="63"/>
      <c r="E17" s="447"/>
      <c r="F17" s="800"/>
      <c r="G17" s="855" t="s">
        <v>66</v>
      </c>
      <c r="H17" s="662">
        <v>593.70000000000005</v>
      </c>
      <c r="I17" s="380">
        <v>593.70000000000005</v>
      </c>
      <c r="J17" s="620"/>
      <c r="K17" s="613"/>
      <c r="L17" s="380"/>
      <c r="M17" s="620"/>
      <c r="N17" s="527"/>
      <c r="O17" s="380"/>
      <c r="P17" s="620"/>
      <c r="Q17" s="225"/>
      <c r="R17" s="77"/>
      <c r="S17" s="76"/>
      <c r="T17" s="255"/>
      <c r="U17" s="2463"/>
      <c r="V17" s="989"/>
      <c r="W17" s="989"/>
      <c r="X17" s="1027"/>
      <c r="Y17" s="1027"/>
      <c r="Z17" s="1027"/>
      <c r="AA17" s="1027"/>
      <c r="AB17" s="1027"/>
    </row>
    <row r="18" spans="1:28" s="52" customFormat="1" ht="27.75" customHeight="1" x14ac:dyDescent="0.2">
      <c r="A18" s="565"/>
      <c r="B18" s="5"/>
      <c r="C18" s="13"/>
      <c r="D18" s="63"/>
      <c r="E18" s="447"/>
      <c r="F18" s="800"/>
      <c r="G18" s="850" t="s">
        <v>226</v>
      </c>
      <c r="H18" s="662">
        <v>43.3</v>
      </c>
      <c r="I18" s="380">
        <v>43.3</v>
      </c>
      <c r="J18" s="620"/>
      <c r="K18" s="613">
        <v>7.7</v>
      </c>
      <c r="L18" s="380">
        <v>7.7</v>
      </c>
      <c r="M18" s="620"/>
      <c r="N18" s="527"/>
      <c r="O18" s="380"/>
      <c r="P18" s="620"/>
      <c r="Q18" s="225"/>
      <c r="R18" s="77"/>
      <c r="S18" s="76"/>
      <c r="T18" s="255"/>
      <c r="U18" s="2463"/>
      <c r="V18" s="989"/>
      <c r="W18" s="990"/>
      <c r="X18" s="991"/>
      <c r="Y18" s="991"/>
      <c r="Z18" s="991"/>
      <c r="AA18" s="991"/>
      <c r="AB18" s="991"/>
    </row>
    <row r="19" spans="1:28" s="52" customFormat="1" ht="44.25" customHeight="1" x14ac:dyDescent="0.2">
      <c r="A19" s="565"/>
      <c r="B19" s="5"/>
      <c r="C19" s="13"/>
      <c r="D19" s="63"/>
      <c r="E19" s="433"/>
      <c r="F19" s="647"/>
      <c r="G19" s="850" t="s">
        <v>3</v>
      </c>
      <c r="H19" s="356">
        <v>3.8</v>
      </c>
      <c r="I19" s="307">
        <v>3.8</v>
      </c>
      <c r="J19" s="353"/>
      <c r="K19" s="221">
        <v>0.7</v>
      </c>
      <c r="L19" s="307">
        <v>0.7</v>
      </c>
      <c r="M19" s="353"/>
      <c r="N19" s="358"/>
      <c r="O19" s="307"/>
      <c r="P19" s="353"/>
      <c r="Q19" s="225"/>
      <c r="R19" s="77"/>
      <c r="S19" s="76"/>
      <c r="T19" s="255"/>
      <c r="U19" s="2464"/>
      <c r="V19" s="989"/>
      <c r="W19" s="990"/>
      <c r="X19" s="991"/>
      <c r="Y19" s="991"/>
      <c r="Z19" s="991"/>
      <c r="AA19" s="991"/>
      <c r="AB19" s="991"/>
    </row>
    <row r="20" spans="1:28" s="52" customFormat="1" ht="15" customHeight="1" x14ac:dyDescent="0.2">
      <c r="A20" s="565"/>
      <c r="B20" s="5"/>
      <c r="C20" s="13"/>
      <c r="D20" s="2450" t="s">
        <v>236</v>
      </c>
      <c r="E20" s="447"/>
      <c r="F20" s="800"/>
      <c r="G20" s="77"/>
      <c r="H20" s="852"/>
      <c r="I20" s="76"/>
      <c r="J20" s="255"/>
      <c r="K20" s="77"/>
      <c r="L20" s="76"/>
      <c r="M20" s="255"/>
      <c r="O20" s="76"/>
      <c r="P20" s="255"/>
      <c r="Q20" s="2465" t="s">
        <v>267</v>
      </c>
      <c r="R20" s="734">
        <v>19</v>
      </c>
      <c r="S20" s="731"/>
      <c r="T20" s="732"/>
      <c r="U20" s="1018"/>
      <c r="V20" s="298"/>
      <c r="W20" s="224"/>
    </row>
    <row r="21" spans="1:28" s="52" customFormat="1" ht="15" customHeight="1" x14ac:dyDescent="0.2">
      <c r="A21" s="565"/>
      <c r="B21" s="5"/>
      <c r="C21" s="13"/>
      <c r="D21" s="2451"/>
      <c r="E21" s="447"/>
      <c r="F21" s="800"/>
      <c r="G21" s="475"/>
      <c r="H21" s="1023"/>
      <c r="I21" s="439"/>
      <c r="J21" s="454"/>
      <c r="K21" s="77"/>
      <c r="L21" s="76"/>
      <c r="M21" s="255"/>
      <c r="O21" s="76"/>
      <c r="P21" s="255"/>
      <c r="Q21" s="2463"/>
      <c r="R21" s="77"/>
      <c r="S21" s="76"/>
      <c r="T21" s="255"/>
      <c r="U21" s="1019"/>
      <c r="V21" s="298"/>
      <c r="W21" s="224"/>
    </row>
    <row r="22" spans="1:28" s="52" customFormat="1" ht="26.25" customHeight="1" x14ac:dyDescent="0.2">
      <c r="A22" s="565"/>
      <c r="B22" s="807"/>
      <c r="C22" s="13"/>
      <c r="D22" s="2450" t="s">
        <v>165</v>
      </c>
      <c r="E22" s="447"/>
      <c r="F22" s="800"/>
      <c r="G22" s="520"/>
      <c r="H22" s="683"/>
      <c r="I22" s="889"/>
      <c r="J22" s="886"/>
      <c r="K22" s="854"/>
      <c r="L22" s="813"/>
      <c r="M22" s="97"/>
      <c r="N22" s="1052"/>
      <c r="O22" s="813"/>
      <c r="P22" s="97"/>
      <c r="Q22" s="2448" t="s">
        <v>131</v>
      </c>
      <c r="R22" s="194">
        <v>48</v>
      </c>
      <c r="S22" s="58">
        <v>48</v>
      </c>
      <c r="T22" s="1022">
        <v>48</v>
      </c>
      <c r="U22" s="2760"/>
      <c r="V22" s="298"/>
      <c r="W22" s="224"/>
    </row>
    <row r="23" spans="1:28" s="52" customFormat="1" ht="26.25" customHeight="1" x14ac:dyDescent="0.2">
      <c r="A23" s="565"/>
      <c r="B23" s="5"/>
      <c r="C23" s="13"/>
      <c r="D23" s="2451"/>
      <c r="E23" s="447"/>
      <c r="F23" s="800"/>
      <c r="G23" s="928"/>
      <c r="H23" s="854"/>
      <c r="I23" s="813"/>
      <c r="J23" s="97"/>
      <c r="K23" s="854"/>
      <c r="L23" s="813"/>
      <c r="M23" s="97"/>
      <c r="N23" s="938"/>
      <c r="O23" s="813"/>
      <c r="P23" s="97"/>
      <c r="Q23" s="2448"/>
      <c r="R23" s="475"/>
      <c r="S23" s="439"/>
      <c r="T23" s="454"/>
      <c r="U23" s="2761"/>
      <c r="V23" s="298"/>
    </row>
    <row r="24" spans="1:28" s="52" customFormat="1" ht="26.25" customHeight="1" x14ac:dyDescent="0.2">
      <c r="A24" s="565"/>
      <c r="B24" s="5"/>
      <c r="C24" s="13"/>
      <c r="D24" s="2452"/>
      <c r="E24" s="447"/>
      <c r="F24" s="800"/>
      <c r="G24" s="1051"/>
      <c r="H24" s="854"/>
      <c r="I24" s="813"/>
      <c r="J24" s="97"/>
      <c r="K24" s="854"/>
      <c r="L24" s="813"/>
      <c r="M24" s="97"/>
      <c r="N24" s="1052"/>
      <c r="O24" s="813"/>
      <c r="P24" s="97"/>
      <c r="Q24" s="473" t="s">
        <v>132</v>
      </c>
      <c r="R24" s="479">
        <v>8051</v>
      </c>
      <c r="S24" s="1021">
        <v>8100</v>
      </c>
      <c r="T24" s="27">
        <v>8100</v>
      </c>
      <c r="U24" s="2761"/>
      <c r="V24" s="299"/>
    </row>
    <row r="25" spans="1:28" s="52" customFormat="1" ht="15.75" customHeight="1" x14ac:dyDescent="0.2">
      <c r="A25" s="565"/>
      <c r="B25" s="5"/>
      <c r="C25" s="13"/>
      <c r="D25" s="2451" t="s">
        <v>166</v>
      </c>
      <c r="E25" s="447"/>
      <c r="F25" s="800"/>
      <c r="G25" s="928"/>
      <c r="H25" s="854"/>
      <c r="I25" s="813"/>
      <c r="J25" s="97"/>
      <c r="K25" s="113"/>
      <c r="L25" s="813"/>
      <c r="M25" s="97"/>
      <c r="N25" s="796"/>
      <c r="O25" s="813"/>
      <c r="P25" s="97"/>
      <c r="Q25" s="2466" t="s">
        <v>131</v>
      </c>
      <c r="R25" s="1020">
        <v>7</v>
      </c>
      <c r="S25" s="923">
        <v>7</v>
      </c>
      <c r="T25" s="171">
        <v>7</v>
      </c>
      <c r="U25" s="1018"/>
    </row>
    <row r="26" spans="1:28" s="52" customFormat="1" ht="14.25" customHeight="1" x14ac:dyDescent="0.2">
      <c r="A26" s="565"/>
      <c r="B26" s="807"/>
      <c r="C26" s="13"/>
      <c r="D26" s="2451"/>
      <c r="E26" s="447"/>
      <c r="F26" s="800"/>
      <c r="G26" s="928"/>
      <c r="H26" s="854"/>
      <c r="I26" s="813"/>
      <c r="J26" s="97"/>
      <c r="K26" s="246"/>
      <c r="L26" s="247"/>
      <c r="M26" s="195"/>
      <c r="N26" s="226"/>
      <c r="O26" s="247"/>
      <c r="P26" s="195"/>
      <c r="Q26" s="2448"/>
      <c r="R26" s="478"/>
      <c r="S26" s="174"/>
      <c r="T26" s="158"/>
      <c r="U26" s="1018"/>
    </row>
    <row r="27" spans="1:28" s="52" customFormat="1" ht="15" customHeight="1" thickBot="1" x14ac:dyDescent="0.25">
      <c r="A27" s="565"/>
      <c r="B27" s="5"/>
      <c r="C27" s="13"/>
      <c r="D27" s="2467"/>
      <c r="E27" s="447"/>
      <c r="F27" s="800"/>
      <c r="G27" s="928"/>
      <c r="H27" s="854"/>
      <c r="I27" s="813"/>
      <c r="J27" s="97"/>
      <c r="K27" s="113"/>
      <c r="L27" s="813"/>
      <c r="M27" s="97"/>
      <c r="N27" s="796"/>
      <c r="O27" s="813"/>
      <c r="P27" s="97"/>
      <c r="Q27" s="474" t="s">
        <v>132</v>
      </c>
      <c r="R27" s="477">
        <v>301</v>
      </c>
      <c r="S27" s="383">
        <v>301</v>
      </c>
      <c r="T27" s="461">
        <v>301</v>
      </c>
      <c r="U27" s="1018"/>
    </row>
    <row r="28" spans="1:28" s="52" customFormat="1" ht="12.75" customHeight="1" x14ac:dyDescent="0.2">
      <c r="A28" s="2390"/>
      <c r="B28" s="5"/>
      <c r="C28" s="2437"/>
      <c r="D28" s="2438" t="s">
        <v>74</v>
      </c>
      <c r="E28" s="2441"/>
      <c r="F28" s="2444"/>
      <c r="G28" s="928"/>
      <c r="H28" s="854"/>
      <c r="I28" s="813"/>
      <c r="J28" s="97"/>
      <c r="K28" s="113"/>
      <c r="L28" s="813"/>
      <c r="M28" s="97"/>
      <c r="N28" s="796"/>
      <c r="O28" s="813"/>
      <c r="P28" s="97"/>
      <c r="Q28" s="2447" t="s">
        <v>131</v>
      </c>
      <c r="R28" s="459">
        <v>4</v>
      </c>
      <c r="S28" s="547">
        <v>4</v>
      </c>
      <c r="T28" s="548">
        <v>4</v>
      </c>
      <c r="U28" s="1018"/>
    </row>
    <row r="29" spans="1:28" s="52" customFormat="1" ht="15.75" customHeight="1" x14ac:dyDescent="0.2">
      <c r="A29" s="2390"/>
      <c r="B29" s="5"/>
      <c r="C29" s="2437"/>
      <c r="D29" s="2439"/>
      <c r="E29" s="2442"/>
      <c r="F29" s="2445"/>
      <c r="G29" s="928"/>
      <c r="H29" s="854"/>
      <c r="I29" s="813"/>
      <c r="J29" s="97"/>
      <c r="K29" s="113"/>
      <c r="L29" s="813"/>
      <c r="M29" s="97"/>
      <c r="N29" s="796"/>
      <c r="O29" s="813"/>
      <c r="P29" s="97"/>
      <c r="Q29" s="2448"/>
      <c r="R29" s="802"/>
      <c r="S29" s="804"/>
      <c r="T29" s="806"/>
      <c r="U29" s="1018"/>
    </row>
    <row r="30" spans="1:28" s="52" customFormat="1" ht="15.75" customHeight="1" x14ac:dyDescent="0.2">
      <c r="A30" s="2390"/>
      <c r="B30" s="5"/>
      <c r="C30" s="2433"/>
      <c r="D30" s="2439"/>
      <c r="E30" s="2442"/>
      <c r="F30" s="2445"/>
      <c r="G30" s="928"/>
      <c r="H30" s="854"/>
      <c r="I30" s="813"/>
      <c r="J30" s="97"/>
      <c r="K30" s="113"/>
      <c r="L30" s="813"/>
      <c r="M30" s="97"/>
      <c r="N30" s="796"/>
      <c r="O30" s="813"/>
      <c r="P30" s="97"/>
      <c r="Q30" s="473" t="s">
        <v>132</v>
      </c>
      <c r="R30" s="479">
        <v>1319</v>
      </c>
      <c r="S30" s="26">
        <v>1320</v>
      </c>
      <c r="T30" s="27">
        <v>1320</v>
      </c>
      <c r="U30" s="1018"/>
    </row>
    <row r="31" spans="1:28" s="52" customFormat="1" ht="15.75" customHeight="1" thickBot="1" x14ac:dyDescent="0.25">
      <c r="A31" s="2390"/>
      <c r="B31" s="5"/>
      <c r="C31" s="2433"/>
      <c r="D31" s="2440"/>
      <c r="E31" s="2443"/>
      <c r="F31" s="2446"/>
      <c r="G31" s="928"/>
      <c r="H31" s="854"/>
      <c r="I31" s="813"/>
      <c r="J31" s="97"/>
      <c r="K31" s="113"/>
      <c r="L31" s="813"/>
      <c r="M31" s="97"/>
      <c r="N31" s="796"/>
      <c r="O31" s="813"/>
      <c r="P31" s="97"/>
      <c r="Q31" s="549" t="s">
        <v>175</v>
      </c>
      <c r="R31" s="550">
        <v>925</v>
      </c>
      <c r="S31" s="551">
        <v>925</v>
      </c>
      <c r="T31" s="461">
        <v>925</v>
      </c>
      <c r="U31" s="1018"/>
    </row>
    <row r="32" spans="1:28" s="52" customFormat="1" ht="30" customHeight="1" x14ac:dyDescent="0.2">
      <c r="A32" s="566"/>
      <c r="B32" s="5"/>
      <c r="C32" s="808"/>
      <c r="D32" s="751" t="s">
        <v>176</v>
      </c>
      <c r="E32" s="447"/>
      <c r="F32" s="800"/>
      <c r="G32" s="1051"/>
      <c r="H32" s="434"/>
      <c r="I32" s="813"/>
      <c r="J32" s="97"/>
      <c r="K32" s="854"/>
      <c r="L32" s="813"/>
      <c r="M32" s="97"/>
      <c r="N32" s="1052"/>
      <c r="O32" s="813"/>
      <c r="P32" s="97"/>
      <c r="Q32" s="733" t="s">
        <v>267</v>
      </c>
      <c r="R32" s="802">
        <v>26</v>
      </c>
      <c r="S32" s="804"/>
      <c r="T32" s="806"/>
      <c r="U32" s="1018"/>
    </row>
    <row r="33" spans="1:25" s="52" customFormat="1" ht="129.75" customHeight="1" x14ac:dyDescent="0.2">
      <c r="A33" s="566"/>
      <c r="B33" s="807"/>
      <c r="C33" s="808"/>
      <c r="D33" s="2450" t="s">
        <v>167</v>
      </c>
      <c r="E33" s="447"/>
      <c r="F33" s="585"/>
      <c r="G33" s="520"/>
      <c r="H33" s="856"/>
      <c r="I33" s="1063"/>
      <c r="J33" s="1064"/>
      <c r="K33" s="854"/>
      <c r="L33" s="813"/>
      <c r="M33" s="97"/>
      <c r="N33" s="1052"/>
      <c r="O33" s="813"/>
      <c r="P33" s="97"/>
      <c r="Q33" s="473" t="s">
        <v>131</v>
      </c>
      <c r="R33" s="480">
        <v>32</v>
      </c>
      <c r="S33" s="136">
        <v>32</v>
      </c>
      <c r="T33" s="130">
        <v>32</v>
      </c>
      <c r="U33" s="2465" t="s">
        <v>322</v>
      </c>
    </row>
    <row r="34" spans="1:25" s="52" customFormat="1" ht="144.75" customHeight="1" x14ac:dyDescent="0.2">
      <c r="A34" s="566"/>
      <c r="B34" s="807"/>
      <c r="C34" s="808"/>
      <c r="D34" s="2451"/>
      <c r="E34" s="447"/>
      <c r="F34" s="585"/>
      <c r="G34" s="1051"/>
      <c r="H34" s="434"/>
      <c r="I34" s="813"/>
      <c r="J34" s="97"/>
      <c r="K34" s="854"/>
      <c r="L34" s="813"/>
      <c r="M34" s="97"/>
      <c r="N34" s="1052"/>
      <c r="O34" s="813"/>
      <c r="P34" s="97"/>
      <c r="Q34" s="449" t="s">
        <v>133</v>
      </c>
      <c r="R34" s="194">
        <v>17438</v>
      </c>
      <c r="S34" s="141">
        <v>17450</v>
      </c>
      <c r="T34" s="59">
        <v>17450</v>
      </c>
      <c r="U34" s="2464"/>
    </row>
    <row r="35" spans="1:25" s="52" customFormat="1" ht="21.75" customHeight="1" x14ac:dyDescent="0.2">
      <c r="A35" s="566"/>
      <c r="B35" s="807"/>
      <c r="C35" s="808"/>
      <c r="D35" s="2450" t="s">
        <v>168</v>
      </c>
      <c r="E35" s="447"/>
      <c r="F35" s="585"/>
      <c r="G35" s="928"/>
      <c r="H35" s="434"/>
      <c r="I35" s="813"/>
      <c r="J35" s="97"/>
      <c r="K35" s="113"/>
      <c r="L35" s="813"/>
      <c r="M35" s="97"/>
      <c r="N35" s="796"/>
      <c r="O35" s="813"/>
      <c r="P35" s="97"/>
      <c r="Q35" s="473" t="s">
        <v>131</v>
      </c>
      <c r="R35" s="480">
        <v>5</v>
      </c>
      <c r="S35" s="136">
        <v>5</v>
      </c>
      <c r="T35" s="130">
        <v>5</v>
      </c>
      <c r="U35" s="1018"/>
    </row>
    <row r="36" spans="1:25" s="52" customFormat="1" ht="21.75" customHeight="1" thickBot="1" x14ac:dyDescent="0.25">
      <c r="A36" s="566"/>
      <c r="B36" s="807"/>
      <c r="C36" s="808"/>
      <c r="D36" s="2451"/>
      <c r="E36" s="447"/>
      <c r="F36" s="585"/>
      <c r="G36" s="1051"/>
      <c r="H36" s="434"/>
      <c r="I36" s="813"/>
      <c r="J36" s="97"/>
      <c r="K36" s="854"/>
      <c r="L36" s="813"/>
      <c r="M36" s="97"/>
      <c r="N36" s="1052"/>
      <c r="O36" s="813"/>
      <c r="P36" s="97"/>
      <c r="Q36" s="474" t="s">
        <v>132</v>
      </c>
      <c r="R36" s="481">
        <v>989</v>
      </c>
      <c r="S36" s="385">
        <v>990</v>
      </c>
      <c r="T36" s="133">
        <v>990</v>
      </c>
      <c r="U36" s="1018"/>
    </row>
    <row r="37" spans="1:25" s="52" customFormat="1" ht="21.75" customHeight="1" x14ac:dyDescent="0.2">
      <c r="A37" s="566"/>
      <c r="B37" s="807"/>
      <c r="C37" s="808"/>
      <c r="D37" s="2297" t="s">
        <v>272</v>
      </c>
      <c r="E37" s="142"/>
      <c r="F37" s="295"/>
      <c r="G37" s="520"/>
      <c r="H37" s="683"/>
      <c r="I37" s="681"/>
      <c r="J37" s="684"/>
      <c r="K37" s="854"/>
      <c r="L37" s="813"/>
      <c r="M37" s="97"/>
      <c r="N37" s="1052"/>
      <c r="O37" s="813"/>
      <c r="P37" s="97"/>
      <c r="Q37" s="442" t="s">
        <v>131</v>
      </c>
      <c r="R37" s="459">
        <v>31</v>
      </c>
      <c r="S37" s="386">
        <v>31</v>
      </c>
      <c r="T37" s="387">
        <v>31</v>
      </c>
      <c r="U37" s="1018"/>
    </row>
    <row r="38" spans="1:25" s="152" customFormat="1" ht="27.75" customHeight="1" x14ac:dyDescent="0.2">
      <c r="A38" s="565"/>
      <c r="B38" s="807"/>
      <c r="C38" s="809"/>
      <c r="D38" s="2355"/>
      <c r="E38" s="436"/>
      <c r="F38" s="774"/>
      <c r="G38" s="520"/>
      <c r="H38" s="683"/>
      <c r="I38" s="681"/>
      <c r="J38" s="1065"/>
      <c r="K38" s="854"/>
      <c r="L38" s="813"/>
      <c r="M38" s="97"/>
      <c r="N38" s="1052"/>
      <c r="O38" s="813"/>
      <c r="P38" s="97"/>
      <c r="Q38" s="798" t="s">
        <v>273</v>
      </c>
      <c r="R38" s="482">
        <v>2050</v>
      </c>
      <c r="S38" s="58">
        <v>2050</v>
      </c>
      <c r="T38" s="59">
        <v>2050</v>
      </c>
      <c r="U38" s="1019"/>
    </row>
    <row r="39" spans="1:25" s="52" customFormat="1" ht="18" customHeight="1" x14ac:dyDescent="0.2">
      <c r="A39" s="566"/>
      <c r="B39" s="807"/>
      <c r="C39" s="808"/>
      <c r="D39" s="2450" t="s">
        <v>134</v>
      </c>
      <c r="E39" s="447"/>
      <c r="F39" s="585"/>
      <c r="G39" s="928"/>
      <c r="H39" s="434"/>
      <c r="I39" s="813"/>
      <c r="J39" s="97"/>
      <c r="K39" s="113"/>
      <c r="L39" s="813"/>
      <c r="M39" s="97"/>
      <c r="N39" s="796"/>
      <c r="O39" s="813"/>
      <c r="P39" s="97"/>
      <c r="Q39" s="797" t="s">
        <v>133</v>
      </c>
      <c r="R39" s="483" t="s">
        <v>135</v>
      </c>
      <c r="S39" s="440"/>
      <c r="T39" s="455"/>
      <c r="U39" s="455"/>
      <c r="V39" s="224"/>
    </row>
    <row r="40" spans="1:25" s="52" customFormat="1" ht="13.5" customHeight="1" x14ac:dyDescent="0.2">
      <c r="A40" s="566"/>
      <c r="B40" s="807"/>
      <c r="C40" s="725"/>
      <c r="D40" s="2452"/>
      <c r="E40" s="433"/>
      <c r="F40" s="585"/>
      <c r="G40" s="928"/>
      <c r="H40" s="434"/>
      <c r="I40" s="813"/>
      <c r="J40" s="97"/>
      <c r="K40" s="246"/>
      <c r="L40" s="247"/>
      <c r="M40" s="195"/>
      <c r="N40" s="226"/>
      <c r="O40" s="247"/>
      <c r="P40" s="195"/>
      <c r="Q40" s="441"/>
      <c r="R40" s="467"/>
      <c r="S40" s="143"/>
      <c r="T40" s="158"/>
      <c r="U40" s="158"/>
    </row>
    <row r="41" spans="1:25" s="52" customFormat="1" ht="16.5" customHeight="1" x14ac:dyDescent="0.2">
      <c r="A41" s="2390"/>
      <c r="B41" s="2432"/>
      <c r="C41" s="2433"/>
      <c r="D41" s="2451" t="s">
        <v>164</v>
      </c>
      <c r="E41" s="2449"/>
      <c r="F41" s="2412"/>
      <c r="G41" s="928"/>
      <c r="H41" s="854"/>
      <c r="I41" s="813"/>
      <c r="J41" s="97"/>
      <c r="K41" s="113"/>
      <c r="L41" s="813"/>
      <c r="M41" s="97"/>
      <c r="N41" s="796"/>
      <c r="O41" s="813"/>
      <c r="P41" s="97"/>
      <c r="Q41" s="441" t="s">
        <v>131</v>
      </c>
      <c r="R41" s="227">
        <v>6</v>
      </c>
      <c r="S41" s="139">
        <v>6</v>
      </c>
      <c r="T41" s="171">
        <v>6</v>
      </c>
      <c r="U41" s="171"/>
    </row>
    <row r="42" spans="1:25" s="52" customFormat="1" ht="15.75" customHeight="1" x14ac:dyDescent="0.2">
      <c r="A42" s="2390"/>
      <c r="B42" s="2432"/>
      <c r="C42" s="2433"/>
      <c r="D42" s="2451"/>
      <c r="E42" s="2449"/>
      <c r="F42" s="2412"/>
      <c r="G42" s="928"/>
      <c r="H42" s="854"/>
      <c r="I42" s="813"/>
      <c r="J42" s="97"/>
      <c r="K42" s="113"/>
      <c r="L42" s="813"/>
      <c r="M42" s="97"/>
      <c r="N42" s="796"/>
      <c r="O42" s="813"/>
      <c r="P42" s="97"/>
      <c r="Q42" s="473" t="s">
        <v>132</v>
      </c>
      <c r="R42" s="479">
        <v>5430</v>
      </c>
      <c r="S42" s="26">
        <v>5430</v>
      </c>
      <c r="T42" s="27">
        <v>5430</v>
      </c>
      <c r="U42" s="27"/>
      <c r="W42" s="2436"/>
      <c r="X42" s="2436"/>
      <c r="Y42" s="2436"/>
    </row>
    <row r="43" spans="1:25" s="52" customFormat="1" ht="15.75" customHeight="1" x14ac:dyDescent="0.2">
      <c r="A43" s="2390"/>
      <c r="B43" s="2432"/>
      <c r="C43" s="2433"/>
      <c r="D43" s="2451"/>
      <c r="E43" s="2449"/>
      <c r="F43" s="2412"/>
      <c r="G43" s="928"/>
      <c r="H43" s="854"/>
      <c r="I43" s="813"/>
      <c r="J43" s="97"/>
      <c r="K43" s="113"/>
      <c r="L43" s="813"/>
      <c r="M43" s="97"/>
      <c r="N43" s="796"/>
      <c r="O43" s="813"/>
      <c r="P43" s="97"/>
      <c r="Q43" s="2420" t="s">
        <v>224</v>
      </c>
      <c r="R43" s="801">
        <v>90</v>
      </c>
      <c r="S43" s="803">
        <v>90</v>
      </c>
      <c r="T43" s="59">
        <v>90</v>
      </c>
      <c r="U43" s="805"/>
      <c r="W43" s="2436"/>
      <c r="X43" s="2436"/>
      <c r="Y43" s="2436"/>
    </row>
    <row r="44" spans="1:25" s="52" customFormat="1" ht="15.75" customHeight="1" x14ac:dyDescent="0.2">
      <c r="A44" s="2390"/>
      <c r="B44" s="2432"/>
      <c r="C44" s="2433"/>
      <c r="D44" s="2452"/>
      <c r="E44" s="2449"/>
      <c r="F44" s="2412"/>
      <c r="G44" s="928"/>
      <c r="H44" s="854"/>
      <c r="I44" s="813"/>
      <c r="J44" s="97"/>
      <c r="K44" s="113"/>
      <c r="L44" s="813"/>
      <c r="M44" s="97"/>
      <c r="N44" s="796"/>
      <c r="O44" s="813"/>
      <c r="P44" s="97"/>
      <c r="Q44" s="2421"/>
      <c r="R44" s="802"/>
      <c r="S44" s="804"/>
      <c r="T44" s="806"/>
      <c r="U44" s="806"/>
      <c r="W44" s="810"/>
      <c r="X44" s="810"/>
      <c r="Y44" s="810"/>
    </row>
    <row r="45" spans="1:25" s="52" customFormat="1" ht="12.75" customHeight="1" x14ac:dyDescent="0.2">
      <c r="A45" s="2390"/>
      <c r="B45" s="2432"/>
      <c r="C45" s="2433"/>
      <c r="D45" s="2434" t="s">
        <v>51</v>
      </c>
      <c r="E45" s="2416"/>
      <c r="F45" s="2412"/>
      <c r="G45" s="928"/>
      <c r="H45" s="854"/>
      <c r="I45" s="813"/>
      <c r="J45" s="97"/>
      <c r="K45" s="113"/>
      <c r="L45" s="813"/>
      <c r="M45" s="97"/>
      <c r="N45" s="796"/>
      <c r="O45" s="813"/>
      <c r="P45" s="97"/>
      <c r="Q45" s="2420" t="s">
        <v>136</v>
      </c>
      <c r="R45" s="2422">
        <v>5450</v>
      </c>
      <c r="S45" s="2424">
        <v>5450</v>
      </c>
      <c r="T45" s="2409">
        <v>5450</v>
      </c>
      <c r="U45" s="805"/>
    </row>
    <row r="46" spans="1:25" s="52" customFormat="1" x14ac:dyDescent="0.2">
      <c r="A46" s="2390"/>
      <c r="B46" s="2432"/>
      <c r="C46" s="2433"/>
      <c r="D46" s="2435"/>
      <c r="E46" s="2416"/>
      <c r="F46" s="2412"/>
      <c r="G46" s="928"/>
      <c r="H46" s="854"/>
      <c r="I46" s="813"/>
      <c r="J46" s="97"/>
      <c r="K46" s="113"/>
      <c r="L46" s="813"/>
      <c r="M46" s="97"/>
      <c r="N46" s="796"/>
      <c r="O46" s="813"/>
      <c r="P46" s="97"/>
      <c r="Q46" s="2421"/>
      <c r="R46" s="2423"/>
      <c r="S46" s="2425"/>
      <c r="T46" s="2410"/>
      <c r="U46" s="806"/>
    </row>
    <row r="47" spans="1:25" s="52" customFormat="1" x14ac:dyDescent="0.2">
      <c r="A47" s="2390"/>
      <c r="B47" s="2432"/>
      <c r="C47" s="2433"/>
      <c r="D47" s="2435"/>
      <c r="E47" s="2416"/>
      <c r="F47" s="2412"/>
      <c r="G47" s="928"/>
      <c r="H47" s="854"/>
      <c r="I47" s="813"/>
      <c r="J47" s="97"/>
      <c r="K47" s="113"/>
      <c r="L47" s="813"/>
      <c r="M47" s="97"/>
      <c r="N47" s="796"/>
      <c r="O47" s="813"/>
      <c r="P47" s="97"/>
      <c r="Q47" s="2421"/>
      <c r="R47" s="2423"/>
      <c r="S47" s="2425"/>
      <c r="T47" s="2411"/>
      <c r="U47" s="806"/>
    </row>
    <row r="48" spans="1:25" s="52" customFormat="1" ht="14.25" customHeight="1" x14ac:dyDescent="0.2">
      <c r="A48" s="788"/>
      <c r="B48" s="807"/>
      <c r="C48" s="808"/>
      <c r="D48" s="2359" t="s">
        <v>137</v>
      </c>
      <c r="E48" s="799"/>
      <c r="F48" s="800"/>
      <c r="G48" s="928"/>
      <c r="H48" s="854"/>
      <c r="I48" s="813"/>
      <c r="J48" s="97"/>
      <c r="K48" s="113"/>
      <c r="L48" s="813"/>
      <c r="M48" s="97"/>
      <c r="N48" s="796"/>
      <c r="O48" s="813"/>
      <c r="P48" s="97"/>
      <c r="Q48" s="797" t="s">
        <v>87</v>
      </c>
      <c r="R48" s="484">
        <v>85</v>
      </c>
      <c r="S48" s="30">
        <v>100</v>
      </c>
      <c r="T48" s="805"/>
      <c r="U48" s="805"/>
    </row>
    <row r="49" spans="1:21" s="52" customFormat="1" ht="14.25" customHeight="1" x14ac:dyDescent="0.2">
      <c r="A49" s="788"/>
      <c r="B49" s="807"/>
      <c r="C49" s="808"/>
      <c r="D49" s="2293"/>
      <c r="E49" s="799"/>
      <c r="F49" s="800"/>
      <c r="G49" s="928"/>
      <c r="H49" s="854"/>
      <c r="I49" s="813"/>
      <c r="J49" s="97"/>
      <c r="K49" s="113"/>
      <c r="L49" s="813"/>
      <c r="M49" s="97"/>
      <c r="N49" s="796"/>
      <c r="O49" s="813"/>
      <c r="P49" s="97"/>
      <c r="Q49" s="798"/>
      <c r="R49" s="485"/>
      <c r="S49" s="19"/>
      <c r="T49" s="806"/>
      <c r="U49" s="806"/>
    </row>
    <row r="50" spans="1:21" s="52" customFormat="1" ht="14.25" customHeight="1" x14ac:dyDescent="0.2">
      <c r="A50" s="788"/>
      <c r="B50" s="807"/>
      <c r="C50" s="808"/>
      <c r="D50" s="2426"/>
      <c r="E50" s="799"/>
      <c r="F50" s="800"/>
      <c r="G50" s="928"/>
      <c r="H50" s="854"/>
      <c r="I50" s="813"/>
      <c r="J50" s="97"/>
      <c r="K50" s="113"/>
      <c r="L50" s="813"/>
      <c r="M50" s="97"/>
      <c r="N50" s="796"/>
      <c r="O50" s="813"/>
      <c r="P50" s="97"/>
      <c r="Q50" s="798"/>
      <c r="R50" s="485"/>
      <c r="S50" s="19"/>
      <c r="T50" s="806"/>
      <c r="U50" s="806"/>
    </row>
    <row r="51" spans="1:21" s="52" customFormat="1" ht="12.75" customHeight="1" x14ac:dyDescent="0.2">
      <c r="A51" s="567"/>
      <c r="B51" s="5"/>
      <c r="C51" s="13"/>
      <c r="D51" s="2427" t="s">
        <v>177</v>
      </c>
      <c r="E51" s="2428"/>
      <c r="F51" s="2430"/>
      <c r="G51" s="928"/>
      <c r="H51" s="853"/>
      <c r="I51" s="1024"/>
      <c r="J51" s="1025"/>
      <c r="K51" s="113"/>
      <c r="L51" s="813"/>
      <c r="M51" s="97"/>
      <c r="N51" s="796"/>
      <c r="O51" s="813"/>
      <c r="P51" s="97"/>
      <c r="Q51" s="2420" t="s">
        <v>136</v>
      </c>
      <c r="R51" s="482">
        <v>152</v>
      </c>
      <c r="S51" s="58">
        <v>160</v>
      </c>
      <c r="T51" s="59">
        <v>160</v>
      </c>
      <c r="U51" s="59"/>
    </row>
    <row r="52" spans="1:21" s="52" customFormat="1" ht="14.25" customHeight="1" x14ac:dyDescent="0.2">
      <c r="A52" s="567"/>
      <c r="B52" s="5"/>
      <c r="C52" s="13"/>
      <c r="D52" s="2426"/>
      <c r="E52" s="2429"/>
      <c r="F52" s="2431"/>
      <c r="G52" s="928"/>
      <c r="H52" s="955"/>
      <c r="I52" s="978"/>
      <c r="J52" s="99"/>
      <c r="K52" s="113"/>
      <c r="L52" s="813"/>
      <c r="M52" s="97"/>
      <c r="N52" s="796"/>
      <c r="O52" s="813"/>
      <c r="P52" s="97"/>
      <c r="Q52" s="2421"/>
      <c r="R52" s="486"/>
      <c r="S52" s="311"/>
      <c r="T52" s="312"/>
      <c r="U52" s="312"/>
    </row>
    <row r="53" spans="1:21" s="52" customFormat="1" ht="17.25" customHeight="1" x14ac:dyDescent="0.2">
      <c r="A53" s="567"/>
      <c r="B53" s="5"/>
      <c r="C53" s="13"/>
      <c r="D53" s="2359" t="s">
        <v>178</v>
      </c>
      <c r="E53" s="2416"/>
      <c r="F53" s="2412"/>
      <c r="G53" s="928"/>
      <c r="H53" s="955"/>
      <c r="I53" s="978"/>
      <c r="J53" s="99"/>
      <c r="K53" s="113"/>
      <c r="L53" s="813"/>
      <c r="M53" s="97"/>
      <c r="N53" s="796"/>
      <c r="O53" s="813"/>
      <c r="P53" s="97"/>
      <c r="Q53" s="473" t="s">
        <v>138</v>
      </c>
      <c r="R53" s="480">
        <v>695</v>
      </c>
      <c r="S53" s="136">
        <v>695</v>
      </c>
      <c r="T53" s="130">
        <v>695</v>
      </c>
      <c r="U53" s="130"/>
    </row>
    <row r="54" spans="1:21" ht="30.75" customHeight="1" x14ac:dyDescent="0.2">
      <c r="A54" s="567"/>
      <c r="B54" s="5"/>
      <c r="C54" s="13"/>
      <c r="D54" s="2293"/>
      <c r="E54" s="2416"/>
      <c r="F54" s="2412"/>
      <c r="G54" s="928"/>
      <c r="H54" s="955"/>
      <c r="I54" s="978"/>
      <c r="J54" s="99"/>
      <c r="K54" s="113"/>
      <c r="L54" s="813"/>
      <c r="M54" s="97"/>
      <c r="N54" s="796"/>
      <c r="O54" s="813"/>
      <c r="P54" s="97"/>
      <c r="Q54" s="797" t="s">
        <v>139</v>
      </c>
      <c r="R54" s="482">
        <v>15000</v>
      </c>
      <c r="S54" s="58">
        <v>15000</v>
      </c>
      <c r="T54" s="59">
        <v>15000</v>
      </c>
      <c r="U54" s="59"/>
    </row>
    <row r="55" spans="1:21" ht="21" customHeight="1" x14ac:dyDescent="0.2">
      <c r="A55" s="567"/>
      <c r="B55" s="5"/>
      <c r="C55" s="13"/>
      <c r="D55" s="2297" t="s">
        <v>140</v>
      </c>
      <c r="E55" s="799"/>
      <c r="F55" s="230"/>
      <c r="G55" s="227"/>
      <c r="H55" s="955"/>
      <c r="I55" s="978"/>
      <c r="J55" s="99"/>
      <c r="K55" s="113"/>
      <c r="L55" s="813"/>
      <c r="M55" s="97"/>
      <c r="N55" s="796"/>
      <c r="O55" s="813"/>
      <c r="P55" s="97"/>
      <c r="Q55" s="473" t="s">
        <v>141</v>
      </c>
      <c r="R55" s="480">
        <v>168</v>
      </c>
      <c r="S55" s="136">
        <v>168</v>
      </c>
      <c r="T55" s="130">
        <v>168</v>
      </c>
      <c r="U55" s="130"/>
    </row>
    <row r="56" spans="1:21" ht="21" customHeight="1" x14ac:dyDescent="0.2">
      <c r="A56" s="567"/>
      <c r="B56" s="5"/>
      <c r="C56" s="12"/>
      <c r="D56" s="2355"/>
      <c r="E56" s="724"/>
      <c r="F56" s="230"/>
      <c r="G56" s="227"/>
      <c r="H56" s="955"/>
      <c r="I56" s="978"/>
      <c r="J56" s="99"/>
      <c r="K56" s="113"/>
      <c r="L56" s="813"/>
      <c r="M56" s="97"/>
      <c r="N56" s="796"/>
      <c r="O56" s="813"/>
      <c r="P56" s="97"/>
      <c r="Q56" s="441" t="s">
        <v>142</v>
      </c>
      <c r="R56" s="467">
        <v>16</v>
      </c>
      <c r="S56" s="143">
        <v>16</v>
      </c>
      <c r="T56" s="158">
        <v>16</v>
      </c>
      <c r="U56" s="158"/>
    </row>
    <row r="57" spans="1:21" ht="42" customHeight="1" x14ac:dyDescent="0.2">
      <c r="A57" s="565"/>
      <c r="B57" s="5"/>
      <c r="C57" s="13"/>
      <c r="D57" s="777" t="s">
        <v>241</v>
      </c>
      <c r="E57" s="799"/>
      <c r="F57" s="230"/>
      <c r="G57" s="227"/>
      <c r="H57" s="246"/>
      <c r="I57" s="247"/>
      <c r="J57" s="195"/>
      <c r="K57" s="246"/>
      <c r="L57" s="247"/>
      <c r="M57" s="195"/>
      <c r="N57" s="226"/>
      <c r="O57" s="247"/>
      <c r="P57" s="195"/>
      <c r="Q57" s="811"/>
      <c r="R57" s="467"/>
      <c r="S57" s="143"/>
      <c r="T57" s="158"/>
      <c r="U57" s="158"/>
    </row>
    <row r="58" spans="1:21" ht="53.25" customHeight="1" x14ac:dyDescent="0.2">
      <c r="A58" s="565"/>
      <c r="B58" s="5"/>
      <c r="C58" s="13"/>
      <c r="D58" s="2336" t="s">
        <v>143</v>
      </c>
      <c r="E58" s="799"/>
      <c r="F58" s="230"/>
      <c r="G58" s="2759"/>
      <c r="H58" s="2762"/>
      <c r="I58" s="2765"/>
      <c r="J58" s="886"/>
      <c r="K58" s="2763"/>
      <c r="L58" s="2758"/>
      <c r="M58" s="1053"/>
      <c r="N58" s="2757"/>
      <c r="O58" s="2758"/>
      <c r="P58" s="1053"/>
      <c r="Q58" s="473" t="s">
        <v>131</v>
      </c>
      <c r="R58" s="480">
        <v>1</v>
      </c>
      <c r="S58" s="136">
        <v>1</v>
      </c>
      <c r="T58" s="130">
        <v>1</v>
      </c>
      <c r="U58" s="2344" t="s">
        <v>323</v>
      </c>
    </row>
    <row r="59" spans="1:21" ht="53.25" customHeight="1" x14ac:dyDescent="0.2">
      <c r="A59" s="565"/>
      <c r="B59" s="5"/>
      <c r="C59" s="13"/>
      <c r="D59" s="2417"/>
      <c r="E59" s="799"/>
      <c r="F59" s="230"/>
      <c r="G59" s="2759"/>
      <c r="H59" s="2762"/>
      <c r="I59" s="2765"/>
      <c r="J59" s="886"/>
      <c r="K59" s="2763"/>
      <c r="L59" s="2758"/>
      <c r="M59" s="1053"/>
      <c r="N59" s="2757"/>
      <c r="O59" s="2758"/>
      <c r="P59" s="1053"/>
      <c r="Q59" s="812" t="s">
        <v>133</v>
      </c>
      <c r="R59" s="885" t="s">
        <v>283</v>
      </c>
      <c r="S59" s="136">
        <v>25</v>
      </c>
      <c r="T59" s="130">
        <v>25</v>
      </c>
      <c r="U59" s="2345"/>
    </row>
    <row r="60" spans="1:21" ht="190.5" customHeight="1" x14ac:dyDescent="0.2">
      <c r="A60" s="565"/>
      <c r="B60" s="5"/>
      <c r="C60" s="13"/>
      <c r="D60" s="825" t="s">
        <v>144</v>
      </c>
      <c r="E60" s="724"/>
      <c r="F60" s="229"/>
      <c r="G60" s="2759"/>
      <c r="H60" s="888"/>
      <c r="I60" s="889"/>
      <c r="J60" s="886"/>
      <c r="K60" s="113"/>
      <c r="L60" s="813"/>
      <c r="M60" s="97"/>
      <c r="N60" s="796"/>
      <c r="O60" s="813"/>
      <c r="P60" s="97"/>
      <c r="Q60" s="797" t="s">
        <v>131</v>
      </c>
      <c r="R60" s="194">
        <v>2</v>
      </c>
      <c r="S60" s="141"/>
      <c r="T60" s="59"/>
      <c r="U60" s="887" t="s">
        <v>324</v>
      </c>
    </row>
    <row r="61" spans="1:21" ht="44.25" customHeight="1" thickBot="1" x14ac:dyDescent="0.25">
      <c r="A61" s="565"/>
      <c r="B61" s="5"/>
      <c r="C61" s="13"/>
      <c r="D61" s="528" t="s">
        <v>179</v>
      </c>
      <c r="E61" s="447"/>
      <c r="F61" s="230"/>
      <c r="G61" s="2759"/>
      <c r="H61" s="854"/>
      <c r="I61" s="813"/>
      <c r="J61" s="97"/>
      <c r="K61" s="113"/>
      <c r="L61" s="813"/>
      <c r="M61" s="97"/>
      <c r="N61" s="796"/>
      <c r="O61" s="813"/>
      <c r="P61" s="97"/>
      <c r="Q61" s="797" t="s">
        <v>133</v>
      </c>
      <c r="R61" s="194"/>
      <c r="S61" s="141">
        <v>120</v>
      </c>
      <c r="T61" s="59">
        <v>170</v>
      </c>
      <c r="U61" s="59"/>
    </row>
    <row r="62" spans="1:21" ht="18" customHeight="1" x14ac:dyDescent="0.2">
      <c r="A62" s="568"/>
      <c r="B62" s="87"/>
      <c r="C62" s="9"/>
      <c r="D62" s="2361" t="s">
        <v>69</v>
      </c>
      <c r="E62" s="2414" t="s">
        <v>46</v>
      </c>
      <c r="F62" s="800"/>
      <c r="G62" s="928"/>
      <c r="H62" s="854"/>
      <c r="I62" s="813"/>
      <c r="J62" s="97"/>
      <c r="K62" s="113"/>
      <c r="L62" s="813"/>
      <c r="M62" s="97"/>
      <c r="N62" s="796"/>
      <c r="O62" s="813"/>
      <c r="P62" s="97"/>
      <c r="Q62" s="442" t="s">
        <v>131</v>
      </c>
      <c r="R62" s="487">
        <v>4</v>
      </c>
      <c r="S62" s="388">
        <v>4</v>
      </c>
      <c r="T62" s="387">
        <v>4</v>
      </c>
      <c r="U62" s="387"/>
    </row>
    <row r="63" spans="1:21" ht="18" customHeight="1" x14ac:dyDescent="0.2">
      <c r="A63" s="568"/>
      <c r="B63" s="87"/>
      <c r="C63" s="9"/>
      <c r="D63" s="2355"/>
      <c r="E63" s="2415"/>
      <c r="F63" s="800"/>
      <c r="G63" s="928"/>
      <c r="H63" s="854"/>
      <c r="I63" s="813"/>
      <c r="J63" s="97"/>
      <c r="K63" s="113"/>
      <c r="L63" s="813"/>
      <c r="M63" s="97"/>
      <c r="N63" s="796"/>
      <c r="O63" s="813"/>
      <c r="P63" s="97"/>
      <c r="Q63" s="811" t="s">
        <v>133</v>
      </c>
      <c r="R63" s="467">
        <v>57</v>
      </c>
      <c r="S63" s="143">
        <v>60</v>
      </c>
      <c r="T63" s="158">
        <v>60</v>
      </c>
      <c r="U63" s="158"/>
    </row>
    <row r="64" spans="1:21" ht="18" customHeight="1" x14ac:dyDescent="0.2">
      <c r="A64" s="569"/>
      <c r="B64" s="756"/>
      <c r="C64" s="789"/>
      <c r="D64" s="2336" t="s">
        <v>88</v>
      </c>
      <c r="E64" s="524"/>
      <c r="F64" s="747"/>
      <c r="G64" s="890"/>
      <c r="H64" s="888"/>
      <c r="I64" s="889"/>
      <c r="J64" s="1026"/>
      <c r="K64" s="792"/>
      <c r="L64" s="814"/>
      <c r="M64" s="99"/>
      <c r="N64" s="94"/>
      <c r="O64" s="814"/>
      <c r="P64" s="99"/>
      <c r="Q64" s="384" t="s">
        <v>131</v>
      </c>
      <c r="R64" s="399">
        <v>90</v>
      </c>
      <c r="S64" s="228">
        <v>90</v>
      </c>
      <c r="T64" s="27">
        <v>90</v>
      </c>
      <c r="U64" s="2299" t="s">
        <v>327</v>
      </c>
    </row>
    <row r="65" spans="1:26" ht="29.25" customHeight="1" x14ac:dyDescent="0.2">
      <c r="A65" s="569"/>
      <c r="B65" s="756"/>
      <c r="C65" s="789"/>
      <c r="D65" s="2356"/>
      <c r="E65" s="525"/>
      <c r="F65" s="747"/>
      <c r="G65" s="21"/>
      <c r="H65" s="955"/>
      <c r="I65" s="978"/>
      <c r="J65" s="99"/>
      <c r="K65" s="792"/>
      <c r="L65" s="814"/>
      <c r="M65" s="99"/>
      <c r="N65" s="94"/>
      <c r="O65" s="814"/>
      <c r="P65" s="99"/>
      <c r="Q65" s="135" t="s">
        <v>225</v>
      </c>
      <c r="R65" s="337"/>
      <c r="S65" s="120">
        <v>2010</v>
      </c>
      <c r="T65" s="818"/>
      <c r="U65" s="2315"/>
    </row>
    <row r="66" spans="1:26" ht="59.25" customHeight="1" x14ac:dyDescent="0.2">
      <c r="A66" s="569"/>
      <c r="B66" s="756"/>
      <c r="C66" s="789"/>
      <c r="D66" s="778"/>
      <c r="E66" s="525"/>
      <c r="F66" s="747"/>
      <c r="G66" s="21"/>
      <c r="H66" s="955"/>
      <c r="I66" s="978"/>
      <c r="J66" s="99"/>
      <c r="K66" s="792"/>
      <c r="L66" s="814"/>
      <c r="M66" s="99"/>
      <c r="N66" s="796"/>
      <c r="O66" s="813"/>
      <c r="P66" s="97"/>
      <c r="Q66" s="384" t="s">
        <v>180</v>
      </c>
      <c r="R66" s="891" t="s">
        <v>284</v>
      </c>
      <c r="S66" s="370">
        <v>448</v>
      </c>
      <c r="T66" s="371">
        <v>448</v>
      </c>
      <c r="U66" s="2316"/>
    </row>
    <row r="67" spans="1:26" ht="143.25" customHeight="1" x14ac:dyDescent="0.2">
      <c r="A67" s="569"/>
      <c r="B67" s="756"/>
      <c r="C67" s="789"/>
      <c r="D67" s="753"/>
      <c r="E67" s="790"/>
      <c r="F67" s="774"/>
      <c r="G67" s="890"/>
      <c r="H67" s="888"/>
      <c r="I67" s="889"/>
      <c r="J67" s="1026"/>
      <c r="K67" s="792"/>
      <c r="L67" s="814"/>
      <c r="M67" s="99"/>
      <c r="N67" s="796"/>
      <c r="O67" s="813"/>
      <c r="P67" s="97"/>
      <c r="Q67" s="135" t="s">
        <v>145</v>
      </c>
      <c r="R67" s="892" t="s">
        <v>285</v>
      </c>
      <c r="S67" s="129">
        <v>9</v>
      </c>
      <c r="T67" s="118"/>
      <c r="U67" s="534" t="s">
        <v>328</v>
      </c>
    </row>
    <row r="68" spans="1:26" ht="16.5" customHeight="1" x14ac:dyDescent="0.2">
      <c r="A68" s="569"/>
      <c r="B68" s="756"/>
      <c r="C68" s="789"/>
      <c r="D68" s="403" t="s">
        <v>58</v>
      </c>
      <c r="E68" s="790"/>
      <c r="F68" s="774"/>
      <c r="G68" s="21"/>
      <c r="H68" s="955"/>
      <c r="I68" s="978"/>
      <c r="J68" s="99"/>
      <c r="K68" s="792"/>
      <c r="L68" s="814"/>
      <c r="M68" s="99"/>
      <c r="N68" s="94"/>
      <c r="O68" s="814"/>
      <c r="P68" s="99"/>
      <c r="Q68" s="768" t="s">
        <v>146</v>
      </c>
      <c r="R68" s="35">
        <v>17</v>
      </c>
      <c r="S68" s="591">
        <v>17</v>
      </c>
      <c r="T68" s="593">
        <v>17</v>
      </c>
      <c r="U68" s="333"/>
    </row>
    <row r="69" spans="1:26" ht="16.5" customHeight="1" x14ac:dyDescent="0.2">
      <c r="A69" s="569"/>
      <c r="B69" s="756"/>
      <c r="C69" s="69"/>
      <c r="D69" s="403" t="s">
        <v>120</v>
      </c>
      <c r="E69" s="84"/>
      <c r="F69" s="791"/>
      <c r="G69" s="21"/>
      <c r="H69" s="955"/>
      <c r="I69" s="978"/>
      <c r="J69" s="99"/>
      <c r="K69" s="792"/>
      <c r="L69" s="814"/>
      <c r="M69" s="99"/>
      <c r="N69" s="94"/>
      <c r="O69" s="814"/>
      <c r="P69" s="99"/>
      <c r="Q69" s="384" t="s">
        <v>132</v>
      </c>
      <c r="R69" s="399">
        <v>1168</v>
      </c>
      <c r="S69" s="228">
        <v>1168</v>
      </c>
      <c r="T69" s="41">
        <v>1168</v>
      </c>
      <c r="U69" s="338"/>
    </row>
    <row r="70" spans="1:26" ht="21" customHeight="1" x14ac:dyDescent="0.2">
      <c r="A70" s="569"/>
      <c r="B70" s="756"/>
      <c r="C70" s="9"/>
      <c r="D70" s="2354" t="s">
        <v>181</v>
      </c>
      <c r="E70" s="235"/>
      <c r="F70" s="791"/>
      <c r="G70" s="21"/>
      <c r="H70" s="955"/>
      <c r="I70" s="978"/>
      <c r="J70" s="99"/>
      <c r="K70" s="792"/>
      <c r="L70" s="814"/>
      <c r="M70" s="99"/>
      <c r="N70" s="94"/>
      <c r="O70" s="814"/>
      <c r="P70" s="99"/>
      <c r="Q70" s="135" t="s">
        <v>131</v>
      </c>
      <c r="R70" s="629">
        <v>1</v>
      </c>
      <c r="S70" s="630">
        <v>1</v>
      </c>
      <c r="T70" s="631">
        <v>1</v>
      </c>
      <c r="U70" s="556"/>
    </row>
    <row r="71" spans="1:26" s="52" customFormat="1" ht="21" customHeight="1" x14ac:dyDescent="0.2">
      <c r="A71" s="569"/>
      <c r="B71" s="756"/>
      <c r="C71" s="9"/>
      <c r="D71" s="2355"/>
      <c r="E71" s="235"/>
      <c r="F71" s="791"/>
      <c r="G71" s="21"/>
      <c r="H71" s="955"/>
      <c r="I71" s="978"/>
      <c r="J71" s="99"/>
      <c r="K71" s="792"/>
      <c r="L71" s="814"/>
      <c r="M71" s="99"/>
      <c r="N71" s="94"/>
      <c r="O71" s="814"/>
      <c r="P71" s="99"/>
      <c r="Q71" s="384" t="s">
        <v>132</v>
      </c>
      <c r="R71" s="488">
        <v>26</v>
      </c>
      <c r="S71" s="389">
        <v>26</v>
      </c>
      <c r="T71" s="456">
        <v>26</v>
      </c>
      <c r="U71" s="609"/>
      <c r="W71" s="299"/>
    </row>
    <row r="72" spans="1:26" ht="30" customHeight="1" x14ac:dyDescent="0.2">
      <c r="A72" s="570"/>
      <c r="B72" s="756"/>
      <c r="C72" s="789"/>
      <c r="D72" s="313" t="s">
        <v>147</v>
      </c>
      <c r="E72" s="790"/>
      <c r="F72" s="774"/>
      <c r="G72" s="217"/>
      <c r="H72" s="646"/>
      <c r="I72" s="642"/>
      <c r="J72" s="122"/>
      <c r="K72" s="646"/>
      <c r="L72" s="642"/>
      <c r="M72" s="122"/>
      <c r="N72" s="125"/>
      <c r="O72" s="642"/>
      <c r="P72" s="122"/>
      <c r="Q72" s="127" t="s">
        <v>131</v>
      </c>
      <c r="R72" s="802">
        <v>92</v>
      </c>
      <c r="S72" s="804">
        <v>92</v>
      </c>
      <c r="T72" s="806">
        <v>92</v>
      </c>
      <c r="U72" s="806"/>
    </row>
    <row r="73" spans="1:26" s="52" customFormat="1" ht="16.5" customHeight="1" x14ac:dyDescent="0.2">
      <c r="A73" s="565"/>
      <c r="B73" s="5"/>
      <c r="C73" s="523"/>
      <c r="D73" s="2297" t="s">
        <v>116</v>
      </c>
      <c r="E73" s="526"/>
      <c r="F73" s="400">
        <v>1</v>
      </c>
      <c r="G73" s="399" t="s">
        <v>15</v>
      </c>
      <c r="H73" s="327">
        <v>9</v>
      </c>
      <c r="I73" s="676">
        <v>9</v>
      </c>
      <c r="J73" s="286"/>
      <c r="K73" s="327"/>
      <c r="L73" s="676"/>
      <c r="M73" s="286"/>
      <c r="N73" s="173"/>
      <c r="O73" s="676"/>
      <c r="P73" s="286"/>
      <c r="Q73" s="2299" t="s">
        <v>234</v>
      </c>
      <c r="R73" s="484">
        <v>34</v>
      </c>
      <c r="S73" s="30"/>
      <c r="T73" s="529"/>
      <c r="U73" s="529"/>
    </row>
    <row r="74" spans="1:26" ht="16.5" customHeight="1" thickBot="1" x14ac:dyDescent="0.25">
      <c r="A74" s="571"/>
      <c r="B74" s="15"/>
      <c r="C74" s="8"/>
      <c r="D74" s="2298"/>
      <c r="E74" s="2403" t="s">
        <v>54</v>
      </c>
      <c r="F74" s="2403"/>
      <c r="G74" s="2404"/>
      <c r="H74" s="469">
        <f>SUM(H13:H73)</f>
        <v>72032.100000000006</v>
      </c>
      <c r="I74" s="249">
        <f t="shared" ref="I74:P74" si="0">SUM(I13:I73)</f>
        <v>73091.000000000015</v>
      </c>
      <c r="J74" s="612">
        <f t="shared" si="0"/>
        <v>1058.9000000000024</v>
      </c>
      <c r="K74" s="469">
        <f t="shared" si="0"/>
        <v>70327</v>
      </c>
      <c r="L74" s="249">
        <f t="shared" si="0"/>
        <v>70327</v>
      </c>
      <c r="M74" s="612">
        <f t="shared" si="0"/>
        <v>0</v>
      </c>
      <c r="N74" s="469">
        <f t="shared" si="0"/>
        <v>70312.5</v>
      </c>
      <c r="O74" s="249">
        <f t="shared" si="0"/>
        <v>70312.5</v>
      </c>
      <c r="P74" s="612">
        <f t="shared" si="0"/>
        <v>0</v>
      </c>
      <c r="Q74" s="2300"/>
      <c r="R74" s="489"/>
      <c r="S74" s="166"/>
      <c r="T74" s="167"/>
      <c r="U74" s="167"/>
    </row>
    <row r="75" spans="1:26" ht="32.25" customHeight="1" x14ac:dyDescent="0.2">
      <c r="A75" s="572" t="s">
        <v>14</v>
      </c>
      <c r="B75" s="793" t="s">
        <v>14</v>
      </c>
      <c r="C75" s="781" t="s">
        <v>17</v>
      </c>
      <c r="D75" s="775" t="s">
        <v>89</v>
      </c>
      <c r="E75" s="783"/>
      <c r="F75" s="47">
        <v>2</v>
      </c>
      <c r="G75" s="31"/>
      <c r="H75" s="144"/>
      <c r="I75" s="250"/>
      <c r="J75" s="144"/>
      <c r="K75" s="93"/>
      <c r="L75" s="250"/>
      <c r="M75" s="100"/>
      <c r="N75" s="144"/>
      <c r="O75" s="250"/>
      <c r="P75" s="100"/>
      <c r="Q75" s="336"/>
      <c r="R75" s="214"/>
      <c r="S75" s="409"/>
      <c r="T75" s="410"/>
      <c r="U75" s="410"/>
    </row>
    <row r="76" spans="1:26" ht="40.5" customHeight="1" x14ac:dyDescent="0.2">
      <c r="A76" s="569"/>
      <c r="B76" s="756"/>
      <c r="C76" s="789"/>
      <c r="D76" s="199" t="s">
        <v>90</v>
      </c>
      <c r="E76" s="790"/>
      <c r="F76" s="774"/>
      <c r="G76" s="163" t="s">
        <v>18</v>
      </c>
      <c r="H76" s="677">
        <v>207.3</v>
      </c>
      <c r="I76" s="677">
        <v>207.3</v>
      </c>
      <c r="J76" s="287"/>
      <c r="K76" s="552">
        <v>207.3</v>
      </c>
      <c r="L76" s="677">
        <v>207.3</v>
      </c>
      <c r="M76" s="115">
        <f>+L76-K76</f>
        <v>0</v>
      </c>
      <c r="N76" s="640">
        <v>207.3</v>
      </c>
      <c r="O76" s="677">
        <v>207.3</v>
      </c>
      <c r="P76" s="115">
        <f>+O76-N76</f>
        <v>0</v>
      </c>
      <c r="Q76" s="384" t="s">
        <v>132</v>
      </c>
      <c r="R76" s="490">
        <v>2570</v>
      </c>
      <c r="S76" s="404">
        <v>2570</v>
      </c>
      <c r="T76" s="405">
        <v>2570</v>
      </c>
      <c r="U76" s="405"/>
      <c r="Z76" s="38" t="s">
        <v>81</v>
      </c>
    </row>
    <row r="77" spans="1:26" s="52" customFormat="1" ht="16.5" customHeight="1" x14ac:dyDescent="0.2">
      <c r="A77" s="570"/>
      <c r="B77" s="756"/>
      <c r="C77" s="789"/>
      <c r="D77" s="2317" t="s">
        <v>149</v>
      </c>
      <c r="E77" s="790"/>
      <c r="F77" s="791"/>
      <c r="G77" s="597" t="s">
        <v>15</v>
      </c>
      <c r="H77" s="737">
        <v>232.6</v>
      </c>
      <c r="I77" s="737">
        <v>232.6</v>
      </c>
      <c r="J77" s="160"/>
      <c r="K77" s="663">
        <v>178</v>
      </c>
      <c r="L77" s="614">
        <v>178</v>
      </c>
      <c r="M77" s="530"/>
      <c r="N77" s="659">
        <v>122</v>
      </c>
      <c r="O77" s="614">
        <v>122</v>
      </c>
      <c r="P77" s="530"/>
      <c r="Q77" s="127" t="s">
        <v>138</v>
      </c>
      <c r="R77" s="21">
        <v>190</v>
      </c>
      <c r="S77" s="590">
        <v>190</v>
      </c>
      <c r="T77" s="592">
        <v>190</v>
      </c>
      <c r="U77" s="592"/>
      <c r="V77" s="298"/>
      <c r="W77" s="298"/>
      <c r="X77" s="298"/>
    </row>
    <row r="78" spans="1:26" s="52" customFormat="1" ht="43.5" customHeight="1" x14ac:dyDescent="0.2">
      <c r="A78" s="569"/>
      <c r="B78" s="756"/>
      <c r="C78" s="789"/>
      <c r="D78" s="2318"/>
      <c r="E78" s="790"/>
      <c r="F78" s="791"/>
      <c r="G78" s="596"/>
      <c r="H78" s="814"/>
      <c r="I78" s="814"/>
      <c r="J78" s="94"/>
      <c r="K78" s="738"/>
      <c r="L78" s="814"/>
      <c r="M78" s="99"/>
      <c r="N78" s="411"/>
      <c r="O78" s="814"/>
      <c r="P78" s="99"/>
      <c r="Q78" s="384" t="s">
        <v>182</v>
      </c>
      <c r="R78" s="70">
        <v>30</v>
      </c>
      <c r="S78" s="140"/>
      <c r="T78" s="41"/>
      <c r="U78" s="41"/>
      <c r="V78" s="298"/>
      <c r="W78" s="224"/>
      <c r="X78" s="224"/>
    </row>
    <row r="79" spans="1:26" s="52" customFormat="1" ht="29.25" customHeight="1" x14ac:dyDescent="0.2">
      <c r="A79" s="569"/>
      <c r="B79" s="756"/>
      <c r="C79" s="789"/>
      <c r="D79" s="770" t="s">
        <v>150</v>
      </c>
      <c r="E79" s="790"/>
      <c r="F79" s="791"/>
      <c r="G79" s="748"/>
      <c r="H79" s="814"/>
      <c r="I79" s="814"/>
      <c r="J79" s="94"/>
      <c r="K79" s="738"/>
      <c r="L79" s="814"/>
      <c r="M79" s="99"/>
      <c r="N79" s="411"/>
      <c r="O79" s="814"/>
      <c r="P79" s="99"/>
      <c r="Q79" s="128" t="s">
        <v>183</v>
      </c>
      <c r="R79" s="215">
        <v>2000</v>
      </c>
      <c r="S79" s="140"/>
      <c r="T79" s="41"/>
      <c r="U79" s="41"/>
      <c r="V79" s="299"/>
    </row>
    <row r="80" spans="1:26" s="52" customFormat="1" ht="18" customHeight="1" x14ac:dyDescent="0.2">
      <c r="A80" s="569"/>
      <c r="B80" s="756"/>
      <c r="C80" s="789"/>
      <c r="D80" s="2318" t="s">
        <v>57</v>
      </c>
      <c r="E80" s="2386"/>
      <c r="F80" s="2387"/>
      <c r="G80" s="18"/>
      <c r="H80" s="2388"/>
      <c r="I80" s="2388"/>
      <c r="J80" s="94"/>
      <c r="K80" s="738"/>
      <c r="L80" s="814"/>
      <c r="M80" s="99"/>
      <c r="N80" s="411"/>
      <c r="O80" s="814"/>
      <c r="P80" s="99"/>
      <c r="Q80" s="384" t="s">
        <v>184</v>
      </c>
      <c r="R80" s="471">
        <v>40</v>
      </c>
      <c r="S80" s="370">
        <v>40</v>
      </c>
      <c r="T80" s="371">
        <v>40</v>
      </c>
      <c r="U80" s="371"/>
      <c r="V80" s="299"/>
    </row>
    <row r="81" spans="1:22" s="52" customFormat="1" ht="15.75" customHeight="1" x14ac:dyDescent="0.2">
      <c r="A81" s="569"/>
      <c r="B81" s="756"/>
      <c r="C81" s="789"/>
      <c r="D81" s="2318"/>
      <c r="E81" s="2386"/>
      <c r="F81" s="2342"/>
      <c r="G81" s="18"/>
      <c r="H81" s="2388"/>
      <c r="I81" s="2388"/>
      <c r="J81" s="94"/>
      <c r="K81" s="738"/>
      <c r="L81" s="814"/>
      <c r="M81" s="99"/>
      <c r="N81" s="411"/>
      <c r="O81" s="814"/>
      <c r="P81" s="99"/>
      <c r="Q81" s="135" t="s">
        <v>183</v>
      </c>
      <c r="R81" s="471">
        <v>3000</v>
      </c>
      <c r="S81" s="370">
        <v>3000</v>
      </c>
      <c r="T81" s="371">
        <v>3000</v>
      </c>
      <c r="U81" s="371"/>
      <c r="V81" s="299"/>
    </row>
    <row r="82" spans="1:22" s="52" customFormat="1" ht="31.5" customHeight="1" x14ac:dyDescent="0.2">
      <c r="A82" s="566"/>
      <c r="B82" s="756"/>
      <c r="C82" s="789"/>
      <c r="D82" s="168" t="s">
        <v>151</v>
      </c>
      <c r="E82" s="790"/>
      <c r="F82" s="791"/>
      <c r="G82" s="596"/>
      <c r="H82" s="814"/>
      <c r="I82" s="814"/>
      <c r="J82" s="94"/>
      <c r="K82" s="738"/>
      <c r="L82" s="814"/>
      <c r="M82" s="99"/>
      <c r="N82" s="411"/>
      <c r="O82" s="814"/>
      <c r="P82" s="99"/>
      <c r="Q82" s="128" t="s">
        <v>183</v>
      </c>
      <c r="R82" s="215">
        <v>4500</v>
      </c>
      <c r="S82" s="164">
        <v>4500</v>
      </c>
      <c r="T82" s="79">
        <v>4500</v>
      </c>
      <c r="U82" s="79"/>
      <c r="V82" s="299"/>
    </row>
    <row r="83" spans="1:22" ht="41.25" customHeight="1" x14ac:dyDescent="0.2">
      <c r="A83" s="566"/>
      <c r="B83" s="756"/>
      <c r="C83" s="789"/>
      <c r="D83" s="74" t="s">
        <v>96</v>
      </c>
      <c r="E83" s="790"/>
      <c r="F83" s="791"/>
      <c r="G83" s="198"/>
      <c r="H83" s="642"/>
      <c r="I83" s="642"/>
      <c r="J83" s="125"/>
      <c r="K83" s="645"/>
      <c r="L83" s="642"/>
      <c r="M83" s="122"/>
      <c r="N83" s="641"/>
      <c r="O83" s="642"/>
      <c r="P83" s="122"/>
      <c r="Q83" s="384" t="s">
        <v>184</v>
      </c>
      <c r="R83" s="471">
        <v>20</v>
      </c>
      <c r="S83" s="370">
        <v>20</v>
      </c>
      <c r="T83" s="371"/>
      <c r="U83" s="371"/>
      <c r="V83" s="80"/>
    </row>
    <row r="84" spans="1:22" ht="15.75" customHeight="1" x14ac:dyDescent="0.2">
      <c r="A84" s="566"/>
      <c r="B84" s="756"/>
      <c r="C84" s="789"/>
      <c r="D84" s="2317" t="s">
        <v>77</v>
      </c>
      <c r="E84" s="790"/>
      <c r="F84" s="791"/>
      <c r="G84" s="597" t="s">
        <v>113</v>
      </c>
      <c r="H84" s="677">
        <v>653.20000000000005</v>
      </c>
      <c r="I84" s="677">
        <v>653.20000000000005</v>
      </c>
      <c r="J84" s="287"/>
      <c r="K84" s="552">
        <v>654.20000000000005</v>
      </c>
      <c r="L84" s="677">
        <v>654.20000000000005</v>
      </c>
      <c r="M84" s="115">
        <f>+L84-K84</f>
        <v>0</v>
      </c>
      <c r="N84" s="640">
        <v>654.20000000000005</v>
      </c>
      <c r="O84" s="677">
        <v>654.20000000000005</v>
      </c>
      <c r="P84" s="115">
        <f>+O84-N84</f>
        <v>0</v>
      </c>
      <c r="Q84" s="2313" t="s">
        <v>184</v>
      </c>
      <c r="R84" s="215">
        <v>100</v>
      </c>
      <c r="S84" s="164">
        <v>100</v>
      </c>
      <c r="T84" s="79">
        <v>100</v>
      </c>
      <c r="U84" s="2299"/>
      <c r="V84" s="80"/>
    </row>
    <row r="85" spans="1:22" ht="15.75" customHeight="1" x14ac:dyDescent="0.2">
      <c r="A85" s="566"/>
      <c r="B85" s="756"/>
      <c r="C85" s="789"/>
      <c r="D85" s="2331"/>
      <c r="E85" s="790"/>
      <c r="F85" s="791"/>
      <c r="G85" s="198"/>
      <c r="H85" s="642"/>
      <c r="I85" s="642"/>
      <c r="J85" s="125"/>
      <c r="K85" s="645"/>
      <c r="L85" s="642"/>
      <c r="M85" s="122"/>
      <c r="N85" s="641"/>
      <c r="O85" s="642"/>
      <c r="P85" s="122"/>
      <c r="Q85" s="2314"/>
      <c r="R85" s="217"/>
      <c r="S85" s="129"/>
      <c r="T85" s="118"/>
      <c r="U85" s="2315"/>
      <c r="V85" s="80"/>
    </row>
    <row r="86" spans="1:22" ht="15.75" customHeight="1" thickBot="1" x14ac:dyDescent="0.25">
      <c r="A86" s="573"/>
      <c r="B86" s="794"/>
      <c r="C86" s="782"/>
      <c r="D86" s="2306"/>
      <c r="E86" s="784"/>
      <c r="F86" s="787"/>
      <c r="G86" s="32" t="s">
        <v>16</v>
      </c>
      <c r="H86" s="104">
        <f>SUM(H75:H84)</f>
        <v>1093.0999999999999</v>
      </c>
      <c r="I86" s="252">
        <f>SUM(I75:I85)</f>
        <v>1093.0999999999999</v>
      </c>
      <c r="J86" s="284">
        <f t="shared" ref="J86:P86" si="1">SUM(J75:J85)</f>
        <v>0</v>
      </c>
      <c r="K86" s="343">
        <f>SUM(K75:K85)</f>
        <v>1039.5</v>
      </c>
      <c r="L86" s="252">
        <f>SUM(L75:L85)</f>
        <v>1039.5</v>
      </c>
      <c r="M86" s="308">
        <f t="shared" si="1"/>
        <v>0</v>
      </c>
      <c r="N86" s="628">
        <f>SUM(N75:N85)</f>
        <v>983.5</v>
      </c>
      <c r="O86" s="252">
        <f t="shared" si="1"/>
        <v>983.5</v>
      </c>
      <c r="P86" s="252">
        <f t="shared" si="1"/>
        <v>0</v>
      </c>
      <c r="Q86" s="457" t="s">
        <v>132</v>
      </c>
      <c r="R86" s="491">
        <v>5000</v>
      </c>
      <c r="S86" s="169">
        <v>5000</v>
      </c>
      <c r="T86" s="170">
        <v>5000</v>
      </c>
      <c r="U86" s="2300"/>
    </row>
    <row r="87" spans="1:22" ht="29.25" customHeight="1" x14ac:dyDescent="0.2">
      <c r="A87" s="572" t="s">
        <v>14</v>
      </c>
      <c r="B87" s="793" t="s">
        <v>14</v>
      </c>
      <c r="C87" s="781" t="s">
        <v>19</v>
      </c>
      <c r="D87" s="760" t="s">
        <v>68</v>
      </c>
      <c r="E87" s="790"/>
      <c r="F87" s="747">
        <v>1</v>
      </c>
      <c r="G87" s="29" t="s">
        <v>15</v>
      </c>
      <c r="H87" s="94">
        <v>3.9</v>
      </c>
      <c r="I87" s="814">
        <v>3.9</v>
      </c>
      <c r="J87" s="94"/>
      <c r="K87" s="792">
        <v>3.9</v>
      </c>
      <c r="L87" s="814">
        <v>3.9</v>
      </c>
      <c r="M87" s="99"/>
      <c r="N87" s="94">
        <v>3.9</v>
      </c>
      <c r="O87" s="814">
        <v>3.9</v>
      </c>
      <c r="P87" s="99"/>
      <c r="Q87" s="336" t="s">
        <v>152</v>
      </c>
      <c r="R87" s="214">
        <v>10</v>
      </c>
      <c r="S87" s="409">
        <v>10</v>
      </c>
      <c r="T87" s="410">
        <v>10</v>
      </c>
      <c r="U87" s="410"/>
    </row>
    <row r="88" spans="1:22" ht="18" customHeight="1" thickBot="1" x14ac:dyDescent="0.25">
      <c r="A88" s="765"/>
      <c r="B88" s="15"/>
      <c r="C88" s="782"/>
      <c r="D88" s="458"/>
      <c r="E88" s="784"/>
      <c r="F88" s="785"/>
      <c r="G88" s="32" t="s">
        <v>16</v>
      </c>
      <c r="H88" s="104">
        <f t="shared" ref="H88:K88" si="2">H87</f>
        <v>3.9</v>
      </c>
      <c r="I88" s="252">
        <f t="shared" ref="I88" si="3">I87</f>
        <v>3.9</v>
      </c>
      <c r="J88" s="104"/>
      <c r="K88" s="103">
        <f t="shared" si="2"/>
        <v>3.9</v>
      </c>
      <c r="L88" s="252">
        <f t="shared" ref="L88" si="4">L87</f>
        <v>3.9</v>
      </c>
      <c r="M88" s="107"/>
      <c r="N88" s="104">
        <f t="shared" ref="N88:O88" si="5">N87</f>
        <v>3.9</v>
      </c>
      <c r="O88" s="252">
        <f t="shared" si="5"/>
        <v>3.9</v>
      </c>
      <c r="P88" s="107"/>
      <c r="Q88" s="128" t="s">
        <v>133</v>
      </c>
      <c r="R88" s="71">
        <v>860</v>
      </c>
      <c r="S88" s="138">
        <v>860</v>
      </c>
      <c r="T88" s="239">
        <v>860</v>
      </c>
      <c r="U88" s="239"/>
    </row>
    <row r="89" spans="1:22" ht="18" customHeight="1" x14ac:dyDescent="0.2">
      <c r="A89" s="563" t="s">
        <v>14</v>
      </c>
      <c r="B89" s="2393" t="s">
        <v>14</v>
      </c>
      <c r="C89" s="2378" t="s">
        <v>21</v>
      </c>
      <c r="D89" s="2305" t="s">
        <v>163</v>
      </c>
      <c r="E89" s="2380"/>
      <c r="F89" s="2382">
        <v>2</v>
      </c>
      <c r="G89" s="595" t="s">
        <v>15</v>
      </c>
      <c r="H89" s="94">
        <v>17.8</v>
      </c>
      <c r="I89" s="814">
        <v>17.8</v>
      </c>
      <c r="J89" s="94"/>
      <c r="K89" s="792">
        <v>17.8</v>
      </c>
      <c r="L89" s="814">
        <v>17.8</v>
      </c>
      <c r="M89" s="99"/>
      <c r="N89" s="94">
        <v>17.8</v>
      </c>
      <c r="O89" s="814">
        <v>17.8</v>
      </c>
      <c r="P89" s="99"/>
      <c r="Q89" s="2311" t="s">
        <v>185</v>
      </c>
      <c r="R89" s="634">
        <v>39</v>
      </c>
      <c r="S89" s="635">
        <v>39</v>
      </c>
      <c r="T89" s="636">
        <v>39</v>
      </c>
      <c r="U89" s="636"/>
    </row>
    <row r="90" spans="1:22" ht="16.5" customHeight="1" thickBot="1" x14ac:dyDescent="0.25">
      <c r="A90" s="573"/>
      <c r="B90" s="2394"/>
      <c r="C90" s="2379"/>
      <c r="D90" s="2306"/>
      <c r="E90" s="2381"/>
      <c r="F90" s="2383"/>
      <c r="G90" s="32" t="s">
        <v>16</v>
      </c>
      <c r="H90" s="104">
        <f t="shared" ref="H90:K90" si="6">SUM(H89)</f>
        <v>17.8</v>
      </c>
      <c r="I90" s="252">
        <f t="shared" ref="I90" si="7">SUM(I89)</f>
        <v>17.8</v>
      </c>
      <c r="J90" s="104"/>
      <c r="K90" s="103">
        <f t="shared" si="6"/>
        <v>17.8</v>
      </c>
      <c r="L90" s="252">
        <f t="shared" ref="L90" si="8">SUM(L89)</f>
        <v>17.8</v>
      </c>
      <c r="M90" s="107"/>
      <c r="N90" s="104">
        <f t="shared" ref="N90:O90" si="9">SUM(N89)</f>
        <v>17.8</v>
      </c>
      <c r="O90" s="252">
        <f t="shared" si="9"/>
        <v>17.8</v>
      </c>
      <c r="P90" s="107"/>
      <c r="Q90" s="2312"/>
      <c r="R90" s="492"/>
      <c r="S90" s="398"/>
      <c r="T90" s="178"/>
      <c r="U90" s="178"/>
    </row>
    <row r="91" spans="1:22" ht="18" customHeight="1" x14ac:dyDescent="0.2">
      <c r="A91" s="2376" t="s">
        <v>14</v>
      </c>
      <c r="B91" s="793" t="s">
        <v>14</v>
      </c>
      <c r="C91" s="2378" t="s">
        <v>22</v>
      </c>
      <c r="D91" s="2305" t="s">
        <v>153</v>
      </c>
      <c r="E91" s="2380" t="s">
        <v>48</v>
      </c>
      <c r="F91" s="2382">
        <v>2</v>
      </c>
      <c r="G91" s="595" t="s">
        <v>15</v>
      </c>
      <c r="H91" s="92">
        <v>26.2</v>
      </c>
      <c r="I91" s="257">
        <v>26.2</v>
      </c>
      <c r="J91" s="92"/>
      <c r="K91" s="153">
        <v>26.2</v>
      </c>
      <c r="L91" s="257">
        <v>26.2</v>
      </c>
      <c r="M91" s="106"/>
      <c r="N91" s="92">
        <v>26.2</v>
      </c>
      <c r="O91" s="257">
        <v>26.2</v>
      </c>
      <c r="P91" s="106"/>
      <c r="Q91" s="244" t="s">
        <v>131</v>
      </c>
      <c r="R91" s="493">
        <v>68</v>
      </c>
      <c r="S91" s="408">
        <v>68</v>
      </c>
      <c r="T91" s="290">
        <v>68</v>
      </c>
      <c r="U91" s="290"/>
    </row>
    <row r="92" spans="1:22" ht="39" customHeight="1" x14ac:dyDescent="0.2">
      <c r="A92" s="2390"/>
      <c r="B92" s="756"/>
      <c r="C92" s="2391"/>
      <c r="D92" s="2331"/>
      <c r="E92" s="2386"/>
      <c r="F92" s="2392"/>
      <c r="G92" s="88" t="s">
        <v>110</v>
      </c>
      <c r="H92" s="326">
        <v>107.4</v>
      </c>
      <c r="I92" s="258">
        <v>107.4</v>
      </c>
      <c r="J92" s="326"/>
      <c r="K92" s="154"/>
      <c r="L92" s="258"/>
      <c r="M92" s="96"/>
      <c r="N92" s="326"/>
      <c r="O92" s="258"/>
      <c r="P92" s="96"/>
      <c r="Q92" s="2313" t="s">
        <v>99</v>
      </c>
      <c r="R92" s="21">
        <v>7560</v>
      </c>
      <c r="S92" s="590">
        <v>7560</v>
      </c>
      <c r="T92" s="592">
        <v>7560</v>
      </c>
      <c r="U92" s="592"/>
    </row>
    <row r="93" spans="1:22" ht="13.5" thickBot="1" x14ac:dyDescent="0.25">
      <c r="A93" s="2377"/>
      <c r="B93" s="794"/>
      <c r="C93" s="2379"/>
      <c r="D93" s="2306"/>
      <c r="E93" s="2381"/>
      <c r="F93" s="2383"/>
      <c r="G93" s="32" t="s">
        <v>16</v>
      </c>
      <c r="H93" s="104">
        <f t="shared" ref="H93:K93" si="10">SUM(H91:H92)</f>
        <v>133.6</v>
      </c>
      <c r="I93" s="252">
        <f t="shared" ref="I93" si="11">SUM(I91:I92)</f>
        <v>133.6</v>
      </c>
      <c r="J93" s="104"/>
      <c r="K93" s="103">
        <f t="shared" si="10"/>
        <v>26.2</v>
      </c>
      <c r="L93" s="252">
        <f t="shared" ref="L93" si="12">SUM(L91:L92)</f>
        <v>26.2</v>
      </c>
      <c r="M93" s="107"/>
      <c r="N93" s="104">
        <f t="shared" ref="N93:O93" si="13">SUM(N91:N92)</f>
        <v>26.2</v>
      </c>
      <c r="O93" s="252">
        <f t="shared" si="13"/>
        <v>26.2</v>
      </c>
      <c r="P93" s="107"/>
      <c r="Q93" s="2312"/>
      <c r="R93" s="494"/>
      <c r="S93" s="318"/>
      <c r="T93" s="156"/>
      <c r="U93" s="156"/>
    </row>
    <row r="94" spans="1:22" ht="28.5" customHeight="1" x14ac:dyDescent="0.2">
      <c r="A94" s="2376" t="s">
        <v>14</v>
      </c>
      <c r="B94" s="793" t="s">
        <v>14</v>
      </c>
      <c r="C94" s="2378" t="s">
        <v>106</v>
      </c>
      <c r="D94" s="2286" t="s">
        <v>186</v>
      </c>
      <c r="E94" s="2380"/>
      <c r="F94" s="2384">
        <v>1</v>
      </c>
      <c r="G94" s="596" t="s">
        <v>15</v>
      </c>
      <c r="H94" s="94">
        <v>35</v>
      </c>
      <c r="I94" s="898">
        <v>26.7</v>
      </c>
      <c r="J94" s="899">
        <f>+I94-H94</f>
        <v>-8.3000000000000007</v>
      </c>
      <c r="K94" s="792">
        <v>5</v>
      </c>
      <c r="L94" s="814">
        <v>5</v>
      </c>
      <c r="M94" s="99"/>
      <c r="N94" s="94">
        <v>5</v>
      </c>
      <c r="O94" s="814">
        <v>5</v>
      </c>
      <c r="P94" s="99"/>
      <c r="Q94" s="135" t="s">
        <v>187</v>
      </c>
      <c r="R94" s="35">
        <v>1</v>
      </c>
      <c r="S94" s="591"/>
      <c r="T94" s="593"/>
      <c r="U94" s="2389" t="s">
        <v>298</v>
      </c>
    </row>
    <row r="95" spans="1:22" ht="28.5" customHeight="1" thickBot="1" x14ac:dyDescent="0.25">
      <c r="A95" s="2377"/>
      <c r="B95" s="794"/>
      <c r="C95" s="2379"/>
      <c r="D95" s="2288"/>
      <c r="E95" s="2381"/>
      <c r="F95" s="2385"/>
      <c r="G95" s="32" t="s">
        <v>16</v>
      </c>
      <c r="H95" s="104">
        <f>H94</f>
        <v>35</v>
      </c>
      <c r="I95" s="252">
        <f>I94</f>
        <v>26.7</v>
      </c>
      <c r="J95" s="252">
        <f>J94</f>
        <v>-8.3000000000000007</v>
      </c>
      <c r="K95" s="103">
        <f>+K94</f>
        <v>5</v>
      </c>
      <c r="L95" s="252">
        <f>+L94</f>
        <v>5</v>
      </c>
      <c r="M95" s="107"/>
      <c r="N95" s="104">
        <f>+N94</f>
        <v>5</v>
      </c>
      <c r="O95" s="252">
        <f>+O94</f>
        <v>5</v>
      </c>
      <c r="P95" s="107"/>
      <c r="Q95" s="177" t="s">
        <v>188</v>
      </c>
      <c r="R95" s="494">
        <v>1</v>
      </c>
      <c r="S95" s="318">
        <v>1</v>
      </c>
      <c r="T95" s="156">
        <v>1</v>
      </c>
      <c r="U95" s="2300"/>
    </row>
    <row r="96" spans="1:22" ht="18.75" customHeight="1" x14ac:dyDescent="0.2">
      <c r="A96" s="2376" t="s">
        <v>14</v>
      </c>
      <c r="B96" s="793" t="s">
        <v>14</v>
      </c>
      <c r="C96" s="2378" t="s">
        <v>107</v>
      </c>
      <c r="D96" s="2305" t="s">
        <v>172</v>
      </c>
      <c r="E96" s="2380"/>
      <c r="F96" s="2382">
        <v>2</v>
      </c>
      <c r="G96" s="595" t="s">
        <v>15</v>
      </c>
      <c r="H96" s="94">
        <v>16</v>
      </c>
      <c r="I96" s="814">
        <v>16</v>
      </c>
      <c r="J96" s="94"/>
      <c r="K96" s="105">
        <v>16</v>
      </c>
      <c r="L96" s="248">
        <v>16</v>
      </c>
      <c r="M96" s="95"/>
      <c r="N96" s="108">
        <v>16</v>
      </c>
      <c r="O96" s="248">
        <v>16</v>
      </c>
      <c r="P96" s="95"/>
      <c r="Q96" s="2311" t="s">
        <v>131</v>
      </c>
      <c r="R96" s="214">
        <v>89</v>
      </c>
      <c r="S96" s="409">
        <v>89</v>
      </c>
      <c r="T96" s="410">
        <v>89</v>
      </c>
      <c r="U96" s="410"/>
    </row>
    <row r="97" spans="1:23" ht="16.5" customHeight="1" thickBot="1" x14ac:dyDescent="0.25">
      <c r="A97" s="2377"/>
      <c r="B97" s="794"/>
      <c r="C97" s="2379"/>
      <c r="D97" s="2306"/>
      <c r="E97" s="2381"/>
      <c r="F97" s="2383"/>
      <c r="G97" s="32" t="s">
        <v>16</v>
      </c>
      <c r="H97" s="104">
        <f>H96</f>
        <v>16</v>
      </c>
      <c r="I97" s="252">
        <f>I96</f>
        <v>16</v>
      </c>
      <c r="J97" s="104"/>
      <c r="K97" s="103">
        <f>SUM(K96)</f>
        <v>16</v>
      </c>
      <c r="L97" s="252">
        <f>SUM(L96)</f>
        <v>16</v>
      </c>
      <c r="M97" s="107"/>
      <c r="N97" s="104">
        <f>SUM(N96)</f>
        <v>16</v>
      </c>
      <c r="O97" s="252">
        <f>SUM(O96)</f>
        <v>16</v>
      </c>
      <c r="P97" s="107"/>
      <c r="Q97" s="2312"/>
      <c r="R97" s="494"/>
      <c r="S97" s="318"/>
      <c r="T97" s="156"/>
      <c r="U97" s="156"/>
    </row>
    <row r="98" spans="1:23" ht="13.5" thickBot="1" x14ac:dyDescent="0.25">
      <c r="A98" s="561" t="s">
        <v>14</v>
      </c>
      <c r="B98" s="2" t="s">
        <v>14</v>
      </c>
      <c r="C98" s="2282" t="s">
        <v>20</v>
      </c>
      <c r="D98" s="2282"/>
      <c r="E98" s="2282"/>
      <c r="F98" s="2282"/>
      <c r="G98" s="2322"/>
      <c r="H98" s="109">
        <f>H93+H90+H88+H86+H74+H95+H97</f>
        <v>73331.5</v>
      </c>
      <c r="I98" s="254">
        <f>I93+I90+I88+I86+I74+I95+I97</f>
        <v>74382.100000000006</v>
      </c>
      <c r="J98" s="655">
        <f>J93+J90+J88+J86+J74+J95+J97</f>
        <v>1050.6000000000024</v>
      </c>
      <c r="K98" s="109">
        <f t="shared" ref="K98" si="14">K93+K90+K88+K86+K74+K95+K97</f>
        <v>71435.399999999994</v>
      </c>
      <c r="L98" s="254">
        <f>L93+L90+L88+L86+L74+L95+L97</f>
        <v>71435.399999999994</v>
      </c>
      <c r="M98" s="310">
        <f t="shared" ref="M98" si="15">M93+M90+M88+M86+M74+M95+M97</f>
        <v>0</v>
      </c>
      <c r="N98" s="320">
        <f t="shared" ref="N98:P98" si="16">N93+N90+N88+N86+N74+N95+N97</f>
        <v>71364.899999999994</v>
      </c>
      <c r="O98" s="254">
        <f t="shared" si="16"/>
        <v>71364.899999999994</v>
      </c>
      <c r="P98" s="254">
        <f t="shared" si="16"/>
        <v>0</v>
      </c>
      <c r="Q98" s="757"/>
      <c r="R98" s="2284"/>
      <c r="S98" s="2284"/>
      <c r="T98" s="2284"/>
      <c r="U98" s="2285"/>
    </row>
    <row r="99" spans="1:23" ht="15.75" customHeight="1" thickBot="1" x14ac:dyDescent="0.25">
      <c r="A99" s="561" t="s">
        <v>14</v>
      </c>
      <c r="B99" s="2371" t="s">
        <v>6</v>
      </c>
      <c r="C99" s="2262"/>
      <c r="D99" s="2262"/>
      <c r="E99" s="2262"/>
      <c r="F99" s="2262"/>
      <c r="G99" s="2262"/>
      <c r="H99" s="562">
        <f t="shared" ref="H99:K99" si="17">H98</f>
        <v>73331.5</v>
      </c>
      <c r="I99" s="599">
        <f t="shared" ref="I99:J99" si="18">I98</f>
        <v>74382.100000000006</v>
      </c>
      <c r="J99" s="656">
        <f t="shared" si="18"/>
        <v>1050.6000000000024</v>
      </c>
      <c r="K99" s="562">
        <f t="shared" si="17"/>
        <v>71435.399999999994</v>
      </c>
      <c r="L99" s="599">
        <f t="shared" ref="L99:M99" si="19">L98</f>
        <v>71435.399999999994</v>
      </c>
      <c r="M99" s="664">
        <f t="shared" si="19"/>
        <v>0</v>
      </c>
      <c r="N99" s="660">
        <f t="shared" ref="N99:P99" si="20">N98</f>
        <v>71364.899999999994</v>
      </c>
      <c r="O99" s="599">
        <f t="shared" si="20"/>
        <v>71364.899999999994</v>
      </c>
      <c r="P99" s="599">
        <f t="shared" si="20"/>
        <v>0</v>
      </c>
      <c r="Q99" s="2263"/>
      <c r="R99" s="2264"/>
      <c r="S99" s="2264"/>
      <c r="T99" s="2264"/>
      <c r="U99" s="2265"/>
    </row>
    <row r="100" spans="1:23" ht="15.75" customHeight="1" thickBot="1" x14ac:dyDescent="0.25">
      <c r="A100" s="764" t="s">
        <v>17</v>
      </c>
      <c r="B100" s="2372" t="s">
        <v>37</v>
      </c>
      <c r="C100" s="2373"/>
      <c r="D100" s="2373"/>
      <c r="E100" s="2373"/>
      <c r="F100" s="2373"/>
      <c r="G100" s="2373"/>
      <c r="H100" s="2373"/>
      <c r="I100" s="2373"/>
      <c r="J100" s="2373"/>
      <c r="K100" s="2373"/>
      <c r="L100" s="2373"/>
      <c r="M100" s="2373"/>
      <c r="N100" s="2373"/>
      <c r="O100" s="2373"/>
      <c r="P100" s="2373"/>
      <c r="Q100" s="2373"/>
      <c r="R100" s="2373"/>
      <c r="S100" s="2373"/>
      <c r="T100" s="2373"/>
      <c r="U100" s="2374"/>
    </row>
    <row r="101" spans="1:23" ht="15.75" customHeight="1" thickBot="1" x14ac:dyDescent="0.25">
      <c r="A101" s="574" t="s">
        <v>17</v>
      </c>
      <c r="B101" s="4" t="s">
        <v>14</v>
      </c>
      <c r="C101" s="2375" t="s">
        <v>33</v>
      </c>
      <c r="D101" s="2323"/>
      <c r="E101" s="2323"/>
      <c r="F101" s="2323"/>
      <c r="G101" s="2323"/>
      <c r="H101" s="2323"/>
      <c r="I101" s="2323"/>
      <c r="J101" s="2323"/>
      <c r="K101" s="2323"/>
      <c r="L101" s="2323"/>
      <c r="M101" s="2323"/>
      <c r="N101" s="2323"/>
      <c r="O101" s="2323"/>
      <c r="P101" s="2323"/>
      <c r="Q101" s="2323"/>
      <c r="R101" s="2323"/>
      <c r="S101" s="2323"/>
      <c r="T101" s="2323"/>
      <c r="U101" s="2324"/>
    </row>
    <row r="102" spans="1:23" ht="15" customHeight="1" x14ac:dyDescent="0.2">
      <c r="A102" s="572" t="s">
        <v>17</v>
      </c>
      <c r="B102" s="793" t="s">
        <v>14</v>
      </c>
      <c r="C102" s="643" t="s">
        <v>14</v>
      </c>
      <c r="D102" s="2346" t="s">
        <v>189</v>
      </c>
      <c r="E102" s="282" t="s">
        <v>2</v>
      </c>
      <c r="F102" s="774">
        <v>5</v>
      </c>
      <c r="G102" s="710" t="s">
        <v>15</v>
      </c>
      <c r="H102" s="1037">
        <f>948.2+18.8</f>
        <v>967</v>
      </c>
      <c r="I102" s="900">
        <f>948.2+18.8-619</f>
        <v>348</v>
      </c>
      <c r="J102" s="901">
        <f>+I102-H102</f>
        <v>-619</v>
      </c>
      <c r="K102" s="350">
        <f>5474.7+595.5-2900</f>
        <v>3170.2</v>
      </c>
      <c r="L102" s="350">
        <f>5474.7+595.5-2900</f>
        <v>3170.2</v>
      </c>
      <c r="M102" s="341"/>
      <c r="N102" s="250">
        <v>3668.3</v>
      </c>
      <c r="O102" s="900">
        <f>3668.3+619</f>
        <v>4287.3</v>
      </c>
      <c r="P102" s="901">
        <f>+O102-N102</f>
        <v>619</v>
      </c>
      <c r="Q102" s="214"/>
      <c r="R102" s="742"/>
      <c r="S102" s="409"/>
      <c r="T102" s="410"/>
      <c r="U102" s="2348"/>
      <c r="V102" s="110"/>
      <c r="W102" s="110"/>
    </row>
    <row r="103" spans="1:23" ht="15" customHeight="1" x14ac:dyDescent="0.2">
      <c r="A103" s="570"/>
      <c r="B103" s="756"/>
      <c r="C103" s="746"/>
      <c r="D103" s="2347"/>
      <c r="E103" s="282"/>
      <c r="F103" s="774"/>
      <c r="G103" s="472" t="s">
        <v>113</v>
      </c>
      <c r="H103" s="1038">
        <v>425.5</v>
      </c>
      <c r="I103" s="877">
        <f>425.5-418.7</f>
        <v>6.8000000000000114</v>
      </c>
      <c r="J103" s="1034">
        <f>+I103-H103</f>
        <v>-418.7</v>
      </c>
      <c r="K103" s="676">
        <v>524.9</v>
      </c>
      <c r="L103" s="877">
        <f>524.9+418.7</f>
        <v>943.59999999999991</v>
      </c>
      <c r="M103" s="1036">
        <f>+L103-K103</f>
        <v>418.69999999999993</v>
      </c>
      <c r="N103" s="676">
        <v>77.400000000000006</v>
      </c>
      <c r="O103" s="676">
        <v>77.400000000000006</v>
      </c>
      <c r="P103" s="286"/>
      <c r="Q103" s="21"/>
      <c r="R103" s="504"/>
      <c r="S103" s="590"/>
      <c r="T103" s="592"/>
      <c r="U103" s="2277"/>
      <c r="V103" s="110"/>
      <c r="W103" s="110"/>
    </row>
    <row r="104" spans="1:23" ht="15" customHeight="1" x14ac:dyDescent="0.2">
      <c r="A104" s="570"/>
      <c r="B104" s="756"/>
      <c r="C104" s="746"/>
      <c r="D104" s="2347"/>
      <c r="E104" s="281"/>
      <c r="F104" s="282"/>
      <c r="G104" s="472" t="s">
        <v>110</v>
      </c>
      <c r="H104" s="1039">
        <f>193.4-18.8</f>
        <v>174.6</v>
      </c>
      <c r="I104" s="904">
        <f>193.4-18.8-28.6-43.5</f>
        <v>102.5</v>
      </c>
      <c r="J104" s="905">
        <f>+I104-H104</f>
        <v>-72.099999999999994</v>
      </c>
      <c r="K104" s="258">
        <f>SUMIF(G110:G131,"sb(l)'",K110:K131)</f>
        <v>0</v>
      </c>
      <c r="L104" s="258">
        <f>SUMIF(H110:H131,"sb(l)'",L110:L131)</f>
        <v>0</v>
      </c>
      <c r="M104" s="96"/>
      <c r="N104" s="258">
        <f>SUMIF(D110:D131,"sb(l)'",N110:N131)</f>
        <v>0</v>
      </c>
      <c r="O104" s="904">
        <v>43.5</v>
      </c>
      <c r="P104" s="905">
        <f>+O104-N104</f>
        <v>43.5</v>
      </c>
      <c r="Q104" s="21"/>
      <c r="R104" s="504"/>
      <c r="S104" s="590"/>
      <c r="T104" s="592"/>
      <c r="U104" s="2277"/>
      <c r="V104" s="110"/>
    </row>
    <row r="105" spans="1:23" ht="15" customHeight="1" x14ac:dyDescent="0.2">
      <c r="A105" s="570"/>
      <c r="B105" s="756"/>
      <c r="C105" s="789"/>
      <c r="D105" s="776"/>
      <c r="E105" s="281"/>
      <c r="F105" s="282"/>
      <c r="G105" s="472" t="s">
        <v>4</v>
      </c>
      <c r="H105" s="1040">
        <v>297.5</v>
      </c>
      <c r="I105" s="248">
        <v>297.5</v>
      </c>
      <c r="J105" s="905"/>
      <c r="K105" s="248">
        <v>0</v>
      </c>
      <c r="L105" s="248">
        <v>0</v>
      </c>
      <c r="M105" s="95"/>
      <c r="N105" s="248">
        <v>403.9</v>
      </c>
      <c r="O105" s="248">
        <v>403.9</v>
      </c>
      <c r="P105" s="95"/>
      <c r="Q105" s="21"/>
      <c r="R105" s="504"/>
      <c r="S105" s="590"/>
      <c r="T105" s="592"/>
      <c r="U105" s="2277"/>
      <c r="V105" s="110"/>
    </row>
    <row r="106" spans="1:23" ht="15" customHeight="1" x14ac:dyDescent="0.2">
      <c r="A106" s="570"/>
      <c r="B106" s="756"/>
      <c r="C106" s="789"/>
      <c r="D106" s="776"/>
      <c r="E106" s="281"/>
      <c r="F106" s="282"/>
      <c r="G106" s="472" t="s">
        <v>18</v>
      </c>
      <c r="H106" s="1039">
        <v>165.6</v>
      </c>
      <c r="I106" s="904">
        <f>165.6-36.9</f>
        <v>128.69999999999999</v>
      </c>
      <c r="J106" s="905">
        <f t="shared" ref="J106" si="21">+I106-H106</f>
        <v>-36.900000000000006</v>
      </c>
      <c r="K106" s="258">
        <f>263.9-217.5</f>
        <v>46.399999999999977</v>
      </c>
      <c r="L106" s="904">
        <f>263.9-217.5+36.9</f>
        <v>83.299999999999983</v>
      </c>
      <c r="M106" s="1035">
        <f>+L106-K106</f>
        <v>36.900000000000006</v>
      </c>
      <c r="N106" s="258">
        <f>1515.2-1290.9</f>
        <v>224.29999999999995</v>
      </c>
      <c r="O106" s="258">
        <f>1515.2-1290.9</f>
        <v>224.29999999999995</v>
      </c>
      <c r="P106" s="96"/>
      <c r="Q106" s="21"/>
      <c r="R106" s="504"/>
      <c r="S106" s="590"/>
      <c r="T106" s="592"/>
      <c r="U106" s="2277"/>
      <c r="V106" s="110"/>
    </row>
    <row r="107" spans="1:23" ht="15" customHeight="1" x14ac:dyDescent="0.2">
      <c r="A107" s="570"/>
      <c r="B107" s="756"/>
      <c r="C107" s="789"/>
      <c r="D107" s="776"/>
      <c r="E107" s="281"/>
      <c r="F107" s="282"/>
      <c r="G107" s="283" t="s">
        <v>268</v>
      </c>
      <c r="H107" s="1041"/>
      <c r="I107" s="251"/>
      <c r="J107" s="98"/>
      <c r="K107" s="258">
        <v>2900</v>
      </c>
      <c r="L107" s="258">
        <v>2900</v>
      </c>
      <c r="M107" s="96"/>
      <c r="N107" s="251">
        <v>2900</v>
      </c>
      <c r="O107" s="251">
        <v>2900</v>
      </c>
      <c r="P107" s="98"/>
      <c r="Q107" s="21"/>
      <c r="R107" s="504"/>
      <c r="S107" s="590"/>
      <c r="T107" s="592"/>
      <c r="U107" s="2277"/>
      <c r="V107" s="110"/>
    </row>
    <row r="108" spans="1:23" ht="15" customHeight="1" x14ac:dyDescent="0.2">
      <c r="A108" s="570"/>
      <c r="B108" s="756"/>
      <c r="C108" s="789"/>
      <c r="D108" s="776"/>
      <c r="E108" s="281"/>
      <c r="F108" s="282"/>
      <c r="G108" s="283" t="s">
        <v>3</v>
      </c>
      <c r="H108" s="1041">
        <v>81.099999999999994</v>
      </c>
      <c r="I108" s="251">
        <v>81.099999999999994</v>
      </c>
      <c r="J108" s="859"/>
      <c r="K108" s="248">
        <v>446</v>
      </c>
      <c r="L108" s="248">
        <v>446</v>
      </c>
      <c r="M108" s="95"/>
      <c r="N108" s="251">
        <f>35.7+829.3</f>
        <v>865</v>
      </c>
      <c r="O108" s="251">
        <f>35.7+829.3</f>
        <v>865</v>
      </c>
      <c r="P108" s="98"/>
      <c r="Q108" s="21"/>
      <c r="R108" s="504"/>
      <c r="S108" s="590"/>
      <c r="T108" s="592"/>
      <c r="U108" s="2277"/>
      <c r="V108" s="110"/>
    </row>
    <row r="109" spans="1:23" ht="53.25" customHeight="1" x14ac:dyDescent="0.2">
      <c r="A109" s="570"/>
      <c r="B109" s="756"/>
      <c r="C109" s="789"/>
      <c r="D109" s="779" t="s">
        <v>191</v>
      </c>
      <c r="E109" s="281"/>
      <c r="F109" s="282"/>
      <c r="G109" s="693"/>
      <c r="H109" s="1042"/>
      <c r="I109" s="334"/>
      <c r="J109" s="695"/>
      <c r="K109" s="694"/>
      <c r="L109" s="694"/>
      <c r="M109" s="695"/>
      <c r="N109" s="694"/>
      <c r="O109" s="694"/>
      <c r="P109" s="695"/>
      <c r="Q109" s="767" t="s">
        <v>56</v>
      </c>
      <c r="R109" s="501"/>
      <c r="S109" s="164">
        <v>1</v>
      </c>
      <c r="T109" s="79"/>
      <c r="U109" s="752"/>
    </row>
    <row r="110" spans="1:23" ht="93" customHeight="1" x14ac:dyDescent="0.2">
      <c r="A110" s="570"/>
      <c r="B110" s="756"/>
      <c r="C110" s="789"/>
      <c r="D110" s="2336" t="s">
        <v>313</v>
      </c>
      <c r="E110" s="281"/>
      <c r="F110" s="282"/>
      <c r="G110" s="1046" t="s">
        <v>380</v>
      </c>
      <c r="H110" s="1047">
        <v>425.5</v>
      </c>
      <c r="I110" s="1048">
        <v>6.8</v>
      </c>
      <c r="J110" s="1049">
        <f>+I110-H110</f>
        <v>-418.7</v>
      </c>
      <c r="K110" s="694"/>
      <c r="L110" s="694"/>
      <c r="M110" s="695"/>
      <c r="N110" s="694"/>
      <c r="O110" s="694"/>
      <c r="P110" s="695"/>
      <c r="Q110" s="176" t="s">
        <v>115</v>
      </c>
      <c r="R110" s="891" t="s">
        <v>315</v>
      </c>
      <c r="S110" s="1056" t="s">
        <v>316</v>
      </c>
      <c r="T110" s="1057">
        <v>2</v>
      </c>
      <c r="U110" s="2299" t="s">
        <v>319</v>
      </c>
    </row>
    <row r="111" spans="1:23" ht="74.25" customHeight="1" x14ac:dyDescent="0.2">
      <c r="A111" s="570"/>
      <c r="B111" s="756"/>
      <c r="C111" s="789"/>
      <c r="D111" s="2356"/>
      <c r="E111" s="773"/>
      <c r="F111" s="774"/>
      <c r="G111" s="1046" t="s">
        <v>314</v>
      </c>
      <c r="H111" s="1047">
        <v>37.6</v>
      </c>
      <c r="I111" s="1033">
        <v>0.7</v>
      </c>
      <c r="J111" s="1049">
        <f>+I111-H111</f>
        <v>-36.9</v>
      </c>
      <c r="K111" s="640"/>
      <c r="L111" s="640"/>
      <c r="M111" s="697"/>
      <c r="N111" s="677"/>
      <c r="O111" s="677"/>
      <c r="P111" s="697"/>
      <c r="Q111" s="767" t="s">
        <v>192</v>
      </c>
      <c r="R111" s="1058" t="s">
        <v>315</v>
      </c>
      <c r="S111" s="1059" t="s">
        <v>317</v>
      </c>
      <c r="T111" s="1060">
        <v>2</v>
      </c>
      <c r="U111" s="2315"/>
    </row>
    <row r="112" spans="1:23" ht="54.75" customHeight="1" x14ac:dyDescent="0.2">
      <c r="A112" s="570"/>
      <c r="B112" s="756"/>
      <c r="C112" s="789"/>
      <c r="D112" s="2417"/>
      <c r="E112" s="773"/>
      <c r="F112" s="774"/>
      <c r="G112" s="713"/>
      <c r="H112" s="698"/>
      <c r="I112" s="681"/>
      <c r="J112" s="684"/>
      <c r="K112" s="411"/>
      <c r="L112" s="411"/>
      <c r="M112" s="684"/>
      <c r="N112" s="814"/>
      <c r="O112" s="814"/>
      <c r="P112" s="684"/>
      <c r="Q112" s="768"/>
      <c r="R112" s="217"/>
      <c r="S112" s="129"/>
      <c r="T112" s="118"/>
      <c r="U112" s="2316"/>
    </row>
    <row r="113" spans="1:23" ht="29.25" customHeight="1" x14ac:dyDescent="0.2">
      <c r="A113" s="570"/>
      <c r="B113" s="756"/>
      <c r="C113" s="789"/>
      <c r="D113" s="2297" t="s">
        <v>274</v>
      </c>
      <c r="E113" s="413"/>
      <c r="F113" s="747"/>
      <c r="G113" s="712"/>
      <c r="H113" s="702"/>
      <c r="I113" s="334"/>
      <c r="J113" s="697"/>
      <c r="K113" s="334"/>
      <c r="L113" s="334"/>
      <c r="M113" s="697"/>
      <c r="N113" s="334"/>
      <c r="O113" s="334"/>
      <c r="P113" s="697"/>
      <c r="Q113" s="128" t="s">
        <v>193</v>
      </c>
      <c r="R113" s="519"/>
      <c r="S113" s="138">
        <v>1</v>
      </c>
      <c r="T113" s="41"/>
      <c r="U113" s="2299"/>
    </row>
    <row r="114" spans="1:23" ht="29.25" customHeight="1" x14ac:dyDescent="0.2">
      <c r="A114" s="570"/>
      <c r="B114" s="756"/>
      <c r="C114" s="789"/>
      <c r="D114" s="2354"/>
      <c r="E114" s="413"/>
      <c r="F114" s="747"/>
      <c r="G114" s="713"/>
      <c r="H114" s="1043"/>
      <c r="I114" s="703"/>
      <c r="J114" s="704"/>
      <c r="K114" s="703"/>
      <c r="L114" s="703"/>
      <c r="M114" s="704"/>
      <c r="N114" s="703"/>
      <c r="O114" s="703"/>
      <c r="P114" s="704"/>
      <c r="Q114" s="767" t="s">
        <v>83</v>
      </c>
      <c r="R114" s="71"/>
      <c r="S114" s="17">
        <v>30</v>
      </c>
      <c r="T114" s="239">
        <v>100</v>
      </c>
      <c r="U114" s="2315"/>
    </row>
    <row r="115" spans="1:23" ht="30" customHeight="1" x14ac:dyDescent="0.2">
      <c r="A115" s="570"/>
      <c r="B115" s="756"/>
      <c r="C115" s="789"/>
      <c r="D115" s="779" t="s">
        <v>190</v>
      </c>
      <c r="E115" s="773"/>
      <c r="F115" s="774"/>
      <c r="G115" s="685"/>
      <c r="H115" s="698"/>
      <c r="I115" s="681"/>
      <c r="J115" s="684"/>
      <c r="K115" s="681"/>
      <c r="L115" s="681"/>
      <c r="M115" s="684"/>
      <c r="N115" s="681"/>
      <c r="O115" s="681"/>
      <c r="P115" s="684"/>
      <c r="Q115" s="767"/>
      <c r="R115" s="503"/>
      <c r="S115" s="367"/>
      <c r="T115" s="368"/>
      <c r="U115" s="368"/>
    </row>
    <row r="116" spans="1:23" ht="35.25" customHeight="1" x14ac:dyDescent="0.2">
      <c r="A116" s="570"/>
      <c r="B116" s="756"/>
      <c r="C116" s="789"/>
      <c r="D116" s="2369" t="s">
        <v>173</v>
      </c>
      <c r="E116" s="773"/>
      <c r="F116" s="774"/>
      <c r="G116" s="686"/>
      <c r="H116" s="698"/>
      <c r="I116" s="681"/>
      <c r="J116" s="684"/>
      <c r="K116" s="681"/>
      <c r="L116" s="681"/>
      <c r="M116" s="684"/>
      <c r="N116" s="681"/>
      <c r="O116" s="681"/>
      <c r="P116" s="684"/>
      <c r="Q116" s="780" t="s">
        <v>83</v>
      </c>
      <c r="R116" s="504">
        <v>100</v>
      </c>
      <c r="S116" s="121"/>
      <c r="T116" s="82"/>
      <c r="U116" s="82"/>
    </row>
    <row r="117" spans="1:23" ht="35.25" customHeight="1" x14ac:dyDescent="0.2">
      <c r="A117" s="569"/>
      <c r="B117" s="756"/>
      <c r="C117" s="746"/>
      <c r="D117" s="2370"/>
      <c r="E117" s="773"/>
      <c r="F117" s="774"/>
      <c r="G117" s="686"/>
      <c r="H117" s="698"/>
      <c r="I117" s="681"/>
      <c r="J117" s="684"/>
      <c r="K117" s="681"/>
      <c r="L117" s="681"/>
      <c r="M117" s="684"/>
      <c r="N117" s="681"/>
      <c r="O117" s="681"/>
      <c r="P117" s="684"/>
      <c r="Q117" s="176" t="s">
        <v>128</v>
      </c>
      <c r="R117" s="502">
        <v>100</v>
      </c>
      <c r="S117" s="819"/>
      <c r="T117" s="83"/>
      <c r="U117" s="83"/>
    </row>
    <row r="118" spans="1:23" ht="28.5" customHeight="1" x14ac:dyDescent="0.2">
      <c r="A118" s="569"/>
      <c r="B118" s="756"/>
      <c r="C118" s="789"/>
      <c r="D118" s="2297" t="s">
        <v>275</v>
      </c>
      <c r="E118" s="413"/>
      <c r="F118" s="747"/>
      <c r="G118" s="717"/>
      <c r="H118" s="702"/>
      <c r="I118" s="334"/>
      <c r="J118" s="697"/>
      <c r="K118" s="334"/>
      <c r="L118" s="334"/>
      <c r="M118" s="697"/>
      <c r="N118" s="334"/>
      <c r="O118" s="334"/>
      <c r="P118" s="697"/>
      <c r="Q118" s="452" t="s">
        <v>56</v>
      </c>
      <c r="R118" s="505"/>
      <c r="S118" s="590">
        <v>1</v>
      </c>
      <c r="T118" s="592"/>
      <c r="U118" s="2299"/>
    </row>
    <row r="119" spans="1:23" ht="27.75" customHeight="1" x14ac:dyDescent="0.2">
      <c r="A119" s="569"/>
      <c r="B119" s="756"/>
      <c r="C119" s="746"/>
      <c r="D119" s="2354"/>
      <c r="E119" s="413"/>
      <c r="F119" s="747"/>
      <c r="G119" s="686"/>
      <c r="H119" s="698"/>
      <c r="I119" s="681"/>
      <c r="J119" s="684"/>
      <c r="K119" s="681"/>
      <c r="L119" s="681"/>
      <c r="M119" s="684"/>
      <c r="N119" s="681"/>
      <c r="O119" s="681"/>
      <c r="P119" s="684"/>
      <c r="Q119" s="1031" t="s">
        <v>103</v>
      </c>
      <c r="R119" s="1032"/>
      <c r="S119" s="140">
        <v>10</v>
      </c>
      <c r="T119" s="41">
        <v>100</v>
      </c>
      <c r="U119" s="2315"/>
    </row>
    <row r="120" spans="1:23" ht="53.25" customHeight="1" x14ac:dyDescent="0.2">
      <c r="A120" s="569"/>
      <c r="B120" s="756"/>
      <c r="C120" s="789"/>
      <c r="D120" s="906" t="s">
        <v>290</v>
      </c>
      <c r="E120" s="827"/>
      <c r="F120" s="828"/>
      <c r="G120" s="717" t="s">
        <v>94</v>
      </c>
      <c r="H120" s="702">
        <v>619</v>
      </c>
      <c r="I120" s="903">
        <v>0</v>
      </c>
      <c r="J120" s="896">
        <f>+I120-H120</f>
        <v>-619</v>
      </c>
      <c r="K120" s="708">
        <v>5790.3</v>
      </c>
      <c r="L120" s="708">
        <v>5790.3</v>
      </c>
      <c r="M120" s="697"/>
      <c r="N120" s="707">
        <v>4585.1000000000004</v>
      </c>
      <c r="O120" s="907">
        <f>4585.1+619</f>
        <v>5204.1000000000004</v>
      </c>
      <c r="P120" s="896">
        <f>+O120-N120</f>
        <v>619</v>
      </c>
      <c r="Q120" s="829" t="s">
        <v>161</v>
      </c>
      <c r="R120" s="830">
        <v>1</v>
      </c>
      <c r="S120" s="590"/>
      <c r="T120" s="592"/>
      <c r="U120" s="2299" t="s">
        <v>309</v>
      </c>
      <c r="V120" s="1017"/>
      <c r="W120" s="1017"/>
    </row>
    <row r="121" spans="1:23" ht="53.25" customHeight="1" x14ac:dyDescent="0.2">
      <c r="A121" s="569"/>
      <c r="B121" s="756"/>
      <c r="C121" s="789"/>
      <c r="D121" s="633"/>
      <c r="E121" s="822"/>
      <c r="F121" s="823"/>
      <c r="G121" s="714" t="s">
        <v>117</v>
      </c>
      <c r="H121" s="708">
        <v>81</v>
      </c>
      <c r="I121" s="907">
        <v>37.5</v>
      </c>
      <c r="J121" s="910">
        <f>+I121-H121</f>
        <v>-43.5</v>
      </c>
      <c r="K121" s="702"/>
      <c r="L121" s="702"/>
      <c r="M121" s="697"/>
      <c r="N121" s="334"/>
      <c r="O121" s="903">
        <v>43.5</v>
      </c>
      <c r="P121" s="896">
        <f>+O121-N121</f>
        <v>43.5</v>
      </c>
      <c r="Q121" s="496" t="s">
        <v>63</v>
      </c>
      <c r="R121" s="908" t="s">
        <v>291</v>
      </c>
      <c r="S121" s="909" t="s">
        <v>292</v>
      </c>
      <c r="T121" s="41">
        <v>100</v>
      </c>
      <c r="U121" s="2315"/>
    </row>
    <row r="122" spans="1:23" ht="40.5" customHeight="1" x14ac:dyDescent="0.2">
      <c r="A122" s="569"/>
      <c r="B122" s="756"/>
      <c r="C122" s="789"/>
      <c r="D122" s="2354" t="s">
        <v>276</v>
      </c>
      <c r="E122" s="413"/>
      <c r="F122" s="747"/>
      <c r="G122" s="686"/>
      <c r="H122" s="698"/>
      <c r="I122" s="681"/>
      <c r="J122" s="684"/>
      <c r="K122" s="334"/>
      <c r="L122" s="334"/>
      <c r="M122" s="697"/>
      <c r="N122" s="334"/>
      <c r="O122" s="334"/>
      <c r="P122" s="697"/>
      <c r="Q122" s="496" t="s">
        <v>265</v>
      </c>
      <c r="R122" s="670">
        <v>1</v>
      </c>
      <c r="S122" s="140"/>
      <c r="T122" s="41"/>
      <c r="U122" s="2299"/>
    </row>
    <row r="123" spans="1:23" ht="40.5" customHeight="1" x14ac:dyDescent="0.2">
      <c r="A123" s="569"/>
      <c r="B123" s="756"/>
      <c r="C123" s="9"/>
      <c r="D123" s="2354"/>
      <c r="E123" s="2341"/>
      <c r="F123" s="2342"/>
      <c r="G123" s="687"/>
      <c r="H123" s="698"/>
      <c r="I123" s="681"/>
      <c r="J123" s="684"/>
      <c r="K123" s="681"/>
      <c r="L123" s="681"/>
      <c r="M123" s="684"/>
      <c r="N123" s="681"/>
      <c r="O123" s="681"/>
      <c r="P123" s="684"/>
      <c r="Q123" s="473" t="s">
        <v>56</v>
      </c>
      <c r="R123" s="276"/>
      <c r="S123" s="137">
        <v>1</v>
      </c>
      <c r="T123" s="130"/>
      <c r="U123" s="2315"/>
    </row>
    <row r="124" spans="1:23" ht="38.25" customHeight="1" x14ac:dyDescent="0.2">
      <c r="A124" s="569"/>
      <c r="B124" s="756"/>
      <c r="C124" s="448"/>
      <c r="D124" s="2355"/>
      <c r="E124" s="2341"/>
      <c r="F124" s="2342"/>
      <c r="G124" s="315"/>
      <c r="H124" s="1043"/>
      <c r="I124" s="703"/>
      <c r="J124" s="704"/>
      <c r="K124" s="703"/>
      <c r="L124" s="703"/>
      <c r="M124" s="704"/>
      <c r="N124" s="703"/>
      <c r="O124" s="703"/>
      <c r="P124" s="704"/>
      <c r="Q124" s="449" t="s">
        <v>129</v>
      </c>
      <c r="R124" s="482"/>
      <c r="S124" s="172"/>
      <c r="T124" s="59">
        <v>80</v>
      </c>
      <c r="U124" s="2316"/>
    </row>
    <row r="125" spans="1:23" ht="20.25" customHeight="1" x14ac:dyDescent="0.2">
      <c r="A125" s="570"/>
      <c r="B125" s="756"/>
      <c r="C125" s="69"/>
      <c r="D125" s="2336" t="s">
        <v>289</v>
      </c>
      <c r="E125" s="119"/>
      <c r="F125" s="800"/>
      <c r="G125" s="687" t="s">
        <v>117</v>
      </c>
      <c r="H125" s="698">
        <v>93.6</v>
      </c>
      <c r="I125" s="889">
        <f>93.6-28.6</f>
        <v>65</v>
      </c>
      <c r="J125" s="886">
        <f>+I125-H125</f>
        <v>-28.599999999999994</v>
      </c>
      <c r="K125" s="681"/>
      <c r="L125" s="681"/>
      <c r="M125" s="684"/>
      <c r="N125" s="681"/>
      <c r="O125" s="681"/>
      <c r="P125" s="684"/>
      <c r="Q125" s="449" t="s">
        <v>75</v>
      </c>
      <c r="R125" s="25">
        <v>1</v>
      </c>
      <c r="S125" s="157"/>
      <c r="T125" s="57"/>
      <c r="U125" s="2357" t="s">
        <v>320</v>
      </c>
    </row>
    <row r="126" spans="1:23" ht="61.5" customHeight="1" x14ac:dyDescent="0.2">
      <c r="A126" s="570"/>
      <c r="B126" s="756"/>
      <c r="C126" s="69"/>
      <c r="D126" s="2356"/>
      <c r="E126" s="119"/>
      <c r="F126" s="800"/>
      <c r="G126" s="687"/>
      <c r="H126" s="698"/>
      <c r="I126" s="681"/>
      <c r="J126" s="684"/>
      <c r="K126" s="681"/>
      <c r="L126" s="681"/>
      <c r="M126" s="684"/>
      <c r="N126" s="688"/>
      <c r="O126" s="688"/>
      <c r="P126" s="689"/>
      <c r="Q126" s="441"/>
      <c r="R126" s="424"/>
      <c r="S126" s="209"/>
      <c r="T126" s="210"/>
      <c r="U126" s="2358"/>
    </row>
    <row r="127" spans="1:23" s="80" customFormat="1" ht="30.75" customHeight="1" x14ac:dyDescent="0.2">
      <c r="A127" s="570"/>
      <c r="B127" s="756"/>
      <c r="C127" s="445"/>
      <c r="D127" s="2359" t="s">
        <v>243</v>
      </c>
      <c r="E127" s="340"/>
      <c r="F127" s="295"/>
      <c r="G127" s="686"/>
      <c r="H127" s="1044"/>
      <c r="I127" s="690"/>
      <c r="J127" s="699"/>
      <c r="K127" s="691"/>
      <c r="L127" s="691"/>
      <c r="M127" s="692"/>
      <c r="N127" s="691"/>
      <c r="O127" s="691"/>
      <c r="P127" s="692"/>
      <c r="Q127" s="817" t="s">
        <v>62</v>
      </c>
      <c r="R127" s="544">
        <v>1</v>
      </c>
      <c r="S127" s="804"/>
      <c r="T127" s="806"/>
      <c r="U127" s="806"/>
      <c r="V127" s="298"/>
    </row>
    <row r="128" spans="1:23" s="80" customFormat="1" ht="17.25" customHeight="1" thickBot="1" x14ac:dyDescent="0.25">
      <c r="A128" s="570"/>
      <c r="B128" s="756"/>
      <c r="C128" s="445"/>
      <c r="D128" s="2360"/>
      <c r="E128" s="340"/>
      <c r="F128" s="295"/>
      <c r="G128" s="715"/>
      <c r="H128" s="1045"/>
      <c r="I128" s="700"/>
      <c r="J128" s="701"/>
      <c r="K128" s="691"/>
      <c r="L128" s="691"/>
      <c r="M128" s="692"/>
      <c r="N128" s="691"/>
      <c r="O128" s="691"/>
      <c r="P128" s="692"/>
      <c r="Q128" s="797" t="s">
        <v>129</v>
      </c>
      <c r="R128" s="509">
        <v>100</v>
      </c>
      <c r="S128" s="803"/>
      <c r="T128" s="805"/>
      <c r="U128" s="805"/>
      <c r="V128" s="298"/>
    </row>
    <row r="129" spans="1:24" ht="36.75" customHeight="1" x14ac:dyDescent="0.2">
      <c r="A129" s="569"/>
      <c r="B129" s="756"/>
      <c r="C129" s="9"/>
      <c r="D129" s="2361" t="s">
        <v>238</v>
      </c>
      <c r="E129" s="423" t="s">
        <v>2</v>
      </c>
      <c r="F129" s="231">
        <v>6</v>
      </c>
      <c r="G129" s="317" t="s">
        <v>15</v>
      </c>
      <c r="H129" s="350">
        <f>2193.5</f>
        <v>2193.5</v>
      </c>
      <c r="I129" s="667">
        <f>2193.5-50</f>
        <v>2143.5</v>
      </c>
      <c r="J129" s="913">
        <f>+I129-H129</f>
        <v>-50</v>
      </c>
      <c r="K129" s="309">
        <v>2530.4</v>
      </c>
      <c r="L129" s="350">
        <v>2530.4</v>
      </c>
      <c r="M129" s="341"/>
      <c r="N129" s="832">
        <v>1972.9</v>
      </c>
      <c r="O129" s="350">
        <v>1972.9</v>
      </c>
      <c r="P129" s="341"/>
      <c r="Q129" s="499" t="s">
        <v>237</v>
      </c>
      <c r="R129" s="216">
        <v>7</v>
      </c>
      <c r="S129" s="531">
        <v>5</v>
      </c>
      <c r="T129" s="159">
        <v>5</v>
      </c>
      <c r="U129" s="159"/>
      <c r="V129" s="110"/>
      <c r="W129" s="110"/>
      <c r="X129" s="110"/>
    </row>
    <row r="130" spans="1:24" ht="44.25" customHeight="1" x14ac:dyDescent="0.2">
      <c r="A130" s="569"/>
      <c r="B130" s="756"/>
      <c r="C130" s="9"/>
      <c r="D130" s="2355"/>
      <c r="E130" s="119"/>
      <c r="F130" s="800"/>
      <c r="G130" s="862" t="s">
        <v>18</v>
      </c>
      <c r="H130" s="737">
        <v>50</v>
      </c>
      <c r="I130" s="737">
        <v>50</v>
      </c>
      <c r="J130" s="160"/>
      <c r="K130" s="736"/>
      <c r="L130" s="737"/>
      <c r="M130" s="132"/>
      <c r="N130" s="833"/>
      <c r="O130" s="737"/>
      <c r="P130" s="132"/>
      <c r="Q130" s="449" t="s">
        <v>216</v>
      </c>
      <c r="R130" s="25">
        <v>2</v>
      </c>
      <c r="S130" s="85">
        <v>2</v>
      </c>
      <c r="T130" s="60">
        <v>3</v>
      </c>
      <c r="U130" s="60"/>
      <c r="V130" s="110"/>
      <c r="W130" s="110"/>
      <c r="X130" s="110"/>
    </row>
    <row r="131" spans="1:24" ht="30.75" customHeight="1" x14ac:dyDescent="0.2">
      <c r="A131" s="570"/>
      <c r="B131" s="756"/>
      <c r="C131" s="62"/>
      <c r="D131" s="2362" t="s">
        <v>231</v>
      </c>
      <c r="E131" s="413"/>
      <c r="F131" s="747"/>
      <c r="G131" s="748"/>
      <c r="H131" s="814"/>
      <c r="I131" s="814"/>
      <c r="J131" s="94"/>
      <c r="K131" s="738"/>
      <c r="L131" s="814"/>
      <c r="M131" s="99"/>
      <c r="N131" s="411"/>
      <c r="O131" s="814"/>
      <c r="P131" s="99"/>
      <c r="Q131" s="415" t="s">
        <v>103</v>
      </c>
      <c r="R131" s="506" t="s">
        <v>84</v>
      </c>
      <c r="S131" s="416" t="s">
        <v>78</v>
      </c>
      <c r="T131" s="361"/>
      <c r="U131" s="610"/>
    </row>
    <row r="132" spans="1:24" ht="35.25" customHeight="1" x14ac:dyDescent="0.2">
      <c r="A132" s="570"/>
      <c r="B132" s="756"/>
      <c r="C132" s="62"/>
      <c r="D132" s="2347"/>
      <c r="E132" s="413"/>
      <c r="F132" s="747"/>
      <c r="G132" s="748"/>
      <c r="H132" s="814"/>
      <c r="I132" s="814"/>
      <c r="J132" s="94"/>
      <c r="K132" s="738"/>
      <c r="L132" s="814"/>
      <c r="M132" s="99"/>
      <c r="N132" s="411"/>
      <c r="O132" s="814"/>
      <c r="P132" s="99"/>
      <c r="Q132" s="278" t="s">
        <v>112</v>
      </c>
      <c r="R132" s="507" t="s">
        <v>78</v>
      </c>
      <c r="S132" s="417"/>
      <c r="T132" s="279"/>
      <c r="U132" s="611"/>
    </row>
    <row r="133" spans="1:24" ht="40.5" customHeight="1" x14ac:dyDescent="0.2">
      <c r="A133" s="570"/>
      <c r="B133" s="756"/>
      <c r="C133" s="62"/>
      <c r="D133" s="2297" t="s">
        <v>195</v>
      </c>
      <c r="E133" s="422"/>
      <c r="F133" s="295"/>
      <c r="G133" s="911" t="s">
        <v>94</v>
      </c>
      <c r="H133" s="889"/>
      <c r="I133" s="889"/>
      <c r="J133" s="912">
        <v>-50</v>
      </c>
      <c r="K133" s="434"/>
      <c r="L133" s="813"/>
      <c r="M133" s="97"/>
      <c r="N133" s="834"/>
      <c r="O133" s="813"/>
      <c r="P133" s="97"/>
      <c r="Q133" s="497" t="s">
        <v>119</v>
      </c>
      <c r="R133" s="508" t="s">
        <v>78</v>
      </c>
      <c r="S133" s="418"/>
      <c r="T133" s="419"/>
      <c r="U133" s="2363" t="s">
        <v>301</v>
      </c>
      <c r="V133" s="299"/>
    </row>
    <row r="134" spans="1:24" ht="51.75" customHeight="1" x14ac:dyDescent="0.2">
      <c r="A134" s="570"/>
      <c r="B134" s="756"/>
      <c r="C134" s="314"/>
      <c r="D134" s="2355"/>
      <c r="E134" s="422"/>
      <c r="F134" s="295"/>
      <c r="G134" s="639"/>
      <c r="H134" s="813"/>
      <c r="I134" s="813"/>
      <c r="J134" s="796"/>
      <c r="K134" s="434"/>
      <c r="L134" s="813"/>
      <c r="M134" s="97"/>
      <c r="N134" s="834"/>
      <c r="O134" s="813"/>
      <c r="P134" s="97"/>
      <c r="Q134" s="498"/>
      <c r="R134" s="557"/>
      <c r="S134" s="420"/>
      <c r="T134" s="421"/>
      <c r="U134" s="2364"/>
      <c r="V134" s="299"/>
    </row>
    <row r="135" spans="1:24" ht="31.5" customHeight="1" x14ac:dyDescent="0.2">
      <c r="A135" s="570"/>
      <c r="B135" s="756"/>
      <c r="C135" s="808"/>
      <c r="D135" s="2293" t="s">
        <v>196</v>
      </c>
      <c r="E135" s="340"/>
      <c r="F135" s="295"/>
      <c r="G135" s="639"/>
      <c r="H135" s="259"/>
      <c r="I135" s="259"/>
      <c r="J135" s="594"/>
      <c r="K135" s="665"/>
      <c r="L135" s="259"/>
      <c r="M135" s="543"/>
      <c r="N135" s="835"/>
      <c r="O135" s="259"/>
      <c r="P135" s="543"/>
      <c r="Q135" s="553" t="s">
        <v>161</v>
      </c>
      <c r="R135" s="554">
        <v>1</v>
      </c>
      <c r="S135" s="555"/>
      <c r="T135" s="556"/>
      <c r="U135" s="556"/>
      <c r="V135" s="52"/>
    </row>
    <row r="136" spans="1:24" ht="16.5" customHeight="1" x14ac:dyDescent="0.2">
      <c r="A136" s="570"/>
      <c r="B136" s="756"/>
      <c r="C136" s="808"/>
      <c r="D136" s="2293"/>
      <c r="E136" s="340"/>
      <c r="F136" s="295"/>
      <c r="G136" s="644"/>
      <c r="H136" s="468"/>
      <c r="I136" s="468"/>
      <c r="J136" s="600"/>
      <c r="K136" s="554"/>
      <c r="L136" s="378"/>
      <c r="M136" s="621"/>
      <c r="N136" s="836"/>
      <c r="O136" s="378"/>
      <c r="P136" s="621"/>
      <c r="Q136" s="2349" t="s">
        <v>162</v>
      </c>
      <c r="R136" s="509">
        <v>20</v>
      </c>
      <c r="S136" s="545">
        <v>60</v>
      </c>
      <c r="T136" s="546">
        <v>100</v>
      </c>
      <c r="U136" s="546"/>
      <c r="V136" s="52"/>
    </row>
    <row r="137" spans="1:24" ht="16.5" customHeight="1" thickBot="1" x14ac:dyDescent="0.25">
      <c r="A137" s="575"/>
      <c r="B137" s="794"/>
      <c r="C137" s="240"/>
      <c r="D137" s="542"/>
      <c r="E137" s="2351" t="s">
        <v>54</v>
      </c>
      <c r="F137" s="2352"/>
      <c r="G137" s="2353"/>
      <c r="H137" s="335">
        <f>+H129+H108+H106+H105+H104+H103+H102+H130</f>
        <v>4354.7999999999993</v>
      </c>
      <c r="I137" s="335">
        <f>+I129+I108+I106+I105+I104+I103+I102+I130</f>
        <v>3158.1</v>
      </c>
      <c r="J137" s="335">
        <f>+J129+J108+J106+J105+J104+J103+J102+J130</f>
        <v>-1196.7</v>
      </c>
      <c r="K137" s="345">
        <f>+K129+K108+K106+K105+K104+K103+K102+K130+K107</f>
        <v>9617.9</v>
      </c>
      <c r="L137" s="335">
        <f>+L129+L108+L106+L105+L104+L103+L102+L130+L107</f>
        <v>10073.5</v>
      </c>
      <c r="M137" s="841">
        <f>+M129+M108+M106+M105+M104+M103+M102+M130+M107</f>
        <v>455.59999999999991</v>
      </c>
      <c r="N137" s="837">
        <f>+N129+N108+N106+N105+N104+N103+N102+N130</f>
        <v>7211.8</v>
      </c>
      <c r="O137" s="335">
        <f>+O129+O108+O106+O105+O104+O103+O102+O130+O107</f>
        <v>10774.3</v>
      </c>
      <c r="P137" s="335">
        <f>+P129+P108+P106+P105+P104+P103+P102+P130</f>
        <v>662.5</v>
      </c>
      <c r="Q137" s="2350"/>
      <c r="R137" s="510"/>
      <c r="S137" s="360"/>
      <c r="T137" s="161"/>
      <c r="U137" s="161"/>
    </row>
    <row r="138" spans="1:24" ht="14.25" customHeight="1" x14ac:dyDescent="0.2">
      <c r="A138" s="572" t="s">
        <v>17</v>
      </c>
      <c r="B138" s="793" t="s">
        <v>14</v>
      </c>
      <c r="C138" s="649" t="s">
        <v>17</v>
      </c>
      <c r="D138" s="2292" t="s">
        <v>197</v>
      </c>
      <c r="E138" s="401" t="s">
        <v>2</v>
      </c>
      <c r="F138" s="56">
        <v>5</v>
      </c>
      <c r="G138" s="89" t="s">
        <v>15</v>
      </c>
      <c r="H138" s="300">
        <v>60.4</v>
      </c>
      <c r="I138" s="300">
        <v>60.4</v>
      </c>
      <c r="J138" s="126"/>
      <c r="K138" s="346">
        <v>588.29999999999995</v>
      </c>
      <c r="L138" s="300">
        <v>588.29999999999995</v>
      </c>
      <c r="M138" s="842"/>
      <c r="N138" s="863">
        <f>1085.8+171.1</f>
        <v>1256.8999999999999</v>
      </c>
      <c r="O138" s="300">
        <f>1085.8+171.1</f>
        <v>1256.8999999999999</v>
      </c>
      <c r="P138" s="842"/>
      <c r="Q138" s="459"/>
      <c r="R138" s="212"/>
      <c r="S138" s="146"/>
      <c r="T138" s="586"/>
      <c r="U138" s="586"/>
      <c r="V138" s="110"/>
      <c r="W138" s="110"/>
      <c r="X138" s="110"/>
    </row>
    <row r="139" spans="1:24" ht="14.25" customHeight="1" x14ac:dyDescent="0.2">
      <c r="A139" s="570"/>
      <c r="B139" s="756"/>
      <c r="C139" s="808"/>
      <c r="D139" s="2293"/>
      <c r="E139" s="433"/>
      <c r="F139" s="46"/>
      <c r="G139" s="795" t="s">
        <v>110</v>
      </c>
      <c r="H139" s="301">
        <f>32-5.7</f>
        <v>26.3</v>
      </c>
      <c r="I139" s="301">
        <f>32-5.7</f>
        <v>26.3</v>
      </c>
      <c r="J139" s="275"/>
      <c r="K139" s="347"/>
      <c r="L139" s="301"/>
      <c r="M139" s="274"/>
      <c r="N139" s="838"/>
      <c r="O139" s="301"/>
      <c r="P139" s="274"/>
      <c r="Q139" s="802"/>
      <c r="R139" s="213"/>
      <c r="S139" s="121"/>
      <c r="T139" s="82"/>
      <c r="U139" s="82"/>
    </row>
    <row r="140" spans="1:24" ht="14.25" customHeight="1" x14ac:dyDescent="0.2">
      <c r="A140" s="570"/>
      <c r="B140" s="756"/>
      <c r="C140" s="808"/>
      <c r="D140" s="2293"/>
      <c r="E140" s="433"/>
      <c r="F140" s="46"/>
      <c r="G140" s="289" t="s">
        <v>3</v>
      </c>
      <c r="H140" s="720"/>
      <c r="I140" s="720"/>
      <c r="J140" s="864"/>
      <c r="K140" s="721">
        <v>35.700000000000003</v>
      </c>
      <c r="L140" s="720">
        <v>35.700000000000003</v>
      </c>
      <c r="M140" s="722"/>
      <c r="N140" s="865">
        <v>35.700000000000003</v>
      </c>
      <c r="O140" s="720">
        <v>35.700000000000003</v>
      </c>
      <c r="P140" s="722"/>
      <c r="Q140" s="802"/>
      <c r="R140" s="213"/>
      <c r="S140" s="121"/>
      <c r="T140" s="82"/>
      <c r="U140" s="82"/>
    </row>
    <row r="141" spans="1:24" ht="14.25" customHeight="1" x14ac:dyDescent="0.2">
      <c r="A141" s="570"/>
      <c r="B141" s="756"/>
      <c r="C141" s="808"/>
      <c r="D141" s="2293"/>
      <c r="E141" s="433"/>
      <c r="F141" s="46"/>
      <c r="G141" s="673" t="s">
        <v>4</v>
      </c>
      <c r="H141" s="723"/>
      <c r="I141" s="723"/>
      <c r="J141" s="866"/>
      <c r="K141" s="674"/>
      <c r="L141" s="723"/>
      <c r="M141" s="867"/>
      <c r="N141" s="868">
        <v>403.9</v>
      </c>
      <c r="O141" s="723">
        <v>403.9</v>
      </c>
      <c r="P141" s="722"/>
      <c r="Q141" s="802"/>
      <c r="R141" s="213"/>
      <c r="S141" s="121"/>
      <c r="T141" s="82"/>
      <c r="U141" s="82"/>
    </row>
    <row r="142" spans="1:24" ht="14.25" customHeight="1" x14ac:dyDescent="0.2">
      <c r="A142" s="570"/>
      <c r="B142" s="756"/>
      <c r="C142" s="808"/>
      <c r="D142" s="2293"/>
      <c r="E142" s="433"/>
      <c r="F142" s="800"/>
      <c r="G142" s="597" t="s">
        <v>52</v>
      </c>
      <c r="H142" s="677">
        <v>125</v>
      </c>
      <c r="I142" s="677">
        <v>125</v>
      </c>
      <c r="J142" s="287"/>
      <c r="K142" s="552">
        <v>1300</v>
      </c>
      <c r="L142" s="677">
        <v>1300</v>
      </c>
      <c r="M142" s="115"/>
      <c r="N142" s="640">
        <v>1000</v>
      </c>
      <c r="O142" s="677">
        <v>1000</v>
      </c>
      <c r="P142" s="115"/>
      <c r="Q142" s="802"/>
      <c r="R142" s="213"/>
      <c r="S142" s="121"/>
      <c r="T142" s="82"/>
      <c r="U142" s="82"/>
    </row>
    <row r="143" spans="1:24" ht="45.75" customHeight="1" x14ac:dyDescent="0.2">
      <c r="A143" s="570"/>
      <c r="B143" s="756"/>
      <c r="C143" s="808"/>
      <c r="D143" s="2297" t="s">
        <v>244</v>
      </c>
      <c r="E143" s="340"/>
      <c r="F143" s="295"/>
      <c r="G143" s="712"/>
      <c r="H143" s="334"/>
      <c r="I143" s="334"/>
      <c r="J143" s="696"/>
      <c r="K143" s="437"/>
      <c r="L143" s="334"/>
      <c r="M143" s="697"/>
      <c r="N143" s="702"/>
      <c r="O143" s="334"/>
      <c r="P143" s="697"/>
      <c r="Q143" s="797" t="s">
        <v>56</v>
      </c>
      <c r="R143" s="801">
        <v>1</v>
      </c>
      <c r="S143" s="803"/>
      <c r="T143" s="805"/>
      <c r="U143" s="2344"/>
    </row>
    <row r="144" spans="1:24" ht="45.75" customHeight="1" x14ac:dyDescent="0.2">
      <c r="A144" s="570"/>
      <c r="B144" s="756"/>
      <c r="C144" s="808"/>
      <c r="D144" s="2354"/>
      <c r="E144" s="340"/>
      <c r="F144" s="295"/>
      <c r="G144" s="711"/>
      <c r="H144" s="706"/>
      <c r="I144" s="706"/>
      <c r="J144" s="709"/>
      <c r="K144" s="857"/>
      <c r="L144" s="706"/>
      <c r="M144" s="705"/>
      <c r="N144" s="708"/>
      <c r="O144" s="706"/>
      <c r="P144" s="705"/>
      <c r="Q144" s="798"/>
      <c r="R144" s="802"/>
      <c r="S144" s="804"/>
      <c r="T144" s="806"/>
      <c r="U144" s="2290"/>
    </row>
    <row r="145" spans="1:26" ht="57.75" customHeight="1" x14ac:dyDescent="0.2">
      <c r="A145" s="570"/>
      <c r="B145" s="756"/>
      <c r="C145" s="808"/>
      <c r="D145" s="2354"/>
      <c r="E145" s="340"/>
      <c r="F145" s="295"/>
      <c r="G145" s="679"/>
      <c r="H145" s="681"/>
      <c r="I145" s="681"/>
      <c r="J145" s="682"/>
      <c r="K145" s="683"/>
      <c r="L145" s="681"/>
      <c r="M145" s="684"/>
      <c r="N145" s="698"/>
      <c r="O145" s="681"/>
      <c r="P145" s="684"/>
      <c r="Q145" s="798"/>
      <c r="R145" s="802"/>
      <c r="S145" s="804"/>
      <c r="T145" s="806"/>
      <c r="U145" s="2290"/>
    </row>
    <row r="146" spans="1:26" ht="45.75" customHeight="1" x14ac:dyDescent="0.2">
      <c r="A146" s="570"/>
      <c r="B146" s="756"/>
      <c r="C146" s="808"/>
      <c r="D146" s="2355"/>
      <c r="E146" s="340"/>
      <c r="F146" s="295"/>
      <c r="G146" s="711"/>
      <c r="H146" s="719"/>
      <c r="I146" s="719"/>
      <c r="J146" s="831"/>
      <c r="K146" s="857"/>
      <c r="L146" s="706"/>
      <c r="M146" s="705"/>
      <c r="N146" s="708"/>
      <c r="O146" s="706"/>
      <c r="P146" s="705"/>
      <c r="Q146" s="811" t="s">
        <v>130</v>
      </c>
      <c r="R146" s="337"/>
      <c r="S146" s="120">
        <v>40</v>
      </c>
      <c r="T146" s="818">
        <v>100</v>
      </c>
      <c r="U146" s="2290"/>
    </row>
    <row r="147" spans="1:26" ht="26.25" customHeight="1" x14ac:dyDescent="0.2">
      <c r="A147" s="570"/>
      <c r="B147" s="756"/>
      <c r="C147" s="789"/>
      <c r="D147" s="528" t="s">
        <v>232</v>
      </c>
      <c r="E147" s="422"/>
      <c r="F147" s="295"/>
      <c r="G147" s="680"/>
      <c r="H147" s="334"/>
      <c r="I147" s="334"/>
      <c r="J147" s="696"/>
      <c r="K147" s="716"/>
      <c r="L147" s="334"/>
      <c r="M147" s="697"/>
      <c r="N147" s="696"/>
      <c r="O147" s="334"/>
      <c r="P147" s="697"/>
      <c r="Q147" s="473" t="s">
        <v>100</v>
      </c>
      <c r="R147" s="399">
        <v>5</v>
      </c>
      <c r="S147" s="228"/>
      <c r="T147" s="27"/>
      <c r="U147" s="2344"/>
      <c r="W147" s="24"/>
      <c r="X147" s="24"/>
      <c r="Y147" s="24"/>
    </row>
    <row r="148" spans="1:26" ht="26.25" customHeight="1" x14ac:dyDescent="0.2">
      <c r="A148" s="570"/>
      <c r="B148" s="756"/>
      <c r="C148" s="789"/>
      <c r="D148" s="463"/>
      <c r="E148" s="422"/>
      <c r="F148" s="804"/>
      <c r="G148" s="712"/>
      <c r="H148" s="334"/>
      <c r="I148" s="334"/>
      <c r="J148" s="696"/>
      <c r="K148" s="716"/>
      <c r="L148" s="334"/>
      <c r="M148" s="697"/>
      <c r="N148" s="696"/>
      <c r="O148" s="334"/>
      <c r="P148" s="697"/>
      <c r="Q148" s="798" t="s">
        <v>56</v>
      </c>
      <c r="R148" s="802"/>
      <c r="S148" s="804">
        <v>3</v>
      </c>
      <c r="T148" s="806">
        <v>5</v>
      </c>
      <c r="U148" s="2290"/>
      <c r="W148" s="24"/>
      <c r="X148" s="24"/>
      <c r="Y148" s="24"/>
    </row>
    <row r="149" spans="1:26" ht="26.25" customHeight="1" x14ac:dyDescent="0.2">
      <c r="A149" s="569"/>
      <c r="B149" s="756"/>
      <c r="C149" s="746"/>
      <c r="D149" s="633"/>
      <c r="E149" s="422"/>
      <c r="F149" s="804"/>
      <c r="G149" s="381"/>
      <c r="H149" s="678"/>
      <c r="I149" s="678"/>
      <c r="J149" s="125"/>
      <c r="K149" s="149"/>
      <c r="L149" s="678"/>
      <c r="M149" s="122"/>
      <c r="N149" s="839"/>
      <c r="O149" s="678"/>
      <c r="P149" s="869"/>
      <c r="Q149" s="811" t="s">
        <v>65</v>
      </c>
      <c r="R149" s="337"/>
      <c r="S149" s="120"/>
      <c r="T149" s="818">
        <v>10</v>
      </c>
      <c r="U149" s="2345"/>
      <c r="W149" s="24"/>
      <c r="X149" s="24"/>
      <c r="Y149" s="24"/>
    </row>
    <row r="150" spans="1:26" ht="28.5" customHeight="1" x14ac:dyDescent="0.2">
      <c r="A150" s="570"/>
      <c r="B150" s="756"/>
      <c r="C150" s="789"/>
      <c r="D150" s="124" t="s">
        <v>198</v>
      </c>
      <c r="E150" s="773"/>
      <c r="F150" s="774"/>
      <c r="G150" s="748"/>
      <c r="H150" s="814"/>
      <c r="I150" s="814"/>
      <c r="J150" s="94"/>
      <c r="K150" s="738"/>
      <c r="L150" s="814"/>
      <c r="M150" s="99"/>
      <c r="N150" s="94"/>
      <c r="O150" s="814"/>
      <c r="P150" s="99"/>
      <c r="Q150" s="500" t="s">
        <v>62</v>
      </c>
      <c r="R150" s="21"/>
      <c r="S150" s="589">
        <v>1</v>
      </c>
      <c r="T150" s="51"/>
      <c r="U150" s="592"/>
      <c r="V150" s="450"/>
    </row>
    <row r="151" spans="1:26" ht="30" customHeight="1" x14ac:dyDescent="0.2">
      <c r="A151" s="569"/>
      <c r="B151" s="756"/>
      <c r="C151" s="66"/>
      <c r="D151" s="124"/>
      <c r="E151" s="273"/>
      <c r="F151" s="131"/>
      <c r="G151" s="272"/>
      <c r="H151" s="814"/>
      <c r="I151" s="814"/>
      <c r="J151" s="94"/>
      <c r="K151" s="738"/>
      <c r="L151" s="814"/>
      <c r="M151" s="99"/>
      <c r="N151" s="94"/>
      <c r="O151" s="814"/>
      <c r="P151" s="99"/>
      <c r="Q151" s="500" t="s">
        <v>83</v>
      </c>
      <c r="R151" s="511"/>
      <c r="S151" s="589">
        <v>30</v>
      </c>
      <c r="T151" s="51">
        <v>100</v>
      </c>
      <c r="U151" s="592"/>
    </row>
    <row r="152" spans="1:26" ht="29.25" customHeight="1" x14ac:dyDescent="0.2">
      <c r="A152" s="569"/>
      <c r="B152" s="756"/>
      <c r="C152" s="789"/>
      <c r="D152" s="755" t="s">
        <v>174</v>
      </c>
      <c r="E152" s="747"/>
      <c r="F152" s="747"/>
      <c r="G152" s="748"/>
      <c r="H152" s="814"/>
      <c r="I152" s="814"/>
      <c r="J152" s="94"/>
      <c r="K152" s="738"/>
      <c r="L152" s="814"/>
      <c r="M152" s="99"/>
      <c r="N152" s="94"/>
      <c r="O152" s="814"/>
      <c r="P152" s="99"/>
      <c r="Q152" s="767" t="s">
        <v>62</v>
      </c>
      <c r="R152" s="71">
        <v>1</v>
      </c>
      <c r="S152" s="138"/>
      <c r="T152" s="239"/>
      <c r="U152" s="239"/>
    </row>
    <row r="153" spans="1:26" ht="18.75" customHeight="1" thickBot="1" x14ac:dyDescent="0.25">
      <c r="A153" s="575"/>
      <c r="B153" s="794"/>
      <c r="C153" s="782"/>
      <c r="D153" s="761"/>
      <c r="E153" s="2338" t="s">
        <v>54</v>
      </c>
      <c r="F153" s="2339"/>
      <c r="G153" s="2340"/>
      <c r="H153" s="249">
        <f t="shared" ref="H153" si="22">SUM(H138:H142)</f>
        <v>211.7</v>
      </c>
      <c r="I153" s="249">
        <f t="shared" ref="I153:P153" si="23">SUM(I138:I142)</f>
        <v>211.7</v>
      </c>
      <c r="J153" s="425">
        <f t="shared" si="23"/>
        <v>0</v>
      </c>
      <c r="K153" s="426">
        <f t="shared" si="23"/>
        <v>1924</v>
      </c>
      <c r="L153" s="249">
        <f t="shared" si="23"/>
        <v>1924</v>
      </c>
      <c r="M153" s="429">
        <f t="shared" si="23"/>
        <v>0</v>
      </c>
      <c r="N153" s="840">
        <f t="shared" si="23"/>
        <v>2696.5</v>
      </c>
      <c r="O153" s="249">
        <f t="shared" si="23"/>
        <v>2696.5</v>
      </c>
      <c r="P153" s="429">
        <f t="shared" si="23"/>
        <v>0</v>
      </c>
      <c r="Q153" s="767" t="s">
        <v>63</v>
      </c>
      <c r="R153" s="513"/>
      <c r="S153" s="297">
        <v>50</v>
      </c>
      <c r="T153" s="443">
        <v>80</v>
      </c>
      <c r="U153" s="443"/>
      <c r="V153" s="110"/>
      <c r="W153" s="110"/>
      <c r="X153" s="110"/>
      <c r="Y153" s="233"/>
      <c r="Z153" s="2332"/>
    </row>
    <row r="154" spans="1:26" ht="15" customHeight="1" x14ac:dyDescent="0.2">
      <c r="A154" s="572" t="s">
        <v>17</v>
      </c>
      <c r="B154" s="793" t="s">
        <v>14</v>
      </c>
      <c r="C154" s="781" t="s">
        <v>19</v>
      </c>
      <c r="D154" s="2346" t="s">
        <v>199</v>
      </c>
      <c r="E154" s="64" t="s">
        <v>2</v>
      </c>
      <c r="F154" s="81">
        <v>5</v>
      </c>
      <c r="G154" s="595" t="s">
        <v>15</v>
      </c>
      <c r="H154" s="257"/>
      <c r="I154" s="257"/>
      <c r="J154" s="92"/>
      <c r="K154" s="293">
        <v>645.20000000000005</v>
      </c>
      <c r="L154" s="257">
        <v>645.20000000000005</v>
      </c>
      <c r="M154" s="106"/>
      <c r="N154" s="92">
        <v>444.4</v>
      </c>
      <c r="O154" s="257">
        <v>444.4</v>
      </c>
      <c r="P154" s="106"/>
      <c r="Q154" s="771"/>
      <c r="R154" s="535"/>
      <c r="S154" s="146"/>
      <c r="T154" s="586"/>
      <c r="U154" s="2348"/>
      <c r="W154" s="233"/>
      <c r="X154" s="233"/>
      <c r="Y154" s="233"/>
      <c r="Z154" s="2332"/>
    </row>
    <row r="155" spans="1:26" ht="15" customHeight="1" x14ac:dyDescent="0.2">
      <c r="A155" s="570"/>
      <c r="B155" s="756"/>
      <c r="C155" s="746"/>
      <c r="D155" s="2347"/>
      <c r="E155" s="532"/>
      <c r="F155" s="282"/>
      <c r="G155" s="541" t="s">
        <v>110</v>
      </c>
      <c r="H155" s="258">
        <f>30.1+5.7</f>
        <v>35.800000000000004</v>
      </c>
      <c r="I155" s="258">
        <f>30.1+5.7</f>
        <v>35.800000000000004</v>
      </c>
      <c r="J155" s="326"/>
      <c r="K155" s="291"/>
      <c r="L155" s="258"/>
      <c r="M155" s="96"/>
      <c r="N155" s="326"/>
      <c r="O155" s="258"/>
      <c r="P155" s="96"/>
      <c r="Q155" s="816"/>
      <c r="R155" s="750"/>
      <c r="S155" s="121"/>
      <c r="T155" s="82"/>
      <c r="U155" s="2277"/>
      <c r="W155" s="303"/>
      <c r="X155" s="772"/>
      <c r="Y155" s="772"/>
      <c r="Z155" s="772"/>
    </row>
    <row r="156" spans="1:26" ht="15" customHeight="1" x14ac:dyDescent="0.2">
      <c r="A156" s="570"/>
      <c r="B156" s="756"/>
      <c r="C156" s="789"/>
      <c r="D156" s="776"/>
      <c r="E156" s="532"/>
      <c r="F156" s="282"/>
      <c r="G156" s="390" t="s">
        <v>113</v>
      </c>
      <c r="H156" s="258">
        <v>31.6</v>
      </c>
      <c r="I156" s="258">
        <v>31.6</v>
      </c>
      <c r="J156" s="377"/>
      <c r="K156" s="291">
        <v>516.29999999999995</v>
      </c>
      <c r="L156" s="258">
        <v>516.29999999999995</v>
      </c>
      <c r="M156" s="96"/>
      <c r="N156" s="326"/>
      <c r="O156" s="258"/>
      <c r="P156" s="96"/>
      <c r="Q156" s="816"/>
      <c r="R156" s="750"/>
      <c r="S156" s="121"/>
      <c r="T156" s="82"/>
      <c r="U156" s="2274"/>
      <c r="W156" s="303"/>
      <c r="X156" s="772"/>
      <c r="Y156" s="772"/>
      <c r="Z156" s="772"/>
    </row>
    <row r="157" spans="1:26" ht="15.75" customHeight="1" x14ac:dyDescent="0.2">
      <c r="A157" s="570"/>
      <c r="B157" s="756"/>
      <c r="C157" s="789"/>
      <c r="D157" s="2317" t="s">
        <v>200</v>
      </c>
      <c r="E157" s="2341"/>
      <c r="F157" s="2342"/>
      <c r="G157" s="596"/>
      <c r="H157" s="814"/>
      <c r="I157" s="814"/>
      <c r="J157" s="94"/>
      <c r="K157" s="792"/>
      <c r="L157" s="814"/>
      <c r="M157" s="99"/>
      <c r="N157" s="94"/>
      <c r="O157" s="814"/>
      <c r="P157" s="99"/>
      <c r="Q157" s="533" t="s">
        <v>64</v>
      </c>
      <c r="R157" s="406">
        <v>1</v>
      </c>
      <c r="S157" s="164"/>
      <c r="T157" s="79"/>
      <c r="U157" s="79"/>
      <c r="W157" s="303"/>
      <c r="X157" s="772"/>
      <c r="Y157" s="772"/>
      <c r="Z157" s="772"/>
    </row>
    <row r="158" spans="1:26" ht="30.75" customHeight="1" x14ac:dyDescent="0.2">
      <c r="A158" s="569"/>
      <c r="B158" s="756"/>
      <c r="C158" s="66"/>
      <c r="D158" s="2331"/>
      <c r="E158" s="2341"/>
      <c r="F158" s="2342"/>
      <c r="G158" s="748"/>
      <c r="H158" s="814"/>
      <c r="I158" s="814"/>
      <c r="J158" s="94"/>
      <c r="K158" s="792"/>
      <c r="L158" s="814"/>
      <c r="M158" s="99"/>
      <c r="N158" s="94"/>
      <c r="O158" s="814"/>
      <c r="P158" s="99"/>
      <c r="Q158" s="533" t="s">
        <v>101</v>
      </c>
      <c r="R158" s="406"/>
      <c r="S158" s="164">
        <v>100</v>
      </c>
      <c r="T158" s="79"/>
      <c r="U158" s="79"/>
      <c r="W158" s="303"/>
      <c r="X158" s="772"/>
      <c r="Y158" s="772"/>
      <c r="Z158" s="772"/>
    </row>
    <row r="159" spans="1:26" ht="15.75" customHeight="1" x14ac:dyDescent="0.2">
      <c r="A159" s="569"/>
      <c r="B159" s="756"/>
      <c r="C159" s="197"/>
      <c r="D159" s="2318"/>
      <c r="E159" s="2341"/>
      <c r="F159" s="2342"/>
      <c r="G159" s="272"/>
      <c r="H159" s="260"/>
      <c r="I159" s="260"/>
      <c r="J159" s="324"/>
      <c r="K159" s="256"/>
      <c r="L159" s="260"/>
      <c r="M159" s="232"/>
      <c r="N159" s="324"/>
      <c r="O159" s="260"/>
      <c r="P159" s="232"/>
      <c r="Q159" s="534" t="s">
        <v>128</v>
      </c>
      <c r="R159" s="67"/>
      <c r="S159" s="140">
        <v>100</v>
      </c>
      <c r="T159" s="41"/>
      <c r="U159" s="41"/>
      <c r="W159" s="303"/>
      <c r="X159" s="772"/>
      <c r="Y159" s="772"/>
      <c r="Z159" s="772"/>
    </row>
    <row r="160" spans="1:26" ht="28.5" customHeight="1" x14ac:dyDescent="0.2">
      <c r="A160" s="570"/>
      <c r="B160" s="756"/>
      <c r="C160" s="789"/>
      <c r="D160" s="2317" t="s">
        <v>201</v>
      </c>
      <c r="E160" s="2341"/>
      <c r="F160" s="2342"/>
      <c r="G160" s="717"/>
      <c r="H160" s="334"/>
      <c r="I160" s="334"/>
      <c r="J160" s="696"/>
      <c r="K160" s="716"/>
      <c r="L160" s="334"/>
      <c r="M160" s="696"/>
      <c r="N160" s="716"/>
      <c r="O160" s="334"/>
      <c r="P160" s="115"/>
      <c r="Q160" s="533" t="s">
        <v>56</v>
      </c>
      <c r="R160" s="536">
        <v>1</v>
      </c>
      <c r="S160" s="164"/>
      <c r="T160" s="79"/>
      <c r="U160" s="2299"/>
      <c r="W160" s="303"/>
      <c r="X160" s="772"/>
      <c r="Y160" s="772"/>
      <c r="Z160" s="772"/>
    </row>
    <row r="161" spans="1:26" ht="16.5" customHeight="1" x14ac:dyDescent="0.2">
      <c r="A161" s="569"/>
      <c r="B161" s="756"/>
      <c r="C161" s="66"/>
      <c r="D161" s="2331"/>
      <c r="E161" s="2341"/>
      <c r="F161" s="2342"/>
      <c r="G161" s="714"/>
      <c r="H161" s="706"/>
      <c r="I161" s="706"/>
      <c r="J161" s="709"/>
      <c r="K161" s="707"/>
      <c r="L161" s="706"/>
      <c r="M161" s="709"/>
      <c r="N161" s="707"/>
      <c r="O161" s="706"/>
      <c r="P161" s="286"/>
      <c r="Q161" s="2299" t="s">
        <v>102</v>
      </c>
      <c r="R161" s="412"/>
      <c r="S161" s="164">
        <v>50</v>
      </c>
      <c r="T161" s="79">
        <v>100</v>
      </c>
      <c r="U161" s="2315"/>
    </row>
    <row r="162" spans="1:26" ht="17.25" customHeight="1" thickBot="1" x14ac:dyDescent="0.25">
      <c r="A162" s="765"/>
      <c r="B162" s="794"/>
      <c r="C162" s="782"/>
      <c r="D162" s="2306"/>
      <c r="E162" s="2338" t="s">
        <v>54</v>
      </c>
      <c r="F162" s="2339"/>
      <c r="G162" s="2343"/>
      <c r="H162" s="469">
        <f>SUM(H154:H156)</f>
        <v>67.400000000000006</v>
      </c>
      <c r="I162" s="249">
        <f t="shared" ref="I162:O162" si="24">SUM(I154:I156)</f>
        <v>67.400000000000006</v>
      </c>
      <c r="J162" s="612">
        <f t="shared" si="24"/>
        <v>0</v>
      </c>
      <c r="K162" s="469">
        <f t="shared" si="24"/>
        <v>1161.5</v>
      </c>
      <c r="L162" s="249">
        <f>SUM(L154:L156)</f>
        <v>1161.5</v>
      </c>
      <c r="M162" s="612">
        <f t="shared" si="24"/>
        <v>0</v>
      </c>
      <c r="N162" s="469">
        <f t="shared" si="24"/>
        <v>444.4</v>
      </c>
      <c r="O162" s="249">
        <f t="shared" si="24"/>
        <v>444.4</v>
      </c>
      <c r="P162" s="718"/>
      <c r="Q162" s="2300"/>
      <c r="R162" s="446"/>
      <c r="S162" s="318"/>
      <c r="T162" s="156"/>
      <c r="U162" s="2300"/>
      <c r="V162" s="110"/>
      <c r="W162" s="110"/>
      <c r="X162" s="110"/>
      <c r="Y162" s="233"/>
      <c r="Z162" s="2332"/>
    </row>
    <row r="163" spans="1:26" ht="27.75" customHeight="1" x14ac:dyDescent="0.2">
      <c r="A163" s="572" t="s">
        <v>17</v>
      </c>
      <c r="B163" s="793" t="s">
        <v>14</v>
      </c>
      <c r="C163" s="781" t="s">
        <v>21</v>
      </c>
      <c r="D163" s="775" t="s">
        <v>104</v>
      </c>
      <c r="E163" s="319"/>
      <c r="F163" s="319"/>
      <c r="G163" s="317"/>
      <c r="H163" s="153"/>
      <c r="I163" s="257"/>
      <c r="J163" s="92"/>
      <c r="K163" s="153"/>
      <c r="L163" s="257"/>
      <c r="M163" s="106"/>
      <c r="N163" s="92"/>
      <c r="O163" s="257"/>
      <c r="P163" s="106"/>
      <c r="Q163" s="758"/>
      <c r="R163" s="212"/>
      <c r="S163" s="146"/>
      <c r="T163" s="586"/>
      <c r="U163" s="2333"/>
      <c r="W163" s="233"/>
      <c r="X163" s="233"/>
      <c r="Y163" s="233"/>
      <c r="Z163" s="2332"/>
    </row>
    <row r="164" spans="1:26" ht="54" customHeight="1" x14ac:dyDescent="0.2">
      <c r="A164" s="569"/>
      <c r="B164" s="756"/>
      <c r="C164" s="69"/>
      <c r="D164" s="826" t="s">
        <v>282</v>
      </c>
      <c r="E164" s="119"/>
      <c r="F164" s="647">
        <v>2</v>
      </c>
      <c r="G164" s="25" t="s">
        <v>15</v>
      </c>
      <c r="H164" s="339">
        <v>242.7</v>
      </c>
      <c r="I164" s="737">
        <f>242.7</f>
        <v>242.7</v>
      </c>
      <c r="J164" s="735"/>
      <c r="K164" s="339">
        <v>254.1</v>
      </c>
      <c r="L164" s="737">
        <v>254.1</v>
      </c>
      <c r="M164" s="132"/>
      <c r="N164" s="160">
        <v>297.39999999999998</v>
      </c>
      <c r="O164" s="737">
        <v>297.39999999999998</v>
      </c>
      <c r="P164" s="132"/>
      <c r="Q164" s="431" t="s">
        <v>131</v>
      </c>
      <c r="R164" s="502">
        <v>3</v>
      </c>
      <c r="S164" s="138">
        <v>5</v>
      </c>
      <c r="T164" s="57">
        <v>6</v>
      </c>
      <c r="U164" s="2334"/>
    </row>
    <row r="165" spans="1:26" ht="30" customHeight="1" x14ac:dyDescent="0.2">
      <c r="A165" s="569"/>
      <c r="B165" s="756"/>
      <c r="C165" s="207"/>
      <c r="D165" s="826" t="s">
        <v>148</v>
      </c>
      <c r="E165" s="438"/>
      <c r="F165" s="747"/>
      <c r="G165" s="206"/>
      <c r="H165" s="792"/>
      <c r="I165" s="814"/>
      <c r="J165" s="94"/>
      <c r="K165" s="792"/>
      <c r="L165" s="814"/>
      <c r="M165" s="99"/>
      <c r="N165" s="94"/>
      <c r="O165" s="814"/>
      <c r="P165" s="99"/>
      <c r="Q165" s="176" t="s">
        <v>131</v>
      </c>
      <c r="R165" s="70">
        <v>24</v>
      </c>
      <c r="S165" s="140">
        <v>21</v>
      </c>
      <c r="T165" s="41">
        <v>21</v>
      </c>
      <c r="U165" s="2334"/>
    </row>
    <row r="166" spans="1:26" ht="40.5" customHeight="1" x14ac:dyDescent="0.2">
      <c r="A166" s="570"/>
      <c r="B166" s="756"/>
      <c r="C166" s="789"/>
      <c r="D166" s="464" t="s">
        <v>203</v>
      </c>
      <c r="E166" s="316"/>
      <c r="F166" s="316"/>
      <c r="G166" s="795"/>
      <c r="H166" s="792"/>
      <c r="I166" s="814"/>
      <c r="J166" s="94"/>
      <c r="K166" s="792"/>
      <c r="L166" s="814"/>
      <c r="M166" s="99"/>
      <c r="N166" s="94"/>
      <c r="O166" s="814"/>
      <c r="P166" s="99"/>
      <c r="Q166" s="384" t="s">
        <v>247</v>
      </c>
      <c r="R166" s="70"/>
      <c r="S166" s="140">
        <v>262</v>
      </c>
      <c r="T166" s="83"/>
      <c r="U166" s="2334"/>
      <c r="W166" s="233"/>
      <c r="X166" s="233"/>
      <c r="Y166" s="233"/>
      <c r="Z166" s="772"/>
    </row>
    <row r="167" spans="1:26" ht="31.5" customHeight="1" x14ac:dyDescent="0.2">
      <c r="A167" s="570"/>
      <c r="B167" s="756"/>
      <c r="C167" s="789"/>
      <c r="D167" s="403" t="s">
        <v>202</v>
      </c>
      <c r="E167" s="316"/>
      <c r="F167" s="466"/>
      <c r="G167" s="749"/>
      <c r="H167" s="646"/>
      <c r="I167" s="642"/>
      <c r="J167" s="125"/>
      <c r="K167" s="646"/>
      <c r="L167" s="642"/>
      <c r="M167" s="122"/>
      <c r="N167" s="125"/>
      <c r="O167" s="642"/>
      <c r="P167" s="122"/>
      <c r="Q167" s="384" t="s">
        <v>105</v>
      </c>
      <c r="R167" s="78">
        <v>3</v>
      </c>
      <c r="S167" s="819"/>
      <c r="T167" s="83"/>
      <c r="U167" s="2335"/>
      <c r="W167" s="233"/>
      <c r="X167" s="233"/>
      <c r="Y167" s="233"/>
      <c r="Z167" s="772"/>
    </row>
    <row r="168" spans="1:26" ht="54" customHeight="1" x14ac:dyDescent="0.2">
      <c r="A168" s="570"/>
      <c r="B168" s="756"/>
      <c r="C168" s="789"/>
      <c r="D168" s="2336" t="s">
        <v>245</v>
      </c>
      <c r="E168" s="540" t="s">
        <v>239</v>
      </c>
      <c r="F168" s="465">
        <v>6</v>
      </c>
      <c r="G168" s="289" t="s">
        <v>15</v>
      </c>
      <c r="H168" s="327">
        <v>299.3</v>
      </c>
      <c r="I168" s="877">
        <f>299.3-3.7</f>
        <v>295.60000000000002</v>
      </c>
      <c r="J168" s="878">
        <f>+I168-H168</f>
        <v>-3.6999999999999886</v>
      </c>
      <c r="K168" s="327"/>
      <c r="L168" s="676"/>
      <c r="M168" s="286"/>
      <c r="N168" s="173"/>
      <c r="O168" s="676"/>
      <c r="P168" s="286"/>
      <c r="Q168" s="128" t="s">
        <v>246</v>
      </c>
      <c r="R168" s="512">
        <v>2023</v>
      </c>
      <c r="S168" s="138"/>
      <c r="T168" s="43"/>
      <c r="U168" s="2299" t="s">
        <v>302</v>
      </c>
      <c r="W168" s="233"/>
      <c r="X168" s="233"/>
      <c r="Y168" s="233"/>
      <c r="Z168" s="772"/>
    </row>
    <row r="169" spans="1:26" ht="17.25" customHeight="1" thickBot="1" x14ac:dyDescent="0.25">
      <c r="A169" s="765"/>
      <c r="B169" s="794"/>
      <c r="C169" s="637"/>
      <c r="D169" s="2337"/>
      <c r="E169" s="2338" t="s">
        <v>54</v>
      </c>
      <c r="F169" s="2339"/>
      <c r="G169" s="2340"/>
      <c r="H169" s="103">
        <f>SUM(H164:H168)</f>
        <v>542</v>
      </c>
      <c r="I169" s="252">
        <f>SUM(I164:I168)</f>
        <v>538.29999999999995</v>
      </c>
      <c r="J169" s="252">
        <f>SUM(J164:J168)</f>
        <v>-3.6999999999999886</v>
      </c>
      <c r="K169" s="103">
        <f>SUM(K164:K168)</f>
        <v>254.1</v>
      </c>
      <c r="L169" s="252">
        <f>SUM(L164:L168)</f>
        <v>254.1</v>
      </c>
      <c r="M169" s="107"/>
      <c r="N169" s="104">
        <f>SUM(N164:N168)</f>
        <v>297.39999999999998</v>
      </c>
      <c r="O169" s="252">
        <f>SUM(O164:O168)</f>
        <v>297.39999999999998</v>
      </c>
      <c r="P169" s="107"/>
      <c r="Q169" s="759"/>
      <c r="R169" s="494"/>
      <c r="S169" s="318"/>
      <c r="T169" s="156"/>
      <c r="U169" s="2300"/>
    </row>
    <row r="170" spans="1:26" ht="15.75" customHeight="1" thickBot="1" x14ac:dyDescent="0.25">
      <c r="A170" s="576" t="s">
        <v>17</v>
      </c>
      <c r="B170" s="6" t="s">
        <v>14</v>
      </c>
      <c r="C170" s="2281" t="s">
        <v>20</v>
      </c>
      <c r="D170" s="2282"/>
      <c r="E170" s="2282"/>
      <c r="F170" s="2282"/>
      <c r="G170" s="2282"/>
      <c r="H170" s="109">
        <f t="shared" ref="H170:P170" si="25">H162+H153+H137+H169</f>
        <v>5175.8999999999996</v>
      </c>
      <c r="I170" s="254">
        <f t="shared" si="25"/>
        <v>3975.5</v>
      </c>
      <c r="J170" s="655">
        <f>J162+J153+J137+J169</f>
        <v>-1200.4000000000001</v>
      </c>
      <c r="K170" s="109">
        <f t="shared" si="25"/>
        <v>12957.5</v>
      </c>
      <c r="L170" s="254">
        <f t="shared" si="25"/>
        <v>13413.1</v>
      </c>
      <c r="M170" s="310">
        <f t="shared" si="25"/>
        <v>455.59999999999991</v>
      </c>
      <c r="N170" s="320">
        <f t="shared" si="25"/>
        <v>10650.1</v>
      </c>
      <c r="O170" s="254">
        <f t="shared" si="25"/>
        <v>14212.599999999999</v>
      </c>
      <c r="P170" s="320">
        <f t="shared" si="25"/>
        <v>662.5</v>
      </c>
      <c r="Q170" s="2283"/>
      <c r="R170" s="2284"/>
      <c r="S170" s="2284"/>
      <c r="T170" s="2284"/>
      <c r="U170" s="2285"/>
    </row>
    <row r="171" spans="1:26" ht="17.25" customHeight="1" thickBot="1" x14ac:dyDescent="0.25">
      <c r="A171" s="569" t="s">
        <v>17</v>
      </c>
      <c r="B171" s="2" t="s">
        <v>17</v>
      </c>
      <c r="C171" s="2328" t="s">
        <v>73</v>
      </c>
      <c r="D171" s="2329"/>
      <c r="E171" s="2329"/>
      <c r="F171" s="2329"/>
      <c r="G171" s="2329"/>
      <c r="H171" s="2329"/>
      <c r="I171" s="2329"/>
      <c r="J171" s="2329"/>
      <c r="K171" s="2329"/>
      <c r="L171" s="2329"/>
      <c r="M171" s="2329"/>
      <c r="N171" s="2329"/>
      <c r="O171" s="2329"/>
      <c r="P171" s="2329"/>
      <c r="Q171" s="2329"/>
      <c r="R171" s="2329"/>
      <c r="S171" s="2329"/>
      <c r="T171" s="2329"/>
      <c r="U171" s="2330"/>
    </row>
    <row r="172" spans="1:26" ht="15.75" customHeight="1" x14ac:dyDescent="0.2">
      <c r="A172" s="577" t="s">
        <v>17</v>
      </c>
      <c r="B172" s="86" t="s">
        <v>17</v>
      </c>
      <c r="C172" s="643" t="s">
        <v>14</v>
      </c>
      <c r="D172" s="2305" t="s">
        <v>204</v>
      </c>
      <c r="E172" s="2307"/>
      <c r="F172" s="786">
        <v>2</v>
      </c>
      <c r="G172" s="179" t="s">
        <v>15</v>
      </c>
      <c r="H172" s="180">
        <v>44.1</v>
      </c>
      <c r="I172" s="394">
        <v>44.1</v>
      </c>
      <c r="J172" s="601"/>
      <c r="K172" s="180">
        <v>57.8</v>
      </c>
      <c r="L172" s="394">
        <v>57.8</v>
      </c>
      <c r="M172" s="601"/>
      <c r="N172" s="180"/>
      <c r="O172" s="394"/>
      <c r="P172" s="622"/>
      <c r="Q172" s="336" t="s">
        <v>131</v>
      </c>
      <c r="R172" s="214">
        <v>8</v>
      </c>
      <c r="S172" s="409">
        <v>11</v>
      </c>
      <c r="T172" s="410"/>
      <c r="U172" s="410"/>
    </row>
    <row r="173" spans="1:26" ht="17.25" customHeight="1" thickBot="1" x14ac:dyDescent="0.25">
      <c r="A173" s="578"/>
      <c r="B173" s="15"/>
      <c r="C173" s="782"/>
      <c r="D173" s="2306"/>
      <c r="E173" s="2308"/>
      <c r="F173" s="787"/>
      <c r="G173" s="296" t="s">
        <v>16</v>
      </c>
      <c r="H173" s="103">
        <f t="shared" ref="H173:K173" si="26">H172</f>
        <v>44.1</v>
      </c>
      <c r="I173" s="252">
        <f t="shared" ref="I173" si="27">I172</f>
        <v>44.1</v>
      </c>
      <c r="J173" s="104"/>
      <c r="K173" s="103">
        <f t="shared" si="26"/>
        <v>57.8</v>
      </c>
      <c r="L173" s="252">
        <f t="shared" ref="L173" si="28">L172</f>
        <v>57.8</v>
      </c>
      <c r="M173" s="104"/>
      <c r="N173" s="103">
        <f t="shared" ref="N173:O173" si="29">N172</f>
        <v>0</v>
      </c>
      <c r="O173" s="252">
        <f t="shared" si="29"/>
        <v>0</v>
      </c>
      <c r="P173" s="107"/>
      <c r="Q173" s="457" t="s">
        <v>208</v>
      </c>
      <c r="R173" s="513">
        <v>590</v>
      </c>
      <c r="S173" s="297">
        <v>781</v>
      </c>
      <c r="T173" s="443"/>
      <c r="U173" s="443"/>
    </row>
    <row r="174" spans="1:26" ht="18.75" customHeight="1" x14ac:dyDescent="0.2">
      <c r="A174" s="577" t="s">
        <v>17</v>
      </c>
      <c r="B174" s="86" t="s">
        <v>17</v>
      </c>
      <c r="C174" s="643" t="s">
        <v>17</v>
      </c>
      <c r="D174" s="2305" t="s">
        <v>248</v>
      </c>
      <c r="E174" s="2307"/>
      <c r="F174" s="786">
        <v>2</v>
      </c>
      <c r="G174" s="31" t="s">
        <v>15</v>
      </c>
      <c r="H174" s="155">
        <v>65</v>
      </c>
      <c r="I174" s="263">
        <v>65</v>
      </c>
      <c r="J174" s="145"/>
      <c r="K174" s="155"/>
      <c r="L174" s="263"/>
      <c r="M174" s="145"/>
      <c r="N174" s="155"/>
      <c r="O174" s="263"/>
      <c r="P174" s="432"/>
      <c r="Q174" s="128" t="s">
        <v>209</v>
      </c>
      <c r="R174" s="212">
        <v>1</v>
      </c>
      <c r="S174" s="146"/>
      <c r="T174" s="586"/>
      <c r="U174" s="586"/>
    </row>
    <row r="175" spans="1:26" ht="17.25" customHeight="1" thickBot="1" x14ac:dyDescent="0.25">
      <c r="A175" s="578"/>
      <c r="B175" s="15"/>
      <c r="C175" s="782"/>
      <c r="D175" s="2306"/>
      <c r="E175" s="2308"/>
      <c r="F175" s="787"/>
      <c r="G175" s="23" t="s">
        <v>16</v>
      </c>
      <c r="H175" s="103">
        <f t="shared" ref="H175:I175" si="30">H174</f>
        <v>65</v>
      </c>
      <c r="I175" s="252">
        <f t="shared" si="30"/>
        <v>65</v>
      </c>
      <c r="J175" s="104"/>
      <c r="K175" s="103"/>
      <c r="L175" s="252"/>
      <c r="M175" s="104"/>
      <c r="N175" s="103"/>
      <c r="O175" s="252"/>
      <c r="P175" s="107"/>
      <c r="Q175" s="177"/>
      <c r="R175" s="514"/>
      <c r="S175" s="147"/>
      <c r="T175" s="587"/>
      <c r="U175" s="587"/>
    </row>
    <row r="176" spans="1:26" ht="16.5" customHeight="1" x14ac:dyDescent="0.2">
      <c r="A176" s="572" t="s">
        <v>17</v>
      </c>
      <c r="B176" s="793" t="s">
        <v>17</v>
      </c>
      <c r="C176" s="68" t="s">
        <v>19</v>
      </c>
      <c r="D176" s="192" t="s">
        <v>91</v>
      </c>
      <c r="E176" s="762"/>
      <c r="F176" s="786">
        <v>2</v>
      </c>
      <c r="G176" s="31" t="s">
        <v>15</v>
      </c>
      <c r="H176" s="328">
        <v>232.2</v>
      </c>
      <c r="I176" s="1061">
        <f>232.2+1.7</f>
        <v>233.89999999999998</v>
      </c>
      <c r="J176" s="1062">
        <f>+I176-H176</f>
        <v>1.6999999999999886</v>
      </c>
      <c r="K176" s="328">
        <v>174.2</v>
      </c>
      <c r="L176" s="329">
        <v>174.2</v>
      </c>
      <c r="M176" s="349"/>
      <c r="N176" s="328">
        <v>191.3</v>
      </c>
      <c r="O176" s="329">
        <v>191.3</v>
      </c>
      <c r="P176" s="623"/>
      <c r="Q176" s="537"/>
      <c r="R176" s="185"/>
      <c r="S176" s="148"/>
      <c r="T176" s="117"/>
      <c r="U176" s="117"/>
    </row>
    <row r="177" spans="1:22" ht="32.25" customHeight="1" x14ac:dyDescent="0.2">
      <c r="A177" s="570"/>
      <c r="B177" s="756"/>
      <c r="C177" s="9"/>
      <c r="D177" s="769" t="s">
        <v>205</v>
      </c>
      <c r="E177" s="402"/>
      <c r="F177" s="747"/>
      <c r="G177" s="20"/>
      <c r="H177" s="792"/>
      <c r="I177" s="814"/>
      <c r="J177" s="94"/>
      <c r="K177" s="792"/>
      <c r="L177" s="814"/>
      <c r="M177" s="94"/>
      <c r="N177" s="792"/>
      <c r="O177" s="814"/>
      <c r="P177" s="99"/>
      <c r="Q177" s="533" t="s">
        <v>160</v>
      </c>
      <c r="R177" s="71">
        <v>362</v>
      </c>
      <c r="S177" s="590"/>
      <c r="T177" s="592"/>
      <c r="U177" s="592"/>
    </row>
    <row r="178" spans="1:22" ht="30.75" customHeight="1" x14ac:dyDescent="0.2">
      <c r="A178" s="570"/>
      <c r="B178" s="756"/>
      <c r="C178" s="69"/>
      <c r="D178" s="199" t="s">
        <v>206</v>
      </c>
      <c r="E178" s="402"/>
      <c r="F178" s="747"/>
      <c r="G178" s="20"/>
      <c r="H178" s="792"/>
      <c r="I178" s="814"/>
      <c r="J178" s="94"/>
      <c r="K178" s="792"/>
      <c r="L178" s="814"/>
      <c r="M178" s="94"/>
      <c r="N178" s="792"/>
      <c r="O178" s="814"/>
      <c r="P178" s="99"/>
      <c r="Q178" s="534" t="s">
        <v>155</v>
      </c>
      <c r="R178" s="70">
        <v>25</v>
      </c>
      <c r="S178" s="140"/>
      <c r="T178" s="41"/>
      <c r="U178" s="41"/>
      <c r="V178" s="80"/>
    </row>
    <row r="179" spans="1:22" ht="41.25" customHeight="1" x14ac:dyDescent="0.2">
      <c r="A179" s="570"/>
      <c r="B179" s="756"/>
      <c r="C179" s="9"/>
      <c r="D179" s="2287" t="s">
        <v>97</v>
      </c>
      <c r="E179" s="402"/>
      <c r="F179" s="747"/>
      <c r="G179" s="206"/>
      <c r="H179" s="181"/>
      <c r="I179" s="261"/>
      <c r="J179" s="325"/>
      <c r="K179" s="181"/>
      <c r="L179" s="261"/>
      <c r="M179" s="325"/>
      <c r="N179" s="181"/>
      <c r="O179" s="261"/>
      <c r="P179" s="325"/>
      <c r="Q179" s="333" t="s">
        <v>131</v>
      </c>
      <c r="R179" s="1054" t="s">
        <v>325</v>
      </c>
      <c r="S179" s="591">
        <v>26</v>
      </c>
      <c r="T179" s="593">
        <v>5</v>
      </c>
      <c r="U179" s="2299" t="s">
        <v>321</v>
      </c>
      <c r="V179" s="80"/>
    </row>
    <row r="180" spans="1:22" ht="41.25" customHeight="1" x14ac:dyDescent="0.2">
      <c r="A180" s="570"/>
      <c r="B180" s="756"/>
      <c r="C180" s="9"/>
      <c r="D180" s="2764"/>
      <c r="E180" s="402"/>
      <c r="F180" s="747"/>
      <c r="G180" s="206"/>
      <c r="H180" s="181"/>
      <c r="I180" s="261"/>
      <c r="J180" s="325"/>
      <c r="K180" s="181"/>
      <c r="L180" s="261"/>
      <c r="M180" s="325"/>
      <c r="N180" s="181"/>
      <c r="O180" s="261"/>
      <c r="P180" s="175"/>
      <c r="Q180" s="533" t="s">
        <v>70</v>
      </c>
      <c r="R180" s="1055" t="s">
        <v>326</v>
      </c>
      <c r="S180" s="590">
        <v>32</v>
      </c>
      <c r="T180" s="592">
        <v>5</v>
      </c>
      <c r="U180" s="2316"/>
      <c r="V180" s="80"/>
    </row>
    <row r="181" spans="1:22" ht="17.25" customHeight="1" x14ac:dyDescent="0.2">
      <c r="A181" s="570"/>
      <c r="B181" s="756"/>
      <c r="C181" s="9"/>
      <c r="D181" s="770" t="s">
        <v>207</v>
      </c>
      <c r="E181" s="402"/>
      <c r="F181" s="747"/>
      <c r="G181" s="206"/>
      <c r="H181" s="792"/>
      <c r="I181" s="814"/>
      <c r="J181" s="94"/>
      <c r="K181" s="792"/>
      <c r="L181" s="814"/>
      <c r="M181" s="94"/>
      <c r="N181" s="792"/>
      <c r="O181" s="814"/>
      <c r="P181" s="99"/>
      <c r="Q181" s="534" t="s">
        <v>154</v>
      </c>
      <c r="R181" s="399">
        <v>39</v>
      </c>
      <c r="S181" s="228"/>
      <c r="T181" s="27"/>
      <c r="U181" s="27"/>
    </row>
    <row r="182" spans="1:22" ht="31.5" customHeight="1" x14ac:dyDescent="0.2">
      <c r="A182" s="570"/>
      <c r="B182" s="756"/>
      <c r="C182" s="9"/>
      <c r="D182" s="770" t="s">
        <v>258</v>
      </c>
      <c r="E182" s="402"/>
      <c r="F182" s="747"/>
      <c r="G182" s="206"/>
      <c r="H182" s="792"/>
      <c r="I182" s="814"/>
      <c r="J182" s="94"/>
      <c r="K182" s="792"/>
      <c r="L182" s="814"/>
      <c r="M182" s="94"/>
      <c r="N182" s="792"/>
      <c r="O182" s="814"/>
      <c r="P182" s="99"/>
      <c r="Q182" s="338" t="s">
        <v>210</v>
      </c>
      <c r="R182" s="337">
        <v>5</v>
      </c>
      <c r="S182" s="120"/>
      <c r="T182" s="818"/>
      <c r="U182" s="818"/>
    </row>
    <row r="183" spans="1:22" ht="30.75" customHeight="1" x14ac:dyDescent="0.2">
      <c r="A183" s="570"/>
      <c r="B183" s="756"/>
      <c r="C183" s="9"/>
      <c r="D183" s="168" t="s">
        <v>156</v>
      </c>
      <c r="E183" s="402"/>
      <c r="F183" s="747"/>
      <c r="G183" s="206"/>
      <c r="H183" s="792"/>
      <c r="I183" s="814"/>
      <c r="J183" s="94"/>
      <c r="K183" s="792"/>
      <c r="L183" s="814"/>
      <c r="M183" s="94"/>
      <c r="N183" s="792"/>
      <c r="O183" s="814"/>
      <c r="P183" s="94"/>
      <c r="Q183" s="534" t="s">
        <v>249</v>
      </c>
      <c r="R183" s="70">
        <v>55</v>
      </c>
      <c r="S183" s="140">
        <v>55</v>
      </c>
      <c r="T183" s="41">
        <v>50</v>
      </c>
      <c r="U183" s="41"/>
    </row>
    <row r="184" spans="1:22" ht="30.75" customHeight="1" x14ac:dyDescent="0.2">
      <c r="A184" s="570"/>
      <c r="B184" s="756"/>
      <c r="C184" s="9"/>
      <c r="D184" s="654"/>
      <c r="E184" s="402"/>
      <c r="F184" s="747"/>
      <c r="G184" s="206"/>
      <c r="H184" s="792"/>
      <c r="I184" s="814"/>
      <c r="J184" s="94"/>
      <c r="K184" s="792"/>
      <c r="L184" s="814"/>
      <c r="M184" s="94"/>
      <c r="N184" s="792"/>
      <c r="O184" s="814"/>
      <c r="P184" s="94"/>
      <c r="Q184" s="534" t="s">
        <v>158</v>
      </c>
      <c r="R184" s="35">
        <v>100</v>
      </c>
      <c r="S184" s="591"/>
      <c r="T184" s="593"/>
      <c r="U184" s="593"/>
    </row>
    <row r="185" spans="1:22" ht="17.25" customHeight="1" x14ac:dyDescent="0.2">
      <c r="A185" s="570"/>
      <c r="B185" s="756"/>
      <c r="C185" s="9"/>
      <c r="D185" s="428"/>
      <c r="E185" s="402"/>
      <c r="F185" s="747"/>
      <c r="G185" s="206"/>
      <c r="H185" s="792"/>
      <c r="I185" s="814"/>
      <c r="J185" s="94"/>
      <c r="K185" s="792"/>
      <c r="L185" s="814"/>
      <c r="M185" s="94"/>
      <c r="N185" s="792"/>
      <c r="O185" s="814"/>
      <c r="P185" s="99"/>
      <c r="Q185" s="338" t="s">
        <v>142</v>
      </c>
      <c r="R185" s="35">
        <v>13</v>
      </c>
      <c r="S185" s="591">
        <v>11</v>
      </c>
      <c r="T185" s="593">
        <v>10</v>
      </c>
      <c r="U185" s="593"/>
    </row>
    <row r="186" spans="1:22" ht="21" customHeight="1" x14ac:dyDescent="0.2">
      <c r="A186" s="570"/>
      <c r="B186" s="756"/>
      <c r="C186" s="9"/>
      <c r="D186" s="2317" t="s">
        <v>169</v>
      </c>
      <c r="E186" s="402"/>
      <c r="F186" s="747"/>
      <c r="G186" s="206"/>
      <c r="H186" s="792"/>
      <c r="I186" s="814"/>
      <c r="J186" s="94"/>
      <c r="K186" s="792"/>
      <c r="L186" s="814"/>
      <c r="M186" s="94"/>
      <c r="N186" s="792"/>
      <c r="O186" s="814"/>
      <c r="P186" s="94"/>
      <c r="Q186" s="338" t="s">
        <v>159</v>
      </c>
      <c r="R186" s="337">
        <v>19</v>
      </c>
      <c r="S186" s="590"/>
      <c r="T186" s="592"/>
      <c r="U186" s="592"/>
    </row>
    <row r="187" spans="1:22" ht="21" customHeight="1" x14ac:dyDescent="0.2">
      <c r="A187" s="570"/>
      <c r="B187" s="756"/>
      <c r="C187" s="9"/>
      <c r="D187" s="2318"/>
      <c r="E187" s="402"/>
      <c r="F187" s="747"/>
      <c r="G187" s="206"/>
      <c r="H187" s="792"/>
      <c r="I187" s="814"/>
      <c r="J187" s="94"/>
      <c r="K187" s="792"/>
      <c r="L187" s="814"/>
      <c r="M187" s="94"/>
      <c r="N187" s="792"/>
      <c r="O187" s="814"/>
      <c r="P187" s="99"/>
      <c r="Q187" s="338" t="s">
        <v>142</v>
      </c>
      <c r="R187" s="337">
        <v>8</v>
      </c>
      <c r="S187" s="140"/>
      <c r="T187" s="41"/>
      <c r="U187" s="41"/>
    </row>
    <row r="188" spans="1:22" ht="26.25" customHeight="1" x14ac:dyDescent="0.2">
      <c r="A188" s="570"/>
      <c r="B188" s="756"/>
      <c r="C188" s="9"/>
      <c r="D188" s="2317" t="s">
        <v>157</v>
      </c>
      <c r="E188" s="763"/>
      <c r="F188" s="791"/>
      <c r="G188" s="34"/>
      <c r="H188" s="646"/>
      <c r="I188" s="642"/>
      <c r="J188" s="125"/>
      <c r="K188" s="646"/>
      <c r="L188" s="642"/>
      <c r="M188" s="125"/>
      <c r="N188" s="646"/>
      <c r="O188" s="642"/>
      <c r="P188" s="125"/>
      <c r="Q188" s="752" t="s">
        <v>131</v>
      </c>
      <c r="R188" s="484">
        <v>12</v>
      </c>
      <c r="S188" s="590">
        <v>8</v>
      </c>
      <c r="T188" s="592">
        <v>20</v>
      </c>
      <c r="U188" s="592"/>
    </row>
    <row r="189" spans="1:22" ht="17.25" customHeight="1" thickBot="1" x14ac:dyDescent="0.25">
      <c r="A189" s="575"/>
      <c r="B189" s="794"/>
      <c r="C189" s="8"/>
      <c r="D189" s="2306"/>
      <c r="E189" s="766"/>
      <c r="F189" s="787"/>
      <c r="G189" s="32" t="s">
        <v>16</v>
      </c>
      <c r="H189" s="103">
        <f>SUM(H176:H188)</f>
        <v>232.2</v>
      </c>
      <c r="I189" s="252">
        <f>SUM(I176:I188)</f>
        <v>233.89999999999998</v>
      </c>
      <c r="J189" s="252">
        <f>SUM(J176:J188)</f>
        <v>1.6999999999999886</v>
      </c>
      <c r="K189" s="103">
        <f>SUM(K176:K188)</f>
        <v>174.2</v>
      </c>
      <c r="L189" s="252">
        <f>SUM(L176:L188)</f>
        <v>174.2</v>
      </c>
      <c r="M189" s="104"/>
      <c r="N189" s="103">
        <f>SUM(N176:N188)</f>
        <v>191.3</v>
      </c>
      <c r="O189" s="252">
        <f>SUM(O176:O188)</f>
        <v>191.3</v>
      </c>
      <c r="P189" s="104"/>
      <c r="Q189" s="538"/>
      <c r="R189" s="494"/>
      <c r="S189" s="318"/>
      <c r="T189" s="156"/>
      <c r="U189" s="156"/>
    </row>
    <row r="190" spans="1:22" ht="18" customHeight="1" thickBot="1" x14ac:dyDescent="0.25">
      <c r="A190" s="765" t="s">
        <v>17</v>
      </c>
      <c r="B190" s="794" t="s">
        <v>17</v>
      </c>
      <c r="C190" s="2321" t="s">
        <v>20</v>
      </c>
      <c r="D190" s="2322"/>
      <c r="E190" s="2322"/>
      <c r="F190" s="2322"/>
      <c r="G190" s="2322"/>
      <c r="H190" s="262">
        <f>H189+H175+H173</f>
        <v>341.3</v>
      </c>
      <c r="I190" s="264">
        <f>I189+I175+I173</f>
        <v>343</v>
      </c>
      <c r="J190" s="264">
        <f>J189+J175+J173</f>
        <v>1.6999999999999886</v>
      </c>
      <c r="K190" s="109">
        <f>K189+K175+K173</f>
        <v>232</v>
      </c>
      <c r="L190" s="254">
        <f>L189+L175+L173</f>
        <v>232</v>
      </c>
      <c r="M190" s="321"/>
      <c r="N190" s="262">
        <f>N189+N175+N173</f>
        <v>191.3</v>
      </c>
      <c r="O190" s="264">
        <f>O189+O175+O173</f>
        <v>191.3</v>
      </c>
      <c r="P190" s="344"/>
      <c r="Q190" s="2283"/>
      <c r="R190" s="2284"/>
      <c r="S190" s="2284"/>
      <c r="T190" s="2284"/>
      <c r="U190" s="2285"/>
    </row>
    <row r="191" spans="1:22" ht="17.25" customHeight="1" thickBot="1" x14ac:dyDescent="0.25">
      <c r="A191" s="561" t="s">
        <v>17</v>
      </c>
      <c r="B191" s="11" t="s">
        <v>19</v>
      </c>
      <c r="C191" s="2323" t="s">
        <v>34</v>
      </c>
      <c r="D191" s="2323"/>
      <c r="E191" s="2323"/>
      <c r="F191" s="2323"/>
      <c r="G191" s="2323"/>
      <c r="H191" s="2323"/>
      <c r="I191" s="2323"/>
      <c r="J191" s="2323"/>
      <c r="K191" s="2323"/>
      <c r="L191" s="2323"/>
      <c r="M191" s="2323"/>
      <c r="N191" s="2323"/>
      <c r="O191" s="2323"/>
      <c r="P191" s="2323"/>
      <c r="Q191" s="2323"/>
      <c r="R191" s="2323"/>
      <c r="S191" s="2323"/>
      <c r="T191" s="2323"/>
      <c r="U191" s="2324"/>
    </row>
    <row r="192" spans="1:22" ht="15.75" customHeight="1" x14ac:dyDescent="0.2">
      <c r="A192" s="572" t="s">
        <v>17</v>
      </c>
      <c r="B192" s="793" t="s">
        <v>19</v>
      </c>
      <c r="C192" s="781" t="s">
        <v>14</v>
      </c>
      <c r="D192" s="2325" t="s">
        <v>35</v>
      </c>
      <c r="E192" s="762"/>
      <c r="F192" s="47">
        <v>6</v>
      </c>
      <c r="G192" s="33" t="s">
        <v>15</v>
      </c>
      <c r="H192" s="870">
        <f>2241.5+53.6</f>
        <v>2295.1</v>
      </c>
      <c r="I192" s="666">
        <f>2241.5+53.6-41+63.7</f>
        <v>2317.7999999999997</v>
      </c>
      <c r="J192" s="901">
        <f>+I192-H192</f>
        <v>22.699999999999818</v>
      </c>
      <c r="K192" s="330">
        <v>2953.2</v>
      </c>
      <c r="L192" s="304">
        <v>2953.2</v>
      </c>
      <c r="M192" s="151"/>
      <c r="N192" s="330">
        <v>2843.2</v>
      </c>
      <c r="O192" s="304">
        <v>2843.2</v>
      </c>
      <c r="P192" s="151"/>
      <c r="Q192" s="48"/>
      <c r="R192" s="48"/>
      <c r="S192" s="146"/>
      <c r="T192" s="586"/>
      <c r="U192" s="874"/>
    </row>
    <row r="193" spans="1:24" ht="15.75" customHeight="1" x14ac:dyDescent="0.2">
      <c r="A193" s="570"/>
      <c r="B193" s="756"/>
      <c r="C193" s="789"/>
      <c r="D193" s="2326"/>
      <c r="E193" s="763"/>
      <c r="F193" s="774"/>
      <c r="G193" s="182" t="s">
        <v>110</v>
      </c>
      <c r="H193" s="871">
        <v>35.700000000000003</v>
      </c>
      <c r="I193" s="305">
        <v>35.700000000000003</v>
      </c>
      <c r="J193" s="277"/>
      <c r="K193" s="331"/>
      <c r="L193" s="305"/>
      <c r="M193" s="277"/>
      <c r="N193" s="331"/>
      <c r="O193" s="305"/>
      <c r="P193" s="277"/>
      <c r="Q193" s="72"/>
      <c r="R193" s="72"/>
      <c r="S193" s="121"/>
      <c r="T193" s="82"/>
      <c r="U193" s="671"/>
    </row>
    <row r="194" spans="1:24" s="44" customFormat="1" ht="15.75" customHeight="1" x14ac:dyDescent="0.2">
      <c r="A194" s="570"/>
      <c r="B194" s="756"/>
      <c r="C194" s="789"/>
      <c r="D194" s="2327"/>
      <c r="E194" s="763"/>
      <c r="F194" s="774"/>
      <c r="G194" s="71" t="s">
        <v>18</v>
      </c>
      <c r="H194" s="292">
        <v>7.4</v>
      </c>
      <c r="I194" s="251">
        <v>7.4</v>
      </c>
      <c r="J194" s="98"/>
      <c r="K194" s="675">
        <v>7.4</v>
      </c>
      <c r="L194" s="677">
        <v>7.4</v>
      </c>
      <c r="M194" s="115"/>
      <c r="N194" s="675">
        <v>7.4</v>
      </c>
      <c r="O194" s="677">
        <f>+I194</f>
        <v>7.4</v>
      </c>
      <c r="P194" s="115"/>
      <c r="Q194" s="72"/>
      <c r="R194" s="72"/>
      <c r="S194" s="121"/>
      <c r="T194" s="82"/>
      <c r="U194" s="671"/>
    </row>
    <row r="195" spans="1:24" ht="93" customHeight="1" x14ac:dyDescent="0.2">
      <c r="A195" s="570"/>
      <c r="B195" s="756"/>
      <c r="C195" s="746"/>
      <c r="D195" s="880" t="s">
        <v>266</v>
      </c>
      <c r="E195" s="763"/>
      <c r="F195" s="774"/>
      <c r="G195" s="34"/>
      <c r="H195" s="738"/>
      <c r="I195" s="814"/>
      <c r="J195" s="99"/>
      <c r="K195" s="792"/>
      <c r="L195" s="814"/>
      <c r="M195" s="99"/>
      <c r="N195" s="792"/>
      <c r="O195" s="814"/>
      <c r="P195" s="99"/>
      <c r="Q195" s="176" t="s">
        <v>211</v>
      </c>
      <c r="R195" s="879" t="s">
        <v>279</v>
      </c>
      <c r="S195" s="140">
        <v>17</v>
      </c>
      <c r="T195" s="41">
        <v>17</v>
      </c>
      <c r="U195" s="2277" t="s">
        <v>310</v>
      </c>
    </row>
    <row r="196" spans="1:24" s="44" customFormat="1" ht="30.75" customHeight="1" x14ac:dyDescent="0.2">
      <c r="A196" s="570"/>
      <c r="B196" s="756"/>
      <c r="C196" s="746"/>
      <c r="D196" s="632" t="s">
        <v>95</v>
      </c>
      <c r="E196" s="763"/>
      <c r="F196" s="774"/>
      <c r="G196" s="34"/>
      <c r="H196" s="105"/>
      <c r="I196" s="248"/>
      <c r="J196" s="95"/>
      <c r="K196" s="792"/>
      <c r="L196" s="814"/>
      <c r="M196" s="99"/>
      <c r="N196" s="792"/>
      <c r="O196" s="814"/>
      <c r="P196" s="99"/>
      <c r="Q196" s="768" t="s">
        <v>131</v>
      </c>
      <c r="R196" s="638">
        <v>93</v>
      </c>
      <c r="S196" s="427">
        <v>93</v>
      </c>
      <c r="T196" s="28">
        <v>93</v>
      </c>
      <c r="U196" s="2277"/>
    </row>
    <row r="197" spans="1:24" ht="28.5" customHeight="1" x14ac:dyDescent="0.2">
      <c r="A197" s="570"/>
      <c r="B197" s="756"/>
      <c r="C197" s="789"/>
      <c r="D197" s="49" t="s">
        <v>40</v>
      </c>
      <c r="E197" s="763"/>
      <c r="F197" s="774"/>
      <c r="G197" s="34"/>
      <c r="H197" s="105"/>
      <c r="I197" s="248"/>
      <c r="J197" s="95"/>
      <c r="K197" s="105"/>
      <c r="L197" s="248"/>
      <c r="M197" s="95"/>
      <c r="N197" s="105"/>
      <c r="O197" s="248"/>
      <c r="P197" s="95"/>
      <c r="Q197" s="768" t="s">
        <v>212</v>
      </c>
      <c r="R197" s="237">
        <v>30</v>
      </c>
      <c r="S197" s="427">
        <v>30</v>
      </c>
      <c r="T197" s="28">
        <v>30</v>
      </c>
      <c r="U197" s="2277"/>
    </row>
    <row r="198" spans="1:24" ht="29.25" customHeight="1" x14ac:dyDescent="0.2">
      <c r="A198" s="570"/>
      <c r="B198" s="756"/>
      <c r="C198" s="746"/>
      <c r="D198" s="73" t="s">
        <v>42</v>
      </c>
      <c r="E198" s="763"/>
      <c r="F198" s="774"/>
      <c r="G198" s="34"/>
      <c r="H198" s="105"/>
      <c r="I198" s="248"/>
      <c r="J198" s="95"/>
      <c r="K198" s="105"/>
      <c r="L198" s="248"/>
      <c r="M198" s="95"/>
      <c r="N198" s="105"/>
      <c r="O198" s="248"/>
      <c r="P198" s="95"/>
      <c r="Q198" s="176" t="s">
        <v>213</v>
      </c>
      <c r="R198" s="518">
        <v>3</v>
      </c>
      <c r="S198" s="241">
        <f>+R198</f>
        <v>3</v>
      </c>
      <c r="T198" s="183">
        <v>3</v>
      </c>
      <c r="U198" s="2277"/>
    </row>
    <row r="199" spans="1:24" ht="18" customHeight="1" x14ac:dyDescent="0.2">
      <c r="A199" s="570"/>
      <c r="B199" s="756"/>
      <c r="C199" s="746"/>
      <c r="D199" s="632" t="s">
        <v>39</v>
      </c>
      <c r="E199" s="763"/>
      <c r="F199" s="774"/>
      <c r="G199" s="34"/>
      <c r="H199" s="105"/>
      <c r="I199" s="248"/>
      <c r="J199" s="95"/>
      <c r="K199" s="792"/>
      <c r="L199" s="814"/>
      <c r="M199" s="99"/>
      <c r="N199" s="792"/>
      <c r="O199" s="814"/>
      <c r="P199" s="99"/>
      <c r="Q199" s="768" t="s">
        <v>43</v>
      </c>
      <c r="R199" s="35">
        <v>33</v>
      </c>
      <c r="S199" s="427">
        <f t="shared" ref="S199:S200" si="31">+R199</f>
        <v>33</v>
      </c>
      <c r="T199" s="28">
        <v>33</v>
      </c>
      <c r="U199" s="2277"/>
      <c r="V199" s="44"/>
      <c r="X199" s="75"/>
    </row>
    <row r="200" spans="1:24" ht="30.75" customHeight="1" x14ac:dyDescent="0.2">
      <c r="A200" s="570"/>
      <c r="B200" s="756"/>
      <c r="C200" s="789"/>
      <c r="D200" s="242" t="s">
        <v>127</v>
      </c>
      <c r="E200" s="763"/>
      <c r="F200" s="774"/>
      <c r="G200" s="34"/>
      <c r="H200" s="105"/>
      <c r="I200" s="248"/>
      <c r="J200" s="95"/>
      <c r="K200" s="792"/>
      <c r="L200" s="814"/>
      <c r="M200" s="99"/>
      <c r="N200" s="792"/>
      <c r="O200" s="814"/>
      <c r="P200" s="99"/>
      <c r="Q200" s="767" t="s">
        <v>214</v>
      </c>
      <c r="R200" s="70">
        <v>7</v>
      </c>
      <c r="S200" s="241">
        <f t="shared" si="31"/>
        <v>7</v>
      </c>
      <c r="T200" s="183">
        <v>7</v>
      </c>
      <c r="U200" s="2277"/>
      <c r="V200" s="44"/>
      <c r="X200" s="75"/>
    </row>
    <row r="201" spans="1:24" ht="14.25" customHeight="1" x14ac:dyDescent="0.2">
      <c r="A201" s="570"/>
      <c r="B201" s="756"/>
      <c r="C201" s="789"/>
      <c r="D201" s="754" t="s">
        <v>41</v>
      </c>
      <c r="E201" s="763"/>
      <c r="F201" s="774"/>
      <c r="G201" s="34"/>
      <c r="H201" s="105"/>
      <c r="I201" s="248"/>
      <c r="J201" s="95"/>
      <c r="K201" s="792"/>
      <c r="L201" s="814"/>
      <c r="M201" s="99"/>
      <c r="N201" s="792"/>
      <c r="O201" s="814"/>
      <c r="P201" s="99"/>
      <c r="Q201" s="2313" t="s">
        <v>215</v>
      </c>
      <c r="R201" s="21">
        <v>101</v>
      </c>
      <c r="S201" s="590">
        <f>+R201</f>
        <v>101</v>
      </c>
      <c r="T201" s="592">
        <v>101</v>
      </c>
      <c r="U201" s="2277"/>
      <c r="V201" s="44"/>
      <c r="X201" s="75"/>
    </row>
    <row r="202" spans="1:24" ht="14.25" customHeight="1" x14ac:dyDescent="0.2">
      <c r="A202" s="570"/>
      <c r="B202" s="756"/>
      <c r="C202" s="789"/>
      <c r="D202" s="588"/>
      <c r="E202" s="763"/>
      <c r="F202" s="774"/>
      <c r="G202" s="21"/>
      <c r="H202" s="105"/>
      <c r="I202" s="248"/>
      <c r="J202" s="95"/>
      <c r="K202" s="792"/>
      <c r="L202" s="814"/>
      <c r="M202" s="99"/>
      <c r="N202" s="792"/>
      <c r="O202" s="814"/>
      <c r="P202" s="99"/>
      <c r="Q202" s="2314"/>
      <c r="R202" s="21"/>
      <c r="S202" s="590"/>
      <c r="T202" s="592"/>
      <c r="U202" s="2274"/>
      <c r="V202" s="44"/>
      <c r="X202" s="75"/>
    </row>
    <row r="203" spans="1:24" ht="31.5" customHeight="1" x14ac:dyDescent="0.2">
      <c r="A203" s="570"/>
      <c r="B203" s="756"/>
      <c r="C203" s="746"/>
      <c r="D203" s="875" t="s">
        <v>50</v>
      </c>
      <c r="E203" s="50"/>
      <c r="F203" s="114"/>
      <c r="G203" s="21"/>
      <c r="H203" s="105"/>
      <c r="I203" s="248"/>
      <c r="J203" s="95"/>
      <c r="K203" s="792"/>
      <c r="L203" s="814"/>
      <c r="M203" s="99"/>
      <c r="N203" s="792"/>
      <c r="O203" s="814"/>
      <c r="P203" s="99"/>
      <c r="Q203" s="384" t="s">
        <v>131</v>
      </c>
      <c r="R203" s="876" t="s">
        <v>278</v>
      </c>
      <c r="S203" s="140">
        <v>16</v>
      </c>
      <c r="T203" s="41">
        <v>16</v>
      </c>
      <c r="U203" s="2299" t="s">
        <v>304</v>
      </c>
      <c r="V203" s="65"/>
      <c r="X203" s="75"/>
    </row>
    <row r="204" spans="1:24" ht="54.75" customHeight="1" x14ac:dyDescent="0.2">
      <c r="A204" s="570"/>
      <c r="B204" s="756"/>
      <c r="C204" s="746"/>
      <c r="D204" s="199" t="s">
        <v>250</v>
      </c>
      <c r="E204" s="50"/>
      <c r="F204" s="114"/>
      <c r="G204" s="21"/>
      <c r="H204" s="105"/>
      <c r="I204" s="248"/>
      <c r="J204" s="95"/>
      <c r="K204" s="792"/>
      <c r="L204" s="814"/>
      <c r="M204" s="99"/>
      <c r="N204" s="792"/>
      <c r="O204" s="814"/>
      <c r="P204" s="99"/>
      <c r="Q204" s="384" t="s">
        <v>131</v>
      </c>
      <c r="R204" s="517">
        <v>1</v>
      </c>
      <c r="S204" s="241">
        <f t="shared" ref="S204:S205" si="32">+R204</f>
        <v>1</v>
      </c>
      <c r="T204" s="183">
        <v>1</v>
      </c>
      <c r="U204" s="2315"/>
      <c r="V204" s="22"/>
      <c r="X204" s="75"/>
    </row>
    <row r="205" spans="1:24" ht="30.75" customHeight="1" x14ac:dyDescent="0.2">
      <c r="A205" s="570"/>
      <c r="B205" s="756"/>
      <c r="C205" s="746"/>
      <c r="D205" s="770" t="s">
        <v>61</v>
      </c>
      <c r="E205" s="50"/>
      <c r="F205" s="114"/>
      <c r="G205" s="21"/>
      <c r="H205" s="105"/>
      <c r="I205" s="248"/>
      <c r="J205" s="95"/>
      <c r="K205" s="792"/>
      <c r="L205" s="814"/>
      <c r="M205" s="99"/>
      <c r="N205" s="792"/>
      <c r="O205" s="814"/>
      <c r="P205" s="99"/>
      <c r="Q205" s="384" t="s">
        <v>131</v>
      </c>
      <c r="R205" s="35">
        <v>7</v>
      </c>
      <c r="S205" s="591">
        <f t="shared" si="32"/>
        <v>7</v>
      </c>
      <c r="T205" s="593">
        <v>7</v>
      </c>
      <c r="U205" s="2315"/>
    </row>
    <row r="206" spans="1:24" ht="24.75" customHeight="1" x14ac:dyDescent="0.2">
      <c r="A206" s="570"/>
      <c r="B206" s="756"/>
      <c r="C206" s="746"/>
      <c r="D206" s="770" t="s">
        <v>86</v>
      </c>
      <c r="E206" s="50"/>
      <c r="F206" s="114"/>
      <c r="G206" s="21"/>
      <c r="H206" s="105"/>
      <c r="I206" s="248"/>
      <c r="J206" s="95"/>
      <c r="K206" s="792"/>
      <c r="L206" s="814"/>
      <c r="M206" s="99"/>
      <c r="N206" s="792"/>
      <c r="O206" s="814"/>
      <c r="P206" s="99"/>
      <c r="Q206" s="384" t="s">
        <v>131</v>
      </c>
      <c r="R206" s="35">
        <v>10</v>
      </c>
      <c r="S206" s="591">
        <v>10</v>
      </c>
      <c r="T206" s="593">
        <v>10</v>
      </c>
      <c r="U206" s="2316"/>
    </row>
    <row r="207" spans="1:24" ht="65.25" customHeight="1" x14ac:dyDescent="0.2">
      <c r="A207" s="570"/>
      <c r="B207" s="756"/>
      <c r="C207" s="746"/>
      <c r="D207" s="770" t="s">
        <v>251</v>
      </c>
      <c r="E207" s="539" t="s">
        <v>49</v>
      </c>
      <c r="F207" s="774"/>
      <c r="G207" s="34"/>
      <c r="H207" s="792"/>
      <c r="I207" s="814"/>
      <c r="J207" s="99"/>
      <c r="K207" s="792"/>
      <c r="L207" s="814"/>
      <c r="M207" s="99"/>
      <c r="N207" s="792"/>
      <c r="O207" s="814"/>
      <c r="P207" s="99"/>
      <c r="Q207" s="384" t="s">
        <v>131</v>
      </c>
      <c r="R207" s="35"/>
      <c r="S207" s="591">
        <v>5</v>
      </c>
      <c r="T207" s="593"/>
      <c r="U207" s="593"/>
    </row>
    <row r="208" spans="1:24" ht="26.25" customHeight="1" x14ac:dyDescent="0.2">
      <c r="A208" s="570"/>
      <c r="B208" s="756"/>
      <c r="C208" s="789"/>
      <c r="D208" s="2317" t="s">
        <v>252</v>
      </c>
      <c r="E208" s="790"/>
      <c r="F208" s="774"/>
      <c r="G208" s="34"/>
      <c r="H208" s="105"/>
      <c r="I208" s="248"/>
      <c r="J208" s="95"/>
      <c r="K208" s="792"/>
      <c r="L208" s="814"/>
      <c r="M208" s="99"/>
      <c r="N208" s="792"/>
      <c r="O208" s="814"/>
      <c r="P208" s="99"/>
      <c r="Q208" s="780" t="s">
        <v>216</v>
      </c>
      <c r="R208" s="21">
        <v>2</v>
      </c>
      <c r="S208" s="590"/>
      <c r="T208" s="592"/>
      <c r="U208" s="592"/>
    </row>
    <row r="209" spans="1:34" ht="15.75" customHeight="1" x14ac:dyDescent="0.2">
      <c r="A209" s="570"/>
      <c r="B209" s="756"/>
      <c r="C209" s="789"/>
      <c r="D209" s="2318"/>
      <c r="E209" s="790"/>
      <c r="F209" s="774"/>
      <c r="G209" s="34"/>
      <c r="H209" s="105"/>
      <c r="I209" s="248"/>
      <c r="J209" s="95"/>
      <c r="K209" s="792"/>
      <c r="L209" s="814"/>
      <c r="M209" s="99"/>
      <c r="N209" s="792"/>
      <c r="O209" s="814"/>
      <c r="P209" s="99"/>
      <c r="Q209" s="176" t="s">
        <v>131</v>
      </c>
      <c r="R209" s="70"/>
      <c r="S209" s="140">
        <v>1</v>
      </c>
      <c r="T209" s="41">
        <v>1</v>
      </c>
      <c r="U209" s="41"/>
    </row>
    <row r="210" spans="1:34" ht="27.75" customHeight="1" x14ac:dyDescent="0.2">
      <c r="A210" s="570"/>
      <c r="B210" s="756"/>
      <c r="C210" s="789"/>
      <c r="D210" s="2317" t="s">
        <v>253</v>
      </c>
      <c r="E210" s="2319" t="s">
        <v>49</v>
      </c>
      <c r="F210" s="774"/>
      <c r="G210" s="34"/>
      <c r="H210" s="105"/>
      <c r="I210" s="248"/>
      <c r="J210" s="95"/>
      <c r="K210" s="792"/>
      <c r="L210" s="814"/>
      <c r="M210" s="99"/>
      <c r="N210" s="792"/>
      <c r="O210" s="814"/>
      <c r="P210" s="99"/>
      <c r="Q210" s="780" t="s">
        <v>217</v>
      </c>
      <c r="R210" s="70">
        <v>3</v>
      </c>
      <c r="S210" s="140"/>
      <c r="T210" s="41"/>
      <c r="U210" s="41"/>
    </row>
    <row r="211" spans="1:34" ht="27.75" customHeight="1" x14ac:dyDescent="0.2">
      <c r="A211" s="570"/>
      <c r="B211" s="756"/>
      <c r="C211" s="789"/>
      <c r="D211" s="2318"/>
      <c r="E211" s="2320"/>
      <c r="F211" s="774"/>
      <c r="G211" s="34"/>
      <c r="H211" s="105"/>
      <c r="I211" s="248"/>
      <c r="J211" s="95"/>
      <c r="K211" s="792"/>
      <c r="L211" s="814"/>
      <c r="M211" s="99"/>
      <c r="N211" s="792"/>
      <c r="O211" s="814"/>
      <c r="P211" s="99"/>
      <c r="Q211" s="176" t="s">
        <v>233</v>
      </c>
      <c r="R211" s="71">
        <v>3</v>
      </c>
      <c r="S211" s="138"/>
      <c r="T211" s="239"/>
      <c r="U211" s="239"/>
    </row>
    <row r="212" spans="1:34" ht="18" customHeight="1" x14ac:dyDescent="0.2">
      <c r="A212" s="570"/>
      <c r="B212" s="756"/>
      <c r="C212" s="789"/>
      <c r="D212" s="2297" t="s">
        <v>171</v>
      </c>
      <c r="E212" s="430"/>
      <c r="F212" s="747"/>
      <c r="G212" s="206"/>
      <c r="H212" s="792"/>
      <c r="I212" s="814"/>
      <c r="J212" s="99"/>
      <c r="K212" s="792"/>
      <c r="L212" s="814"/>
      <c r="M212" s="99"/>
      <c r="N212" s="792"/>
      <c r="O212" s="814"/>
      <c r="P212" s="99"/>
      <c r="Q212" s="767" t="s">
        <v>131</v>
      </c>
      <c r="R212" s="179">
        <v>33</v>
      </c>
      <c r="S212" s="872">
        <v>33</v>
      </c>
      <c r="T212" s="43">
        <v>33</v>
      </c>
      <c r="U212" s="2299"/>
    </row>
    <row r="213" spans="1:34" ht="16.5" customHeight="1" thickBot="1" x14ac:dyDescent="0.25">
      <c r="A213" s="570"/>
      <c r="B213" s="756"/>
      <c r="C213" s="789"/>
      <c r="D213" s="2298"/>
      <c r="E213" s="766"/>
      <c r="F213" s="150"/>
      <c r="G213" s="36" t="s">
        <v>16</v>
      </c>
      <c r="H213" s="103">
        <f>SUM(H192:H212)</f>
        <v>2338.1999999999998</v>
      </c>
      <c r="I213" s="252">
        <f>SUM(I192:I212)</f>
        <v>2360.8999999999996</v>
      </c>
      <c r="J213" s="308">
        <f>SUM(J192:J212)</f>
        <v>22.699999999999818</v>
      </c>
      <c r="K213" s="103">
        <f>SUM(K192:K212)</f>
        <v>2960.6</v>
      </c>
      <c r="L213" s="252">
        <f>SUM(L192:L212)</f>
        <v>2960.6</v>
      </c>
      <c r="M213" s="107"/>
      <c r="N213" s="103">
        <f>SUM(N192:N212)</f>
        <v>2850.6</v>
      </c>
      <c r="O213" s="252">
        <f>SUM(O192:O212)</f>
        <v>2850.6</v>
      </c>
      <c r="P213" s="107"/>
      <c r="Q213" s="470"/>
      <c r="R213" s="514"/>
      <c r="S213" s="147"/>
      <c r="T213" s="587"/>
      <c r="U213" s="2300"/>
    </row>
    <row r="214" spans="1:34" ht="27.75" customHeight="1" x14ac:dyDescent="0.2">
      <c r="A214" s="2301" t="s">
        <v>17</v>
      </c>
      <c r="B214" s="2303" t="s">
        <v>19</v>
      </c>
      <c r="C214" s="10" t="s">
        <v>17</v>
      </c>
      <c r="D214" s="2305" t="s">
        <v>38</v>
      </c>
      <c r="E214" s="2307"/>
      <c r="F214" s="2309">
        <v>2</v>
      </c>
      <c r="G214" s="185" t="s">
        <v>15</v>
      </c>
      <c r="H214" s="105">
        <v>31.3</v>
      </c>
      <c r="I214" s="248">
        <v>31.3</v>
      </c>
      <c r="J214" s="108"/>
      <c r="K214" s="105">
        <v>32</v>
      </c>
      <c r="L214" s="248">
        <v>32</v>
      </c>
      <c r="M214" s="95"/>
      <c r="N214" s="105">
        <v>32</v>
      </c>
      <c r="O214" s="248">
        <v>32</v>
      </c>
      <c r="P214" s="95"/>
      <c r="Q214" s="2311" t="s">
        <v>218</v>
      </c>
      <c r="R214" s="212">
        <v>300</v>
      </c>
      <c r="S214" s="146">
        <v>300</v>
      </c>
      <c r="T214" s="586">
        <v>300</v>
      </c>
      <c r="U214" s="586"/>
    </row>
    <row r="215" spans="1:34" ht="15.75" customHeight="1" thickBot="1" x14ac:dyDescent="0.25">
      <c r="A215" s="2302"/>
      <c r="B215" s="2304"/>
      <c r="C215" s="196"/>
      <c r="D215" s="2306"/>
      <c r="E215" s="2308"/>
      <c r="F215" s="2310"/>
      <c r="G215" s="36" t="s">
        <v>16</v>
      </c>
      <c r="H215" s="103">
        <f t="shared" ref="H215:K215" si="33">SUM(H214)</f>
        <v>31.3</v>
      </c>
      <c r="I215" s="252">
        <f t="shared" ref="I215" si="34">SUM(I214)</f>
        <v>31.3</v>
      </c>
      <c r="J215" s="104"/>
      <c r="K215" s="103">
        <f t="shared" si="33"/>
        <v>32</v>
      </c>
      <c r="L215" s="252">
        <f t="shared" ref="L215" si="35">SUM(L214)</f>
        <v>32</v>
      </c>
      <c r="M215" s="107"/>
      <c r="N215" s="103">
        <f t="shared" ref="N215:O215" si="36">SUM(N214)</f>
        <v>32</v>
      </c>
      <c r="O215" s="252">
        <f t="shared" si="36"/>
        <v>32</v>
      </c>
      <c r="P215" s="107"/>
      <c r="Q215" s="2312"/>
      <c r="R215" s="514"/>
      <c r="S215" s="147"/>
      <c r="T215" s="587"/>
      <c r="U215" s="587"/>
    </row>
    <row r="216" spans="1:34" ht="39.75" customHeight="1" x14ac:dyDescent="0.2">
      <c r="A216" s="572" t="s">
        <v>17</v>
      </c>
      <c r="B216" s="793" t="s">
        <v>19</v>
      </c>
      <c r="C216" s="68" t="s">
        <v>19</v>
      </c>
      <c r="D216" s="2286" t="s">
        <v>170</v>
      </c>
      <c r="E216" s="743" t="s">
        <v>47</v>
      </c>
      <c r="F216" s="373">
        <v>2</v>
      </c>
      <c r="G216" s="33" t="s">
        <v>15</v>
      </c>
      <c r="H216" s="348">
        <v>26</v>
      </c>
      <c r="I216" s="900">
        <v>0</v>
      </c>
      <c r="J216" s="901">
        <f>+I216-H216</f>
        <v>-26</v>
      </c>
      <c r="K216" s="153">
        <v>15</v>
      </c>
      <c r="L216" s="257">
        <v>15</v>
      </c>
      <c r="M216" s="106"/>
      <c r="N216" s="153"/>
      <c r="O216" s="257"/>
      <c r="P216" s="106"/>
      <c r="Q216" s="336" t="s">
        <v>219</v>
      </c>
      <c r="R216" s="902" t="s">
        <v>288</v>
      </c>
      <c r="S216" s="558">
        <v>1</v>
      </c>
      <c r="T216" s="586"/>
      <c r="U216" s="2289" t="s">
        <v>311</v>
      </c>
    </row>
    <row r="217" spans="1:34" ht="99" customHeight="1" x14ac:dyDescent="0.2">
      <c r="A217" s="570"/>
      <c r="B217" s="756"/>
      <c r="C217" s="69"/>
      <c r="D217" s="2287"/>
      <c r="E217" s="745" t="s">
        <v>239</v>
      </c>
      <c r="F217" s="375"/>
      <c r="G217" s="34"/>
      <c r="H217" s="738"/>
      <c r="I217" s="814"/>
      <c r="J217" s="99"/>
      <c r="K217" s="105"/>
      <c r="L217" s="248"/>
      <c r="M217" s="95"/>
      <c r="N217" s="105"/>
      <c r="O217" s="248"/>
      <c r="P217" s="95"/>
      <c r="Q217" s="127"/>
      <c r="R217" s="520"/>
      <c r="S217" s="648"/>
      <c r="T217" s="82"/>
      <c r="U217" s="2290"/>
    </row>
    <row r="218" spans="1:34" ht="19.5" customHeight="1" thickBot="1" x14ac:dyDescent="0.25">
      <c r="A218" s="575"/>
      <c r="B218" s="794"/>
      <c r="C218" s="196"/>
      <c r="D218" s="2288"/>
      <c r="E218" s="744"/>
      <c r="F218" s="374"/>
      <c r="G218" s="285" t="s">
        <v>16</v>
      </c>
      <c r="H218" s="845">
        <f t="shared" ref="H218" si="37">+H216</f>
        <v>26</v>
      </c>
      <c r="I218" s="396">
        <f t="shared" ref="I218:J218" si="38">+I216</f>
        <v>0</v>
      </c>
      <c r="J218" s="846">
        <f t="shared" si="38"/>
        <v>-26</v>
      </c>
      <c r="K218" s="102">
        <f t="shared" ref="K218" si="39">+K216</f>
        <v>15</v>
      </c>
      <c r="L218" s="396">
        <f t="shared" ref="L218" si="40">+L216</f>
        <v>15</v>
      </c>
      <c r="M218" s="395"/>
      <c r="N218" s="102"/>
      <c r="O218" s="396"/>
      <c r="P218" s="395"/>
      <c r="Q218" s="177"/>
      <c r="R218" s="514"/>
      <c r="S218" s="147"/>
      <c r="T218" s="587"/>
      <c r="U218" s="2291"/>
    </row>
    <row r="219" spans="1:34" ht="15" customHeight="1" x14ac:dyDescent="0.2">
      <c r="A219" s="572" t="s">
        <v>17</v>
      </c>
      <c r="B219" s="793" t="s">
        <v>19</v>
      </c>
      <c r="C219" s="643" t="s">
        <v>21</v>
      </c>
      <c r="D219" s="2292" t="s">
        <v>98</v>
      </c>
      <c r="E219" s="193"/>
      <c r="F219" s="373">
        <v>6</v>
      </c>
      <c r="G219" s="234" t="s">
        <v>15</v>
      </c>
      <c r="H219" s="309">
        <f>1892.6-30</f>
        <v>1862.6</v>
      </c>
      <c r="I219" s="667">
        <f>1892.6-30-20.9-9-10+89.1</f>
        <v>1911.7999999999997</v>
      </c>
      <c r="J219" s="672">
        <f>+I219-H219</f>
        <v>49.199999999999818</v>
      </c>
      <c r="K219" s="332">
        <v>1885.6</v>
      </c>
      <c r="L219" s="350">
        <v>1885.6</v>
      </c>
      <c r="M219" s="341"/>
      <c r="N219" s="332">
        <v>1888.5</v>
      </c>
      <c r="O219" s="350">
        <v>1888.5</v>
      </c>
      <c r="P219" s="341"/>
      <c r="Q219" s="758"/>
      <c r="R219" s="212"/>
      <c r="S219" s="146"/>
      <c r="T219" s="586"/>
      <c r="U219" s="874"/>
      <c r="V219" s="306"/>
    </row>
    <row r="220" spans="1:34" ht="15" customHeight="1" x14ac:dyDescent="0.2">
      <c r="A220" s="570"/>
      <c r="B220" s="756"/>
      <c r="C220" s="746"/>
      <c r="D220" s="2293"/>
      <c r="E220" s="235"/>
      <c r="F220" s="375"/>
      <c r="G220" s="276" t="s">
        <v>110</v>
      </c>
      <c r="H220" s="873">
        <v>318.3</v>
      </c>
      <c r="I220" s="1074">
        <f>318.3+11.9</f>
        <v>330.2</v>
      </c>
      <c r="J220" s="1075">
        <f>+I220-H220</f>
        <v>11.899999999999977</v>
      </c>
      <c r="K220" s="323"/>
      <c r="L220" s="435"/>
      <c r="M220" s="245"/>
      <c r="N220" s="323"/>
      <c r="O220" s="435"/>
      <c r="P220" s="245"/>
      <c r="Q220" s="780"/>
      <c r="R220" s="213"/>
      <c r="S220" s="121"/>
      <c r="T220" s="82"/>
      <c r="U220" s="671"/>
      <c r="V220" s="306"/>
    </row>
    <row r="221" spans="1:34" s="14" customFormat="1" ht="80.25" customHeight="1" x14ac:dyDescent="0.2">
      <c r="A221" s="570"/>
      <c r="B221" s="756"/>
      <c r="C221" s="69"/>
      <c r="D221" s="1073" t="s">
        <v>85</v>
      </c>
      <c r="E221" s="391"/>
      <c r="F221" s="375"/>
      <c r="G221" s="184" t="s">
        <v>3</v>
      </c>
      <c r="H221" s="292">
        <v>324</v>
      </c>
      <c r="I221" s="251">
        <v>324</v>
      </c>
      <c r="J221" s="98">
        <f>+I221-H221</f>
        <v>0</v>
      </c>
      <c r="K221" s="101"/>
      <c r="L221" s="251"/>
      <c r="M221" s="98"/>
      <c r="N221" s="101"/>
      <c r="O221" s="251"/>
      <c r="P221" s="98"/>
      <c r="Q221" s="767" t="s">
        <v>220</v>
      </c>
      <c r="R221" s="238">
        <v>92</v>
      </c>
      <c r="S221" s="668">
        <v>92</v>
      </c>
      <c r="T221" s="669">
        <v>92</v>
      </c>
      <c r="U221" s="1076" t="s">
        <v>330</v>
      </c>
      <c r="V221" s="1"/>
      <c r="W221" s="1"/>
      <c r="X221" s="1"/>
      <c r="Y221" s="1"/>
      <c r="Z221" s="1"/>
      <c r="AA221" s="1"/>
      <c r="AB221" s="1"/>
      <c r="AC221" s="1"/>
      <c r="AD221" s="1"/>
      <c r="AE221" s="1"/>
      <c r="AF221" s="1"/>
      <c r="AG221" s="1"/>
      <c r="AH221" s="1"/>
    </row>
    <row r="222" spans="1:34" s="14" customFormat="1" ht="46.5" customHeight="1" x14ac:dyDescent="0.2">
      <c r="A222" s="570"/>
      <c r="B222" s="2294"/>
      <c r="C222" s="186"/>
      <c r="D222" s="2295" t="s">
        <v>92</v>
      </c>
      <c r="E222" s="392"/>
      <c r="F222" s="375"/>
      <c r="G222" s="187"/>
      <c r="H222" s="105"/>
      <c r="I222" s="248"/>
      <c r="J222" s="95"/>
      <c r="K222" s="792"/>
      <c r="L222" s="814"/>
      <c r="M222" s="99"/>
      <c r="N222" s="792"/>
      <c r="O222" s="814"/>
      <c r="P222" s="99"/>
      <c r="Q222" s="515" t="s">
        <v>221</v>
      </c>
      <c r="R222" s="502">
        <v>59</v>
      </c>
      <c r="S222" s="67">
        <v>79</v>
      </c>
      <c r="T222" s="41">
        <v>99</v>
      </c>
      <c r="U222" s="2277" t="s">
        <v>312</v>
      </c>
      <c r="V222" s="1"/>
      <c r="W222" s="1"/>
      <c r="X222" s="1"/>
      <c r="Y222" s="1"/>
      <c r="Z222" s="1"/>
      <c r="AA222" s="1"/>
      <c r="AB222" s="1"/>
      <c r="AC222" s="1"/>
      <c r="AD222" s="1"/>
      <c r="AE222" s="1"/>
      <c r="AF222" s="1"/>
      <c r="AG222" s="1"/>
      <c r="AH222" s="1"/>
    </row>
    <row r="223" spans="1:34" s="14" customFormat="1" ht="48" customHeight="1" x14ac:dyDescent="0.2">
      <c r="A223" s="570"/>
      <c r="B223" s="2294"/>
      <c r="C223" s="189"/>
      <c r="D223" s="2296"/>
      <c r="E223" s="391"/>
      <c r="F223" s="375"/>
      <c r="G223" s="187"/>
      <c r="H223" s="162"/>
      <c r="I223" s="253"/>
      <c r="J223" s="236"/>
      <c r="K223" s="162"/>
      <c r="L223" s="253"/>
      <c r="M223" s="236"/>
      <c r="N223" s="162"/>
      <c r="O223" s="253"/>
      <c r="P223" s="236"/>
      <c r="Q223" s="515" t="s">
        <v>222</v>
      </c>
      <c r="R223" s="521">
        <v>20</v>
      </c>
      <c r="S223" s="359">
        <v>20</v>
      </c>
      <c r="T223" s="243">
        <v>20</v>
      </c>
      <c r="U223" s="2277"/>
      <c r="V223" s="1"/>
      <c r="W223" s="1"/>
      <c r="X223" s="1"/>
      <c r="Y223" s="1"/>
      <c r="Z223" s="1"/>
      <c r="AA223" s="1"/>
      <c r="AB223" s="1"/>
      <c r="AC223" s="1"/>
      <c r="AD223" s="1"/>
      <c r="AE223" s="1"/>
      <c r="AF223" s="1"/>
      <c r="AG223" s="1"/>
      <c r="AH223" s="1"/>
    </row>
    <row r="224" spans="1:34" s="14" customFormat="1" ht="63.75" customHeight="1" x14ac:dyDescent="0.2">
      <c r="A224" s="570"/>
      <c r="B224" s="87"/>
      <c r="C224" s="186"/>
      <c r="D224" s="844" t="s">
        <v>93</v>
      </c>
      <c r="E224" s="392"/>
      <c r="F224" s="375"/>
      <c r="G224" s="187"/>
      <c r="H224" s="602"/>
      <c r="I224" s="265"/>
      <c r="J224" s="188"/>
      <c r="K224" s="602"/>
      <c r="L224" s="265"/>
      <c r="M224" s="188"/>
      <c r="N224" s="602"/>
      <c r="O224" s="265"/>
      <c r="P224" s="188"/>
      <c r="Q224" s="516" t="s">
        <v>223</v>
      </c>
      <c r="R224" s="882" t="s">
        <v>281</v>
      </c>
      <c r="S224" s="881">
        <v>4</v>
      </c>
      <c r="T224" s="592"/>
      <c r="U224" s="2273" t="s">
        <v>307</v>
      </c>
      <c r="V224" s="1"/>
      <c r="W224" s="1"/>
      <c r="X224" s="1"/>
      <c r="Y224" s="1"/>
      <c r="Z224" s="1"/>
      <c r="AA224" s="1"/>
      <c r="AB224" s="1"/>
      <c r="AC224" s="1"/>
      <c r="AD224" s="1"/>
      <c r="AE224" s="1"/>
      <c r="AF224" s="1"/>
      <c r="AG224" s="1"/>
      <c r="AH224" s="1"/>
    </row>
    <row r="225" spans="1:26" ht="120" customHeight="1" x14ac:dyDescent="0.2">
      <c r="A225" s="570"/>
      <c r="B225" s="87"/>
      <c r="C225" s="189"/>
      <c r="D225" s="843"/>
      <c r="E225" s="391"/>
      <c r="F225" s="375"/>
      <c r="G225" s="187"/>
      <c r="H225" s="162"/>
      <c r="I225" s="253"/>
      <c r="J225" s="236"/>
      <c r="K225" s="162"/>
      <c r="L225" s="253"/>
      <c r="M225" s="236"/>
      <c r="N225" s="162"/>
      <c r="O225" s="253"/>
      <c r="P225" s="236"/>
      <c r="Q225" s="515" t="s">
        <v>277</v>
      </c>
      <c r="R225" s="726"/>
      <c r="S225" s="359">
        <v>4</v>
      </c>
      <c r="T225" s="243"/>
      <c r="U225" s="2274"/>
    </row>
    <row r="226" spans="1:26" ht="44.25" customHeight="1" x14ac:dyDescent="0.2">
      <c r="A226" s="570"/>
      <c r="B226" s="756"/>
      <c r="C226" s="186"/>
      <c r="D226" s="2275" t="s">
        <v>254</v>
      </c>
      <c r="E226" s="392"/>
      <c r="F226" s="375"/>
      <c r="G226" s="187"/>
      <c r="H226" s="602"/>
      <c r="I226" s="265"/>
      <c r="J226" s="188"/>
      <c r="K226" s="602"/>
      <c r="L226" s="265"/>
      <c r="M226" s="188"/>
      <c r="N226" s="602"/>
      <c r="O226" s="265"/>
      <c r="P226" s="188"/>
      <c r="Q226" s="495" t="s">
        <v>56</v>
      </c>
      <c r="R226" s="519">
        <v>1</v>
      </c>
      <c r="S226" s="412"/>
      <c r="T226" s="239"/>
      <c r="U226" s="2315" t="s">
        <v>329</v>
      </c>
    </row>
    <row r="227" spans="1:26" ht="36.75" customHeight="1" x14ac:dyDescent="0.2">
      <c r="A227" s="570"/>
      <c r="B227" s="190"/>
      <c r="C227" s="372"/>
      <c r="D227" s="2275"/>
      <c r="E227" s="392"/>
      <c r="F227" s="375"/>
      <c r="G227" s="187"/>
      <c r="H227" s="603"/>
      <c r="I227" s="606"/>
      <c r="J227" s="615"/>
      <c r="K227" s="603"/>
      <c r="L227" s="606"/>
      <c r="M227" s="615"/>
      <c r="N227" s="603"/>
      <c r="O227" s="606"/>
      <c r="P227" s="615"/>
      <c r="Q227" s="2279"/>
      <c r="R227" s="504"/>
      <c r="S227" s="65"/>
      <c r="T227" s="592"/>
      <c r="U227" s="2315"/>
    </row>
    <row r="228" spans="1:26" ht="14.25" customHeight="1" thickBot="1" x14ac:dyDescent="0.25">
      <c r="A228" s="570"/>
      <c r="B228" s="190"/>
      <c r="C228" s="191"/>
      <c r="D228" s="2276"/>
      <c r="E228" s="393"/>
      <c r="F228" s="374"/>
      <c r="G228" s="16" t="s">
        <v>16</v>
      </c>
      <c r="H228" s="103">
        <f>SUM(H219:H227)</f>
        <v>2504.9</v>
      </c>
      <c r="I228" s="252">
        <f>SUM(I219:I227)</f>
        <v>2565.9999999999995</v>
      </c>
      <c r="J228" s="308">
        <f>SUM(J219:J227)</f>
        <v>61.099999999999795</v>
      </c>
      <c r="K228" s="103">
        <f>SUM(K219:K227)</f>
        <v>1885.6</v>
      </c>
      <c r="L228" s="252">
        <f>SUM(L219:L227)</f>
        <v>1885.6</v>
      </c>
      <c r="M228" s="107"/>
      <c r="N228" s="103">
        <f>SUM(N219:N227)</f>
        <v>1888.5</v>
      </c>
      <c r="O228" s="252">
        <f>SUM(O219:O227)</f>
        <v>1888.5</v>
      </c>
      <c r="P228" s="107"/>
      <c r="Q228" s="2280"/>
      <c r="R228" s="522"/>
      <c r="S228" s="407"/>
      <c r="T228" s="598"/>
      <c r="U228" s="2300"/>
    </row>
    <row r="229" spans="1:26" s="55" customFormat="1" ht="14.25" customHeight="1" thickBot="1" x14ac:dyDescent="0.25">
      <c r="A229" s="579" t="s">
        <v>17</v>
      </c>
      <c r="B229" s="6" t="s">
        <v>21</v>
      </c>
      <c r="C229" s="2281" t="s">
        <v>20</v>
      </c>
      <c r="D229" s="2282"/>
      <c r="E229" s="2282"/>
      <c r="F229" s="2282"/>
      <c r="G229" s="2282"/>
      <c r="H229" s="109">
        <f t="shared" ref="H229:P229" si="41">H215+H213+H218+H228</f>
        <v>4900.3999999999996</v>
      </c>
      <c r="I229" s="254">
        <f t="shared" si="41"/>
        <v>4958.1999999999989</v>
      </c>
      <c r="J229" s="254">
        <f t="shared" si="41"/>
        <v>57.799999999999613</v>
      </c>
      <c r="K229" s="109">
        <f t="shared" si="41"/>
        <v>4893.2</v>
      </c>
      <c r="L229" s="254">
        <f t="shared" si="41"/>
        <v>4893.2</v>
      </c>
      <c r="M229" s="254">
        <f t="shared" si="41"/>
        <v>0</v>
      </c>
      <c r="N229" s="109">
        <f t="shared" si="41"/>
        <v>4771.1000000000004</v>
      </c>
      <c r="O229" s="254">
        <f t="shared" si="41"/>
        <v>4771.1000000000004</v>
      </c>
      <c r="P229" s="254">
        <f t="shared" si="41"/>
        <v>0</v>
      </c>
      <c r="Q229" s="2283"/>
      <c r="R229" s="2284"/>
      <c r="S229" s="2284"/>
      <c r="T229" s="2284"/>
      <c r="U229" s="2285"/>
    </row>
    <row r="230" spans="1:26" s="39" customFormat="1" ht="14.25" customHeight="1" thickBot="1" x14ac:dyDescent="0.25">
      <c r="A230" s="579" t="s">
        <v>17</v>
      </c>
      <c r="B230" s="2262" t="s">
        <v>6</v>
      </c>
      <c r="C230" s="2262"/>
      <c r="D230" s="2262"/>
      <c r="E230" s="2262"/>
      <c r="F230" s="2262"/>
      <c r="G230" s="2262"/>
      <c r="H230" s="604">
        <f t="shared" ref="H230:P230" si="42">H229+H190+H170</f>
        <v>10417.599999999999</v>
      </c>
      <c r="I230" s="607">
        <f t="shared" si="42"/>
        <v>9276.6999999999989</v>
      </c>
      <c r="J230" s="607">
        <f t="shared" si="42"/>
        <v>-1140.9000000000005</v>
      </c>
      <c r="K230" s="604">
        <f t="shared" si="42"/>
        <v>18082.7</v>
      </c>
      <c r="L230" s="607">
        <f t="shared" si="42"/>
        <v>18538.3</v>
      </c>
      <c r="M230" s="607">
        <f t="shared" si="42"/>
        <v>455.59999999999991</v>
      </c>
      <c r="N230" s="604">
        <f t="shared" si="42"/>
        <v>15612.5</v>
      </c>
      <c r="O230" s="607">
        <f t="shared" si="42"/>
        <v>19175</v>
      </c>
      <c r="P230" s="607">
        <f t="shared" si="42"/>
        <v>662.5</v>
      </c>
      <c r="Q230" s="2263"/>
      <c r="R230" s="2264"/>
      <c r="S230" s="2264"/>
      <c r="T230" s="2264"/>
      <c r="U230" s="2265"/>
      <c r="X230" s="38"/>
      <c r="Z230" s="38"/>
    </row>
    <row r="231" spans="1:26" s="39" customFormat="1" ht="14.25" customHeight="1" thickBot="1" x14ac:dyDescent="0.25">
      <c r="A231" s="559" t="s">
        <v>5</v>
      </c>
      <c r="B231" s="2266" t="s">
        <v>7</v>
      </c>
      <c r="C231" s="2266"/>
      <c r="D231" s="2266"/>
      <c r="E231" s="2266"/>
      <c r="F231" s="2266"/>
      <c r="G231" s="2266"/>
      <c r="H231" s="605">
        <f t="shared" ref="H231:P231" si="43">H230+H99</f>
        <v>83749.100000000006</v>
      </c>
      <c r="I231" s="580">
        <f t="shared" si="43"/>
        <v>83658.8</v>
      </c>
      <c r="J231" s="580">
        <f t="shared" si="43"/>
        <v>-90.299999999998136</v>
      </c>
      <c r="K231" s="605">
        <f t="shared" si="43"/>
        <v>89518.099999999991</v>
      </c>
      <c r="L231" s="580">
        <f t="shared" si="43"/>
        <v>89973.7</v>
      </c>
      <c r="M231" s="580">
        <f t="shared" si="43"/>
        <v>455.59999999999991</v>
      </c>
      <c r="N231" s="605">
        <f t="shared" si="43"/>
        <v>86977.4</v>
      </c>
      <c r="O231" s="580">
        <f t="shared" si="43"/>
        <v>90539.9</v>
      </c>
      <c r="P231" s="580">
        <f t="shared" si="43"/>
        <v>662.5</v>
      </c>
      <c r="Q231" s="2267"/>
      <c r="R231" s="2268"/>
      <c r="S231" s="2268"/>
      <c r="T231" s="2268"/>
      <c r="U231" s="2269"/>
    </row>
    <row r="232" spans="1:26" s="815" customFormat="1" ht="17.25" customHeight="1" x14ac:dyDescent="0.2">
      <c r="A232" s="2270"/>
      <c r="B232" s="2270"/>
      <c r="C232" s="2270"/>
      <c r="D232" s="2270"/>
      <c r="E232" s="2270"/>
      <c r="F232" s="2270"/>
      <c r="G232" s="2270"/>
      <c r="H232" s="2270"/>
      <c r="I232" s="2270"/>
      <c r="J232" s="2270"/>
      <c r="K232" s="2270"/>
      <c r="L232" s="2270"/>
      <c r="M232" s="2270"/>
      <c r="N232" s="2270"/>
      <c r="O232" s="2270"/>
      <c r="P232" s="2270"/>
      <c r="Q232" s="2270"/>
      <c r="R232" s="2270"/>
      <c r="S232" s="2271"/>
      <c r="T232" s="2271"/>
      <c r="U232" s="2271"/>
      <c r="W232" s="52"/>
    </row>
    <row r="233" spans="1:26" s="39" customFormat="1" ht="17.25" customHeight="1" thickBot="1" x14ac:dyDescent="0.25">
      <c r="A233" s="2272" t="s">
        <v>0</v>
      </c>
      <c r="B233" s="2272"/>
      <c r="C233" s="2272"/>
      <c r="D233" s="2272"/>
      <c r="E233" s="2272"/>
      <c r="F233" s="2272"/>
      <c r="G233" s="2272"/>
      <c r="H233" s="2272"/>
      <c r="I233" s="2272"/>
      <c r="J233" s="2272"/>
      <c r="K233" s="2272"/>
      <c r="L233" s="2272"/>
      <c r="M233" s="2272"/>
      <c r="N233" s="2272"/>
      <c r="O233" s="2272"/>
      <c r="P233" s="2272"/>
      <c r="Q233" s="53"/>
      <c r="R233" s="116"/>
      <c r="S233" s="54"/>
      <c r="T233" s="54"/>
      <c r="U233" s="54"/>
    </row>
    <row r="234" spans="1:26" s="39" customFormat="1" ht="70.5" customHeight="1" thickBot="1" x14ac:dyDescent="0.25">
      <c r="A234" s="2258" t="s">
        <v>1</v>
      </c>
      <c r="B234" s="2259"/>
      <c r="C234" s="2259"/>
      <c r="D234" s="2259"/>
      <c r="E234" s="2259"/>
      <c r="F234" s="2259"/>
      <c r="G234" s="2259"/>
      <c r="H234" s="218" t="s">
        <v>256</v>
      </c>
      <c r="I234" s="267" t="s">
        <v>259</v>
      </c>
      <c r="J234" s="650" t="s">
        <v>109</v>
      </c>
      <c r="K234" s="364" t="s">
        <v>80</v>
      </c>
      <c r="L234" s="267" t="s">
        <v>263</v>
      </c>
      <c r="M234" s="650" t="s">
        <v>109</v>
      </c>
      <c r="N234" s="364" t="s">
        <v>126</v>
      </c>
      <c r="O234" s="625" t="s">
        <v>264</v>
      </c>
      <c r="P234" s="651" t="s">
        <v>109</v>
      </c>
      <c r="Q234" s="1437"/>
      <c r="R234" s="203"/>
      <c r="S234" s="45"/>
      <c r="T234" s="45"/>
      <c r="U234" s="45"/>
    </row>
    <row r="235" spans="1:26" s="39" customFormat="1" ht="13.5" customHeight="1" x14ac:dyDescent="0.2">
      <c r="A235" s="2260" t="s">
        <v>24</v>
      </c>
      <c r="B235" s="2261"/>
      <c r="C235" s="2261"/>
      <c r="D235" s="2261"/>
      <c r="E235" s="2261"/>
      <c r="F235" s="2261"/>
      <c r="G235" s="2261"/>
      <c r="H235" s="581">
        <f t="shared" ref="H235:P235" si="44">SUM(H236:H243)</f>
        <v>82917.7</v>
      </c>
      <c r="I235" s="582">
        <f t="shared" si="44"/>
        <v>82827.400000000009</v>
      </c>
      <c r="J235" s="582">
        <f>SUM(J236:J243)</f>
        <v>-90.299999999989609</v>
      </c>
      <c r="K235" s="581">
        <f t="shared" si="44"/>
        <v>87735.7</v>
      </c>
      <c r="L235" s="582">
        <f t="shared" si="44"/>
        <v>88191.3</v>
      </c>
      <c r="M235" s="582">
        <f t="shared" si="44"/>
        <v>455.6000000000015</v>
      </c>
      <c r="N235" s="581">
        <f t="shared" si="44"/>
        <v>87168.900000000023</v>
      </c>
      <c r="O235" s="582">
        <f t="shared" si="44"/>
        <v>87831.400000000023</v>
      </c>
      <c r="P235" s="626">
        <f t="shared" si="44"/>
        <v>662.5</v>
      </c>
      <c r="Q235" s="203"/>
      <c r="R235" s="203"/>
      <c r="S235" s="45"/>
      <c r="T235" s="45"/>
      <c r="U235" s="45"/>
    </row>
    <row r="236" spans="1:26" s="39" customFormat="1" ht="14.25" customHeight="1" x14ac:dyDescent="0.2">
      <c r="A236" s="2244" t="s">
        <v>27</v>
      </c>
      <c r="B236" s="2245"/>
      <c r="C236" s="2245"/>
      <c r="D236" s="2245"/>
      <c r="E236" s="2245"/>
      <c r="F236" s="2245"/>
      <c r="G236" s="2246"/>
      <c r="H236" s="219">
        <f>SUMIF(G13:G227,"sb",H13:H227)</f>
        <v>37930.5</v>
      </c>
      <c r="I236" s="1066">
        <f>SUMIF(G13:G227,"sb",I13:I227)</f>
        <v>37374.30000000001</v>
      </c>
      <c r="J236" s="1067">
        <f>+I236-H236</f>
        <v>-556.19999999998981</v>
      </c>
      <c r="K236" s="219">
        <f>SUMIF(G13:G227,"sb",K13:K227)</f>
        <v>41870.499999999993</v>
      </c>
      <c r="L236" s="268">
        <f>SUMIF(G13:G227,"sb",L13:L227)</f>
        <v>41870.499999999993</v>
      </c>
      <c r="M236" s="294">
        <f>+L236-K236</f>
        <v>0</v>
      </c>
      <c r="N236" s="219">
        <f>SUMIF(G13:G226,"sb",N13:N226)</f>
        <v>42097.30000000001</v>
      </c>
      <c r="O236" s="268">
        <f>SUMIF(G13:G226,"sb",O13:O226)</f>
        <v>42716.30000000001</v>
      </c>
      <c r="P236" s="294">
        <f>+O236-N236</f>
        <v>619</v>
      </c>
      <c r="Q236" s="369"/>
      <c r="R236" s="202"/>
      <c r="S236" s="45"/>
      <c r="T236" s="45"/>
      <c r="U236" s="45"/>
    </row>
    <row r="237" spans="1:26" s="39" customFormat="1" x14ac:dyDescent="0.2">
      <c r="A237" s="2241" t="s">
        <v>111</v>
      </c>
      <c r="B237" s="2242"/>
      <c r="C237" s="2242"/>
      <c r="D237" s="2242"/>
      <c r="E237" s="2242"/>
      <c r="F237" s="2242"/>
      <c r="G237" s="2243"/>
      <c r="H237" s="444">
        <f>SUMIF(G13:G228,"sb(l)",H13:H228)</f>
        <v>698.1</v>
      </c>
      <c r="I237" s="1068">
        <f>SUMIF(G13:G228,"sb(l)",I13:I228)</f>
        <v>637.9</v>
      </c>
      <c r="J237" s="1067">
        <f>+I237-H237</f>
        <v>-60.200000000000045</v>
      </c>
      <c r="K237" s="219">
        <f>SUMIF(G13:G228,"sb(l)",K13:K228)</f>
        <v>0</v>
      </c>
      <c r="L237" s="268">
        <f>SUMIF(G13:G228,"sb(l)",L13:L228)</f>
        <v>0</v>
      </c>
      <c r="M237" s="322"/>
      <c r="N237" s="219">
        <f>SUMIF(G20:G228,"sb(l)",N20:N228)</f>
        <v>0</v>
      </c>
      <c r="O237" s="268">
        <f>SUMIF(G20:G228,"sb(l)",O20:O228)</f>
        <v>43.5</v>
      </c>
      <c r="P237" s="294">
        <f>+O237-N237</f>
        <v>43.5</v>
      </c>
      <c r="Q237" s="202"/>
      <c r="R237" s="202"/>
      <c r="S237" s="45"/>
      <c r="T237" s="45"/>
      <c r="U237" s="45"/>
    </row>
    <row r="238" spans="1:26" s="39" customFormat="1" x14ac:dyDescent="0.2">
      <c r="A238" s="2244" t="s">
        <v>32</v>
      </c>
      <c r="B238" s="2245"/>
      <c r="C238" s="2245"/>
      <c r="D238" s="2245"/>
      <c r="E238" s="2245"/>
      <c r="F238" s="2245"/>
      <c r="G238" s="2246"/>
      <c r="H238" s="219">
        <f>SUMIF(G13:G227,"sb(sp)",H13:H227)</f>
        <v>5503.7</v>
      </c>
      <c r="I238" s="1066">
        <f>SUMIF(G13:G227,"sb(sp)",I13:I227)</f>
        <v>5540</v>
      </c>
      <c r="J238" s="1067">
        <f>+I238-H238</f>
        <v>36.300000000000182</v>
      </c>
      <c r="K238" s="219">
        <f>SUMIF(G13:G226,"sb(sp)",K13:K226)</f>
        <v>5509</v>
      </c>
      <c r="L238" s="268">
        <f>SUMIF(G13:G226,"sb(sp)",L13:L226)</f>
        <v>5509</v>
      </c>
      <c r="M238" s="294"/>
      <c r="N238" s="219">
        <f>SUMIF(G13:G226,"sb(sp)",N13:N226)</f>
        <v>5509</v>
      </c>
      <c r="O238" s="268">
        <f>SUMIF(G13:G226,"sb(sp)",O13:O226)</f>
        <v>5509</v>
      </c>
      <c r="P238" s="294"/>
      <c r="Q238" s="202"/>
      <c r="R238" s="202"/>
      <c r="S238" s="45"/>
      <c r="T238" s="45"/>
      <c r="U238" s="45"/>
    </row>
    <row r="239" spans="1:26" s="39" customFormat="1" ht="13.5" customHeight="1" x14ac:dyDescent="0.2">
      <c r="A239" s="2241" t="s">
        <v>71</v>
      </c>
      <c r="B239" s="2242"/>
      <c r="C239" s="2242"/>
      <c r="D239" s="2242"/>
      <c r="E239" s="2242"/>
      <c r="F239" s="2242"/>
      <c r="G239" s="2243"/>
      <c r="H239" s="219">
        <f>SUMIF(G14:G228,"sb(spl)",H14:H228)</f>
        <v>593.70000000000005</v>
      </c>
      <c r="I239" s="268">
        <f>SUMIF(G13:G228,"sb(spl)",I13:I228)</f>
        <v>593.70000000000005</v>
      </c>
      <c r="J239" s="352">
        <f>+I239-H239</f>
        <v>0</v>
      </c>
      <c r="K239" s="219">
        <f>SUMIF(G14:G227,"sb(spl)",K14:K227)</f>
        <v>0</v>
      </c>
      <c r="L239" s="269"/>
      <c r="M239" s="351"/>
      <c r="N239" s="219"/>
      <c r="O239" s="268"/>
      <c r="P239" s="351"/>
      <c r="Q239" s="202"/>
      <c r="R239" s="202"/>
      <c r="S239" s="45"/>
      <c r="T239" s="45"/>
      <c r="U239" s="45"/>
    </row>
    <row r="240" spans="1:26" s="39" customFormat="1" ht="13.5" customHeight="1" x14ac:dyDescent="0.2">
      <c r="A240" s="2241" t="s">
        <v>270</v>
      </c>
      <c r="B240" s="2242"/>
      <c r="C240" s="2242"/>
      <c r="D240" s="2242"/>
      <c r="E240" s="2242"/>
      <c r="F240" s="2242"/>
      <c r="G240" s="2243"/>
      <c r="H240" s="220"/>
      <c r="I240" s="268"/>
      <c r="J240" s="352"/>
      <c r="K240" s="219">
        <f>SUMIF(G15:G228,"sb(p)",K15:K228)</f>
        <v>2900</v>
      </c>
      <c r="L240" s="268">
        <f>SUMIF(G15:G228,"sb(p)",L15:L228)</f>
        <v>2900</v>
      </c>
      <c r="M240" s="351">
        <f>L240-K240</f>
        <v>0</v>
      </c>
      <c r="N240" s="219">
        <f>SUMIF(G15:G228,"sb(p)",N15:N228)</f>
        <v>2900</v>
      </c>
      <c r="O240" s="268">
        <f>SUMIF(G15:G228,"sb(p)",O15:O228)</f>
        <v>2900</v>
      </c>
      <c r="P240" s="351"/>
      <c r="Q240" s="202"/>
      <c r="R240" s="202"/>
      <c r="S240" s="45"/>
      <c r="T240" s="45"/>
      <c r="U240" s="45"/>
    </row>
    <row r="241" spans="1:29" s="39" customFormat="1" x14ac:dyDescent="0.2">
      <c r="A241" s="2244" t="s">
        <v>28</v>
      </c>
      <c r="B241" s="2245"/>
      <c r="C241" s="2245"/>
      <c r="D241" s="2245"/>
      <c r="E241" s="2245"/>
      <c r="F241" s="2245"/>
      <c r="G241" s="2246"/>
      <c r="H241" s="220">
        <f>SUMIF(G13:G227,"sb(vb)",H13:H227)</f>
        <v>37038.1</v>
      </c>
      <c r="I241" s="1069">
        <f>SUMIF(G13:G227,"sb(vb)",I13:I227)</f>
        <v>37946.6</v>
      </c>
      <c r="J241" s="1070">
        <f>+I241-H241</f>
        <v>908.5</v>
      </c>
      <c r="K241" s="220">
        <f>SUMIF(G13:G226,"sb(vb)",K13:K226)</f>
        <v>35753.100000000006</v>
      </c>
      <c r="L241" s="269">
        <f>SUMIF(G13:G226,"sb(vb)",L13:L226)</f>
        <v>35790.000000000007</v>
      </c>
      <c r="M241" s="351">
        <f>+L241-K241</f>
        <v>36.900000000001455</v>
      </c>
      <c r="N241" s="220">
        <f>SUMIF(G13:G226,"sb(vb)",N13:N226)</f>
        <v>35931.000000000007</v>
      </c>
      <c r="O241" s="269">
        <f>SUMIF(G13:G226,"sb(vb)",O13:O226)</f>
        <v>35931.000000000007</v>
      </c>
      <c r="P241" s="351">
        <f>+O241-N241</f>
        <v>0</v>
      </c>
      <c r="Q241" s="202"/>
      <c r="R241" s="202"/>
      <c r="S241" s="45"/>
      <c r="T241" s="45"/>
      <c r="U241" s="45"/>
    </row>
    <row r="242" spans="1:29" ht="30" customHeight="1" x14ac:dyDescent="0.2">
      <c r="A242" s="2247" t="s">
        <v>227</v>
      </c>
      <c r="B242" s="2248"/>
      <c r="C242" s="2248"/>
      <c r="D242" s="2248"/>
      <c r="E242" s="2248"/>
      <c r="F242" s="2248"/>
      <c r="G242" s="2249"/>
      <c r="H242" s="462">
        <f>SUMIF(G13:G228,"sb(esa)",H13:H228)</f>
        <v>43.3</v>
      </c>
      <c r="I242" s="616">
        <f>SUMIF(G13:G228,"sb(esa)",I13:I228)</f>
        <v>43.3</v>
      </c>
      <c r="J242" s="608"/>
      <c r="K242" s="617">
        <f>SUMIF(G13:G228,"sb(esa)",K13:K228)</f>
        <v>7.7</v>
      </c>
      <c r="L242" s="619">
        <f>SUMIF(G13:G228,"sb(esa)",L13:L228)</f>
        <v>7.7</v>
      </c>
      <c r="M242" s="618"/>
      <c r="N242" s="220">
        <f>SUMIF(G14:G227,"sb(esa)",N14:N227)</f>
        <v>0</v>
      </c>
      <c r="O242" s="269">
        <f>SUMIF(G14:G227,"sb(esa)",O14:O227)</f>
        <v>0</v>
      </c>
      <c r="P242" s="624"/>
      <c r="Q242" s="202"/>
      <c r="R242" s="202"/>
      <c r="S242" s="45"/>
      <c r="T242" s="45"/>
      <c r="U242" s="45"/>
      <c r="V242" s="39"/>
      <c r="W242" s="39"/>
      <c r="X242" s="39"/>
      <c r="Y242" s="39"/>
      <c r="Z242" s="39"/>
      <c r="AA242" s="39"/>
      <c r="AB242" s="39"/>
      <c r="AC242" s="39"/>
    </row>
    <row r="243" spans="1:29" ht="30" customHeight="1" thickBot="1" x14ac:dyDescent="0.25">
      <c r="A243" s="2250" t="s">
        <v>114</v>
      </c>
      <c r="B243" s="2251"/>
      <c r="C243" s="2251"/>
      <c r="D243" s="2251"/>
      <c r="E243" s="2251"/>
      <c r="F243" s="2251"/>
      <c r="G243" s="2252"/>
      <c r="H243" s="357">
        <f>SUMIF(G13:G228,"sb(es)",H13:H228)</f>
        <v>1110.3</v>
      </c>
      <c r="I243" s="1071">
        <f>SUMIF(G14:G229,"sb(es)",I14:I229)</f>
        <v>691.6</v>
      </c>
      <c r="J243" s="1072">
        <f>+I243-H243</f>
        <v>-418.69999999999993</v>
      </c>
      <c r="K243" s="617">
        <f>SUMIF(G13:G228,"sb(es)",K13:K228)</f>
        <v>1695.3999999999999</v>
      </c>
      <c r="L243" s="619">
        <f>SUMIF(G14:G229,"sb(es)",L14:L229)</f>
        <v>2114.1</v>
      </c>
      <c r="M243" s="266">
        <f>+L243-K243</f>
        <v>418.70000000000005</v>
      </c>
      <c r="N243" s="220">
        <f>SUMIF(G16:G228,"sb(es)",N16:N228)</f>
        <v>731.6</v>
      </c>
      <c r="O243" s="269">
        <f>SUMIF(G16:G228,"sb(es)",O16:O228)</f>
        <v>731.6</v>
      </c>
      <c r="P243" s="354">
        <f>+O243-N243</f>
        <v>0</v>
      </c>
      <c r="Q243" s="202"/>
      <c r="R243" s="202"/>
      <c r="S243" s="45"/>
      <c r="T243" s="45"/>
      <c r="U243" s="45"/>
      <c r="V243" s="39"/>
      <c r="W243" s="39"/>
      <c r="X243" s="39"/>
      <c r="Y243" s="39"/>
      <c r="Z243" s="39"/>
      <c r="AA243" s="39"/>
      <c r="AB243" s="39"/>
      <c r="AC243" s="39"/>
    </row>
    <row r="244" spans="1:29" ht="13.5" thickBot="1" x14ac:dyDescent="0.25">
      <c r="A244" s="2253" t="s">
        <v>25</v>
      </c>
      <c r="B244" s="2254"/>
      <c r="C244" s="2254"/>
      <c r="D244" s="2254"/>
      <c r="E244" s="2254"/>
      <c r="F244" s="2254"/>
      <c r="G244" s="2254"/>
      <c r="H244" s="583">
        <f>SUM(H245:H247)</f>
        <v>831.4</v>
      </c>
      <c r="I244" s="584">
        <f>SUM(I245:I247)</f>
        <v>831.4</v>
      </c>
      <c r="J244" s="584">
        <f>SUM(J245:J247)</f>
        <v>0</v>
      </c>
      <c r="K244" s="583">
        <f t="shared" ref="K244" si="45">SUM(K245:K247)</f>
        <v>1782.4</v>
      </c>
      <c r="L244" s="584">
        <f t="shared" ref="L244:N244" si="46">SUM(L245:L247)</f>
        <v>1782.4</v>
      </c>
      <c r="M244" s="584">
        <f t="shared" si="46"/>
        <v>0</v>
      </c>
      <c r="N244" s="583">
        <f t="shared" si="46"/>
        <v>2708.5</v>
      </c>
      <c r="O244" s="584">
        <f>SUM(O245:O247)</f>
        <v>2708.5</v>
      </c>
      <c r="P244" s="627">
        <f>SUM(P245:P247)</f>
        <v>0</v>
      </c>
      <c r="Q244" s="204"/>
      <c r="R244" s="204"/>
      <c r="S244" s="45"/>
      <c r="T244" s="45"/>
      <c r="U244" s="45"/>
      <c r="V244" s="39"/>
      <c r="W244" s="39"/>
      <c r="X244" s="39"/>
      <c r="Y244" s="39"/>
      <c r="Z244" s="39"/>
      <c r="AB244" s="39"/>
      <c r="AC244" s="39"/>
    </row>
    <row r="245" spans="1:29" x14ac:dyDescent="0.2">
      <c r="A245" s="2255" t="s">
        <v>29</v>
      </c>
      <c r="B245" s="2256"/>
      <c r="C245" s="2256"/>
      <c r="D245" s="2256"/>
      <c r="E245" s="2256"/>
      <c r="F245" s="2256"/>
      <c r="G245" s="2257"/>
      <c r="H245" s="221">
        <f>SUMIF(G13:G227,"es",H13:H227)</f>
        <v>297.5</v>
      </c>
      <c r="I245" s="307">
        <f>SUMIF(G13:G227,"es",I13:I227)</f>
        <v>297.5</v>
      </c>
      <c r="J245" s="358">
        <f>+I245-H245</f>
        <v>0</v>
      </c>
      <c r="K245" s="221">
        <f>SUMIF(G20:G226,"es",K20:K226)</f>
        <v>0</v>
      </c>
      <c r="L245" s="307">
        <f>SUMIF(G20:G226,"es",L20:L226)</f>
        <v>0</v>
      </c>
      <c r="M245" s="353">
        <f>+L245-K245</f>
        <v>0</v>
      </c>
      <c r="N245" s="221">
        <f>SUMIF(G20:G226,"es",N20:N226)</f>
        <v>807.8</v>
      </c>
      <c r="O245" s="307">
        <f>SUMIF(G20:G226,"es",O20:O226)</f>
        <v>807.8</v>
      </c>
      <c r="P245" s="353">
        <f>+O245-N245</f>
        <v>0</v>
      </c>
      <c r="Q245" s="205"/>
      <c r="R245" s="205"/>
      <c r="S245" s="45"/>
      <c r="T245" s="45"/>
      <c r="U245" s="45"/>
    </row>
    <row r="246" spans="1:29" ht="15" customHeight="1" x14ac:dyDescent="0.2">
      <c r="A246" s="2233" t="s">
        <v>118</v>
      </c>
      <c r="B246" s="2234"/>
      <c r="C246" s="2234"/>
      <c r="D246" s="2234"/>
      <c r="E246" s="2234"/>
      <c r="F246" s="2234"/>
      <c r="G246" s="2235"/>
      <c r="H246" s="221">
        <f>SUMIF(G13:G227,"lrvb",H13:H227)</f>
        <v>408.9</v>
      </c>
      <c r="I246" s="307">
        <f>SUMIF(G13:G227,"lrvb",I13:I227)</f>
        <v>408.9</v>
      </c>
      <c r="J246" s="358">
        <f>+I246-H246</f>
        <v>0</v>
      </c>
      <c r="K246" s="221">
        <f>SUMIF(G13:G227,"lrvb",K13:K227)</f>
        <v>482.4</v>
      </c>
      <c r="L246" s="307">
        <f>SUMIF(G13:G227,"lrvb",L13:L227)</f>
        <v>482.4</v>
      </c>
      <c r="M246" s="358">
        <f>+L246-K246</f>
        <v>0</v>
      </c>
      <c r="N246" s="221">
        <f>SUMIF(G13:G227,"lrvb",N13:N227)</f>
        <v>900.7</v>
      </c>
      <c r="O246" s="307">
        <f>SUMIF(G13:G227,"lrvb",O13:O227)</f>
        <v>900.7</v>
      </c>
      <c r="P246" s="353">
        <f>+O246-N246</f>
        <v>0</v>
      </c>
      <c r="Q246" s="205"/>
      <c r="R246" s="205"/>
      <c r="S246" s="45"/>
      <c r="T246" s="45"/>
      <c r="U246" s="45"/>
    </row>
    <row r="247" spans="1:29" ht="13.5" thickBot="1" x14ac:dyDescent="0.25">
      <c r="A247" s="2236" t="s">
        <v>53</v>
      </c>
      <c r="B247" s="2237"/>
      <c r="C247" s="2237"/>
      <c r="D247" s="2237"/>
      <c r="E247" s="2237"/>
      <c r="F247" s="2237"/>
      <c r="G247" s="2237"/>
      <c r="H247" s="222">
        <f>SUMIF(G13:G227,"kt",H13:H227)</f>
        <v>125</v>
      </c>
      <c r="I247" s="270">
        <f>SUMIF(G13:G227,"kt",I13:I227)</f>
        <v>125</v>
      </c>
      <c r="J247" s="266"/>
      <c r="K247" s="222">
        <f>SUMIF(G20:G226,"kt",K20:K226)</f>
        <v>1300</v>
      </c>
      <c r="L247" s="270">
        <f>SUMIF(G20:G226,"kt",L20:L226)</f>
        <v>1300</v>
      </c>
      <c r="M247" s="354"/>
      <c r="N247" s="222">
        <f>SUMIF(G20:G226,"kt",N20:N226)</f>
        <v>1000</v>
      </c>
      <c r="O247" s="270">
        <f>SUMIF(G20:G226,"kt",O20:O226)</f>
        <v>1000</v>
      </c>
      <c r="P247" s="354"/>
      <c r="Q247" s="205"/>
      <c r="R247" s="205"/>
      <c r="S247" s="45"/>
      <c r="T247" s="45"/>
      <c r="U247" s="45"/>
    </row>
    <row r="248" spans="1:29" ht="13.5" thickBot="1" x14ac:dyDescent="0.25">
      <c r="A248" s="2238" t="s">
        <v>26</v>
      </c>
      <c r="B248" s="2239"/>
      <c r="C248" s="2239"/>
      <c r="D248" s="2239"/>
      <c r="E248" s="2239"/>
      <c r="F248" s="2239"/>
      <c r="G248" s="2239"/>
      <c r="H248" s="223">
        <f t="shared" ref="H248:P248" si="47">H244+H235</f>
        <v>83749.099999999991</v>
      </c>
      <c r="I248" s="271">
        <f t="shared" si="47"/>
        <v>83658.8</v>
      </c>
      <c r="J248" s="271">
        <f>J244+J235</f>
        <v>-90.299999999989609</v>
      </c>
      <c r="K248" s="223">
        <f t="shared" si="47"/>
        <v>89518.099999999991</v>
      </c>
      <c r="L248" s="271">
        <f t="shared" si="47"/>
        <v>89973.7</v>
      </c>
      <c r="M248" s="271">
        <f t="shared" si="47"/>
        <v>455.6000000000015</v>
      </c>
      <c r="N248" s="223">
        <f t="shared" si="47"/>
        <v>89877.400000000023</v>
      </c>
      <c r="O248" s="271">
        <f t="shared" si="47"/>
        <v>90539.900000000023</v>
      </c>
      <c r="P248" s="355">
        <f t="shared" si="47"/>
        <v>662.5</v>
      </c>
      <c r="Q248" s="203"/>
      <c r="R248" s="203"/>
    </row>
    <row r="250" spans="1:29" x14ac:dyDescent="0.2">
      <c r="D250" s="38"/>
      <c r="E250" s="750"/>
      <c r="F250" s="750"/>
      <c r="G250" s="37"/>
      <c r="H250" s="112"/>
      <c r="I250" s="112"/>
      <c r="J250" s="112"/>
      <c r="K250" s="112"/>
      <c r="L250" s="112"/>
      <c r="M250" s="112"/>
      <c r="N250" s="112"/>
      <c r="O250" s="112"/>
      <c r="P250" s="112"/>
    </row>
    <row r="251" spans="1:29" x14ac:dyDescent="0.2">
      <c r="D251" s="38"/>
      <c r="E251" s="750"/>
      <c r="F251" s="2240" t="s">
        <v>255</v>
      </c>
      <c r="G251" s="2240"/>
      <c r="H251" s="2240"/>
      <c r="I251" s="2240"/>
      <c r="J251" s="2240"/>
      <c r="K251" s="2240"/>
      <c r="L251" s="750"/>
      <c r="M251" s="750"/>
      <c r="N251" s="110"/>
      <c r="O251" s="110"/>
      <c r="P251" s="110"/>
    </row>
    <row r="252" spans="1:29" x14ac:dyDescent="0.2">
      <c r="D252" s="38"/>
      <c r="E252" s="750"/>
      <c r="F252" s="750"/>
      <c r="G252" s="37"/>
      <c r="H252" s="110"/>
      <c r="I252" s="110"/>
      <c r="J252" s="110"/>
      <c r="K252" s="110"/>
      <c r="L252" s="110"/>
      <c r="M252" s="110"/>
      <c r="N252" s="110"/>
      <c r="O252" s="110"/>
      <c r="P252" s="110"/>
    </row>
    <row r="253" spans="1:29" x14ac:dyDescent="0.2">
      <c r="D253" s="38"/>
      <c r="E253" s="750"/>
      <c r="F253" s="750"/>
      <c r="G253" s="37"/>
      <c r="H253" s="110"/>
      <c r="I253" s="110"/>
      <c r="J253" s="110"/>
      <c r="K253" s="110"/>
      <c r="L253" s="110"/>
      <c r="M253" s="110"/>
      <c r="N253" s="110"/>
      <c r="O253" s="110"/>
      <c r="P253" s="110"/>
    </row>
    <row r="254" spans="1:29" x14ac:dyDescent="0.2">
      <c r="D254" s="38"/>
      <c r="E254" s="750"/>
      <c r="F254" s="750"/>
      <c r="G254" s="37"/>
      <c r="H254" s="110"/>
      <c r="I254" s="110"/>
      <c r="J254" s="110"/>
      <c r="K254" s="110"/>
      <c r="L254" s="110"/>
      <c r="M254" s="110"/>
      <c r="N254" s="110"/>
      <c r="O254" s="110"/>
      <c r="P254" s="110"/>
    </row>
    <row r="255" spans="1:29" x14ac:dyDescent="0.2">
      <c r="D255" s="38"/>
      <c r="E255" s="750"/>
      <c r="F255" s="750"/>
      <c r="G255" s="37"/>
      <c r="H255" s="110"/>
      <c r="I255" s="110"/>
      <c r="J255" s="110"/>
      <c r="K255" s="110"/>
      <c r="L255" s="110"/>
      <c r="M255" s="110"/>
      <c r="N255" s="110"/>
      <c r="O255" s="110"/>
      <c r="P255" s="110"/>
    </row>
    <row r="256" spans="1:29" x14ac:dyDescent="0.2">
      <c r="D256" s="38"/>
      <c r="E256" s="750"/>
      <c r="F256" s="750"/>
      <c r="G256" s="37"/>
      <c r="H256" s="110"/>
      <c r="I256" s="110"/>
      <c r="J256" s="110"/>
      <c r="K256" s="110"/>
      <c r="L256" s="110"/>
      <c r="M256" s="110"/>
      <c r="N256" s="110"/>
      <c r="O256" s="110"/>
      <c r="P256" s="110"/>
    </row>
    <row r="257" spans="1:21" x14ac:dyDescent="0.2">
      <c r="D257" s="38"/>
      <c r="E257" s="750"/>
      <c r="F257" s="750"/>
      <c r="G257" s="37"/>
      <c r="H257" s="110"/>
      <c r="I257" s="110"/>
      <c r="J257" s="110"/>
      <c r="K257" s="110"/>
      <c r="L257" s="110"/>
      <c r="M257" s="110"/>
      <c r="N257" s="110"/>
      <c r="O257" s="110"/>
      <c r="P257" s="110"/>
    </row>
    <row r="258" spans="1:21" x14ac:dyDescent="0.2">
      <c r="D258" s="38"/>
      <c r="E258" s="750"/>
      <c r="F258" s="750"/>
      <c r="G258" s="37"/>
      <c r="H258" s="110"/>
      <c r="I258" s="110"/>
      <c r="J258" s="110"/>
      <c r="K258" s="110"/>
      <c r="L258" s="110"/>
      <c r="M258" s="110"/>
      <c r="N258" s="110"/>
      <c r="O258" s="110"/>
      <c r="P258" s="110"/>
    </row>
    <row r="259" spans="1:21" x14ac:dyDescent="0.2">
      <c r="D259" s="38"/>
      <c r="E259" s="750"/>
      <c r="F259" s="750"/>
      <c r="G259" s="37"/>
      <c r="H259" s="110"/>
      <c r="I259" s="110"/>
      <c r="J259" s="110"/>
      <c r="K259" s="110"/>
      <c r="L259" s="110"/>
      <c r="M259" s="110"/>
      <c r="N259" s="110"/>
      <c r="O259" s="110"/>
      <c r="P259" s="110"/>
      <c r="S259" s="38"/>
      <c r="T259" s="38"/>
      <c r="U259" s="38"/>
    </row>
    <row r="260" spans="1:21" x14ac:dyDescent="0.2">
      <c r="D260" s="38"/>
      <c r="E260" s="750"/>
      <c r="F260" s="750"/>
      <c r="G260" s="37"/>
      <c r="H260" s="110"/>
      <c r="I260" s="110"/>
      <c r="J260" s="110"/>
      <c r="K260" s="110"/>
      <c r="L260" s="110"/>
      <c r="M260" s="110"/>
      <c r="N260" s="110"/>
      <c r="O260" s="110"/>
      <c r="P260" s="110"/>
      <c r="S260" s="38"/>
      <c r="T260" s="38"/>
      <c r="U260" s="38"/>
    </row>
    <row r="261" spans="1:21" x14ac:dyDescent="0.2">
      <c r="A261" s="62"/>
      <c r="B261" s="62"/>
      <c r="C261" s="62"/>
      <c r="D261" s="38"/>
      <c r="E261" s="750"/>
      <c r="F261" s="750"/>
      <c r="G261" s="37"/>
      <c r="H261" s="110"/>
      <c r="I261" s="110"/>
      <c r="J261" s="110"/>
      <c r="K261" s="110"/>
      <c r="L261" s="110"/>
      <c r="M261" s="110"/>
      <c r="N261" s="110"/>
      <c r="O261" s="110"/>
      <c r="P261" s="110"/>
      <c r="Q261" s="38"/>
      <c r="R261" s="750"/>
      <c r="S261" s="38"/>
      <c r="T261" s="38"/>
      <c r="U261" s="38"/>
    </row>
    <row r="262" spans="1:21" x14ac:dyDescent="0.2">
      <c r="A262" s="62"/>
      <c r="B262" s="62"/>
      <c r="C262" s="62"/>
      <c r="D262" s="38"/>
      <c r="E262" s="750"/>
      <c r="F262" s="750"/>
      <c r="G262" s="37"/>
      <c r="H262" s="110"/>
      <c r="I262" s="110"/>
      <c r="J262" s="110"/>
      <c r="K262" s="110"/>
      <c r="L262" s="110"/>
      <c r="M262" s="110"/>
      <c r="N262" s="110"/>
      <c r="O262" s="110"/>
      <c r="P262" s="110"/>
      <c r="Q262" s="38"/>
      <c r="R262" s="750"/>
      <c r="S262" s="38"/>
      <c r="T262" s="38"/>
      <c r="U262" s="38"/>
    </row>
    <row r="263" spans="1:21" x14ac:dyDescent="0.2">
      <c r="A263" s="62"/>
      <c r="B263" s="62"/>
      <c r="C263" s="62"/>
      <c r="D263" s="38"/>
      <c r="E263" s="750"/>
      <c r="F263" s="750"/>
      <c r="G263" s="37"/>
      <c r="H263" s="110"/>
      <c r="I263" s="110"/>
      <c r="J263" s="110"/>
      <c r="K263" s="110"/>
      <c r="L263" s="110"/>
      <c r="M263" s="110"/>
      <c r="N263" s="110"/>
      <c r="O263" s="110"/>
      <c r="P263" s="110"/>
      <c r="Q263" s="38"/>
      <c r="R263" s="750"/>
      <c r="S263" s="38"/>
      <c r="T263" s="38"/>
      <c r="U263" s="38"/>
    </row>
    <row r="264" spans="1:21" x14ac:dyDescent="0.2">
      <c r="A264" s="62"/>
      <c r="B264" s="62"/>
      <c r="C264" s="62"/>
      <c r="D264" s="38"/>
      <c r="E264" s="750"/>
      <c r="F264" s="750"/>
      <c r="G264" s="37"/>
      <c r="H264" s="110"/>
      <c r="I264" s="110"/>
      <c r="J264" s="110"/>
      <c r="K264" s="110"/>
      <c r="L264" s="110"/>
      <c r="M264" s="110"/>
      <c r="N264" s="110"/>
      <c r="O264" s="110"/>
      <c r="P264" s="110"/>
      <c r="Q264" s="38"/>
      <c r="R264" s="750"/>
      <c r="S264" s="38"/>
      <c r="T264" s="38"/>
      <c r="U264" s="38"/>
    </row>
    <row r="265" spans="1:21" x14ac:dyDescent="0.2">
      <c r="A265" s="62"/>
      <c r="B265" s="62"/>
      <c r="C265" s="62"/>
      <c r="D265" s="38"/>
      <c r="E265" s="750"/>
      <c r="F265" s="750"/>
      <c r="G265" s="37"/>
      <c r="H265" s="110"/>
      <c r="I265" s="110"/>
      <c r="J265" s="110"/>
      <c r="K265" s="110"/>
      <c r="L265" s="110"/>
      <c r="M265" s="110"/>
      <c r="N265" s="110"/>
      <c r="O265" s="110"/>
      <c r="P265" s="110"/>
      <c r="Q265" s="38"/>
      <c r="R265" s="750"/>
      <c r="S265" s="38"/>
      <c r="T265" s="38"/>
      <c r="U265" s="38"/>
    </row>
    <row r="266" spans="1:21" x14ac:dyDescent="0.2">
      <c r="A266" s="62"/>
      <c r="B266" s="62"/>
      <c r="C266" s="62"/>
      <c r="D266" s="38"/>
      <c r="E266" s="750"/>
      <c r="F266" s="750"/>
      <c r="G266" s="37"/>
      <c r="H266" s="110"/>
      <c r="I266" s="110"/>
      <c r="J266" s="110"/>
      <c r="K266" s="110"/>
      <c r="L266" s="110"/>
      <c r="M266" s="110"/>
      <c r="N266" s="110"/>
      <c r="O266" s="110"/>
      <c r="P266" s="110"/>
      <c r="Q266" s="38"/>
      <c r="R266" s="750"/>
      <c r="S266" s="38"/>
      <c r="T266" s="38"/>
      <c r="U266" s="38"/>
    </row>
    <row r="267" spans="1:21" x14ac:dyDescent="0.2">
      <c r="A267" s="62"/>
      <c r="B267" s="62"/>
      <c r="C267" s="62"/>
      <c r="D267" s="38"/>
      <c r="E267" s="750"/>
      <c r="F267" s="750"/>
      <c r="G267" s="37"/>
      <c r="H267" s="110"/>
      <c r="I267" s="110"/>
      <c r="J267" s="110"/>
      <c r="K267" s="110"/>
      <c r="L267" s="110"/>
      <c r="M267" s="110"/>
      <c r="N267" s="110"/>
      <c r="O267" s="110"/>
      <c r="P267" s="110"/>
      <c r="Q267" s="38"/>
      <c r="R267" s="750"/>
      <c r="S267" s="38"/>
      <c r="T267" s="38"/>
      <c r="U267" s="38"/>
    </row>
    <row r="268" spans="1:21" x14ac:dyDescent="0.2">
      <c r="A268" s="62"/>
      <c r="B268" s="62"/>
      <c r="C268" s="62"/>
      <c r="D268" s="38"/>
      <c r="E268" s="750"/>
      <c r="F268" s="750"/>
      <c r="G268" s="37"/>
      <c r="H268" s="110"/>
      <c r="I268" s="110"/>
      <c r="J268" s="110"/>
      <c r="K268" s="110"/>
      <c r="L268" s="110"/>
      <c r="M268" s="110"/>
      <c r="N268" s="110"/>
      <c r="O268" s="110"/>
      <c r="P268" s="110"/>
      <c r="Q268" s="38"/>
      <c r="R268" s="750"/>
      <c r="S268" s="38"/>
      <c r="T268" s="38"/>
      <c r="U268" s="38"/>
    </row>
    <row r="269" spans="1:21" x14ac:dyDescent="0.2">
      <c r="A269" s="62"/>
      <c r="B269" s="62"/>
      <c r="C269" s="62"/>
      <c r="D269" s="38"/>
      <c r="E269" s="750"/>
      <c r="F269" s="750"/>
      <c r="G269" s="37"/>
      <c r="H269" s="110"/>
      <c r="I269" s="110"/>
      <c r="J269" s="110"/>
      <c r="K269" s="110"/>
      <c r="L269" s="110"/>
      <c r="M269" s="110"/>
      <c r="N269" s="110"/>
      <c r="O269" s="110"/>
      <c r="P269" s="110"/>
      <c r="Q269" s="38"/>
      <c r="R269" s="750"/>
      <c r="S269" s="38"/>
      <c r="T269" s="38"/>
      <c r="U269" s="38"/>
    </row>
    <row r="270" spans="1:21" x14ac:dyDescent="0.2">
      <c r="A270" s="62"/>
      <c r="B270" s="62"/>
      <c r="C270" s="62"/>
      <c r="D270" s="38"/>
      <c r="E270" s="750"/>
      <c r="F270" s="750"/>
      <c r="G270" s="37"/>
      <c r="H270" s="110"/>
      <c r="I270" s="110"/>
      <c r="J270" s="110"/>
      <c r="K270" s="110"/>
      <c r="L270" s="110"/>
      <c r="M270" s="110"/>
      <c r="N270" s="110"/>
      <c r="O270" s="110"/>
      <c r="P270" s="110"/>
      <c r="Q270" s="38"/>
      <c r="R270" s="750"/>
      <c r="S270" s="38"/>
      <c r="T270" s="38"/>
      <c r="U270" s="38"/>
    </row>
    <row r="271" spans="1:21" x14ac:dyDescent="0.2">
      <c r="A271" s="62"/>
      <c r="B271" s="62"/>
      <c r="C271" s="62"/>
      <c r="D271" s="38"/>
      <c r="E271" s="750"/>
      <c r="F271" s="750"/>
      <c r="G271" s="37"/>
      <c r="H271" s="110"/>
      <c r="I271" s="110"/>
      <c r="J271" s="110"/>
      <c r="K271" s="110"/>
      <c r="L271" s="110"/>
      <c r="M271" s="110"/>
      <c r="N271" s="110"/>
      <c r="O271" s="110"/>
      <c r="P271" s="110"/>
      <c r="Q271" s="38"/>
      <c r="R271" s="750"/>
      <c r="S271" s="38"/>
      <c r="T271" s="38"/>
      <c r="U271" s="38"/>
    </row>
    <row r="272" spans="1:21" x14ac:dyDescent="0.2">
      <c r="A272" s="62"/>
      <c r="B272" s="62"/>
      <c r="C272" s="62"/>
      <c r="D272" s="38"/>
      <c r="E272" s="750"/>
      <c r="F272" s="750"/>
      <c r="G272" s="37"/>
      <c r="H272" s="110"/>
      <c r="I272" s="110"/>
      <c r="J272" s="110"/>
      <c r="K272" s="110"/>
      <c r="L272" s="110"/>
      <c r="M272" s="110"/>
      <c r="N272" s="110"/>
      <c r="O272" s="110"/>
      <c r="P272" s="110"/>
      <c r="Q272" s="38"/>
      <c r="R272" s="750"/>
      <c r="S272" s="38"/>
      <c r="T272" s="38"/>
      <c r="U272" s="38"/>
    </row>
    <row r="273" spans="1:21" x14ac:dyDescent="0.2">
      <c r="A273" s="62"/>
      <c r="B273" s="62"/>
      <c r="C273" s="62"/>
      <c r="D273" s="38"/>
      <c r="E273" s="750"/>
      <c r="F273" s="750"/>
      <c r="G273" s="37"/>
      <c r="H273" s="110"/>
      <c r="I273" s="110"/>
      <c r="J273" s="110"/>
      <c r="K273" s="110"/>
      <c r="L273" s="110"/>
      <c r="M273" s="110"/>
      <c r="N273" s="110"/>
      <c r="O273" s="110"/>
      <c r="P273" s="110"/>
      <c r="Q273" s="38"/>
      <c r="R273" s="750"/>
      <c r="S273" s="38"/>
      <c r="T273" s="38"/>
      <c r="U273" s="38"/>
    </row>
  </sheetData>
  <mergeCells count="247">
    <mergeCell ref="U226:U228"/>
    <mergeCell ref="U224:U225"/>
    <mergeCell ref="A243:G243"/>
    <mergeCell ref="F251:K251"/>
    <mergeCell ref="I6:I8"/>
    <mergeCell ref="I58:I59"/>
    <mergeCell ref="I80:I81"/>
    <mergeCell ref="A237:G237"/>
    <mergeCell ref="A238:G238"/>
    <mergeCell ref="A241:G241"/>
    <mergeCell ref="A242:G242"/>
    <mergeCell ref="A244:G244"/>
    <mergeCell ref="A245:G245"/>
    <mergeCell ref="B231:G231"/>
    <mergeCell ref="A214:A215"/>
    <mergeCell ref="D186:D187"/>
    <mergeCell ref="D188:D189"/>
    <mergeCell ref="C190:G190"/>
    <mergeCell ref="D138:D142"/>
    <mergeCell ref="D143:D146"/>
    <mergeCell ref="A239:G239"/>
    <mergeCell ref="A246:G246"/>
    <mergeCell ref="A247:G247"/>
    <mergeCell ref="A248:G248"/>
    <mergeCell ref="A233:P233"/>
    <mergeCell ref="B222:B223"/>
    <mergeCell ref="A234:G234"/>
    <mergeCell ref="A235:G235"/>
    <mergeCell ref="A236:G236"/>
    <mergeCell ref="D226:D228"/>
    <mergeCell ref="C191:U191"/>
    <mergeCell ref="D192:D194"/>
    <mergeCell ref="C171:U171"/>
    <mergeCell ref="D172:D173"/>
    <mergeCell ref="E172:E173"/>
    <mergeCell ref="D174:D175"/>
    <mergeCell ref="E174:E175"/>
    <mergeCell ref="A232:U232"/>
    <mergeCell ref="B214:B215"/>
    <mergeCell ref="D214:D215"/>
    <mergeCell ref="E214:E215"/>
    <mergeCell ref="F214:F215"/>
    <mergeCell ref="Q227:Q228"/>
    <mergeCell ref="C229:G229"/>
    <mergeCell ref="Q229:U229"/>
    <mergeCell ref="B230:G230"/>
    <mergeCell ref="Q230:U230"/>
    <mergeCell ref="Q231:U231"/>
    <mergeCell ref="D216:D218"/>
    <mergeCell ref="D219:D220"/>
    <mergeCell ref="D179:D180"/>
    <mergeCell ref="Q161:Q162"/>
    <mergeCell ref="E162:G162"/>
    <mergeCell ref="U212:U213"/>
    <mergeCell ref="D222:D223"/>
    <mergeCell ref="Q201:Q202"/>
    <mergeCell ref="D208:D209"/>
    <mergeCell ref="D210:D211"/>
    <mergeCell ref="E210:E211"/>
    <mergeCell ref="D212:D213"/>
    <mergeCell ref="Q214:Q215"/>
    <mergeCell ref="U216:U218"/>
    <mergeCell ref="U222:U223"/>
    <mergeCell ref="U195:U202"/>
    <mergeCell ref="U163:U167"/>
    <mergeCell ref="U168:U169"/>
    <mergeCell ref="U203:U206"/>
    <mergeCell ref="Z162:Z163"/>
    <mergeCell ref="D168:D169"/>
    <mergeCell ref="E169:G169"/>
    <mergeCell ref="C170:G170"/>
    <mergeCell ref="Q170:U170"/>
    <mergeCell ref="Q190:U190"/>
    <mergeCell ref="D157:D159"/>
    <mergeCell ref="E157:E159"/>
    <mergeCell ref="F157:F159"/>
    <mergeCell ref="D160:D162"/>
    <mergeCell ref="E160:E161"/>
    <mergeCell ref="F160:F161"/>
    <mergeCell ref="U160:U162"/>
    <mergeCell ref="U179:U180"/>
    <mergeCell ref="Z153:Z154"/>
    <mergeCell ref="D154:D155"/>
    <mergeCell ref="D127:D128"/>
    <mergeCell ref="D129:D130"/>
    <mergeCell ref="D131:D132"/>
    <mergeCell ref="D133:D134"/>
    <mergeCell ref="D135:D136"/>
    <mergeCell ref="Q136:Q137"/>
    <mergeCell ref="E137:G137"/>
    <mergeCell ref="U143:U146"/>
    <mergeCell ref="U147:U149"/>
    <mergeCell ref="U133:U134"/>
    <mergeCell ref="U154:U156"/>
    <mergeCell ref="E153:G153"/>
    <mergeCell ref="E123:E124"/>
    <mergeCell ref="F123:F124"/>
    <mergeCell ref="D125:D126"/>
    <mergeCell ref="C101:U101"/>
    <mergeCell ref="D102:D104"/>
    <mergeCell ref="D110:D112"/>
    <mergeCell ref="D113:D114"/>
    <mergeCell ref="D122:D124"/>
    <mergeCell ref="U122:U124"/>
    <mergeCell ref="U113:U114"/>
    <mergeCell ref="U120:U121"/>
    <mergeCell ref="U102:U108"/>
    <mergeCell ref="D118:D119"/>
    <mergeCell ref="U118:U119"/>
    <mergeCell ref="D116:D117"/>
    <mergeCell ref="U125:U126"/>
    <mergeCell ref="U110:U112"/>
    <mergeCell ref="B100:U100"/>
    <mergeCell ref="A94:A95"/>
    <mergeCell ref="C94:C95"/>
    <mergeCell ref="D94:D95"/>
    <mergeCell ref="E94:E95"/>
    <mergeCell ref="F94:F95"/>
    <mergeCell ref="A96:A97"/>
    <mergeCell ref="C96:C97"/>
    <mergeCell ref="D96:D97"/>
    <mergeCell ref="E96:E97"/>
    <mergeCell ref="F96:F97"/>
    <mergeCell ref="B99:G99"/>
    <mergeCell ref="Q99:U99"/>
    <mergeCell ref="U94:U95"/>
    <mergeCell ref="A91:A93"/>
    <mergeCell ref="C91:C93"/>
    <mergeCell ref="D91:D93"/>
    <mergeCell ref="E91:E93"/>
    <mergeCell ref="F91:F93"/>
    <mergeCell ref="Q92:Q93"/>
    <mergeCell ref="Q84:Q85"/>
    <mergeCell ref="B89:B90"/>
    <mergeCell ref="C89:C90"/>
    <mergeCell ref="D89:D90"/>
    <mergeCell ref="E89:E90"/>
    <mergeCell ref="F89:F90"/>
    <mergeCell ref="Q89:Q90"/>
    <mergeCell ref="X42:X43"/>
    <mergeCell ref="Q73:Q74"/>
    <mergeCell ref="E74:G74"/>
    <mergeCell ref="D55:D56"/>
    <mergeCell ref="D58:D59"/>
    <mergeCell ref="G58:G59"/>
    <mergeCell ref="H58:H59"/>
    <mergeCell ref="K58:K59"/>
    <mergeCell ref="D51:D52"/>
    <mergeCell ref="E51:E52"/>
    <mergeCell ref="F51:F52"/>
    <mergeCell ref="Q51:Q52"/>
    <mergeCell ref="D53:D54"/>
    <mergeCell ref="E53:E54"/>
    <mergeCell ref="F53:F54"/>
    <mergeCell ref="T45:T47"/>
    <mergeCell ref="L58:L59"/>
    <mergeCell ref="D62:D63"/>
    <mergeCell ref="E62:E63"/>
    <mergeCell ref="D64:D65"/>
    <mergeCell ref="D70:D71"/>
    <mergeCell ref="D73:D74"/>
    <mergeCell ref="D48:D50"/>
    <mergeCell ref="Y42:Y43"/>
    <mergeCell ref="Q43:Q44"/>
    <mergeCell ref="A45:A47"/>
    <mergeCell ref="B45:B47"/>
    <mergeCell ref="C45:C47"/>
    <mergeCell ref="D45:D47"/>
    <mergeCell ref="E45:E47"/>
    <mergeCell ref="Q28:Q29"/>
    <mergeCell ref="D33:D34"/>
    <mergeCell ref="D35:D36"/>
    <mergeCell ref="D37:D38"/>
    <mergeCell ref="D39:D40"/>
    <mergeCell ref="A41:A44"/>
    <mergeCell ref="B41:B44"/>
    <mergeCell ref="C41:C44"/>
    <mergeCell ref="D41:D44"/>
    <mergeCell ref="E41:E44"/>
    <mergeCell ref="F45:F47"/>
    <mergeCell ref="Q45:Q47"/>
    <mergeCell ref="R45:R47"/>
    <mergeCell ref="S45:S47"/>
    <mergeCell ref="F28:F31"/>
    <mergeCell ref="F41:F44"/>
    <mergeCell ref="W42:W43"/>
    <mergeCell ref="F6:F8"/>
    <mergeCell ref="G6:G8"/>
    <mergeCell ref="H6:H8"/>
    <mergeCell ref="K6:K8"/>
    <mergeCell ref="J6:J8"/>
    <mergeCell ref="Q1:U1"/>
    <mergeCell ref="A2:U2"/>
    <mergeCell ref="A3:U3"/>
    <mergeCell ref="A4:U4"/>
    <mergeCell ref="C5:U5"/>
    <mergeCell ref="A6:A8"/>
    <mergeCell ref="B6:B8"/>
    <mergeCell ref="C6:C8"/>
    <mergeCell ref="D6:D8"/>
    <mergeCell ref="E6:E8"/>
    <mergeCell ref="L6:L8"/>
    <mergeCell ref="M6:M8"/>
    <mergeCell ref="U6:U8"/>
    <mergeCell ref="Q6:T6"/>
    <mergeCell ref="R7:T7"/>
    <mergeCell ref="Q7:Q8"/>
    <mergeCell ref="N6:N8"/>
    <mergeCell ref="O6:O8"/>
    <mergeCell ref="P6:P8"/>
    <mergeCell ref="C13:C14"/>
    <mergeCell ref="D13:D14"/>
    <mergeCell ref="E13:E14"/>
    <mergeCell ref="F13:F14"/>
    <mergeCell ref="Q20:Q21"/>
    <mergeCell ref="U84:U86"/>
    <mergeCell ref="N58:N59"/>
    <mergeCell ref="O58:O59"/>
    <mergeCell ref="G60:G61"/>
    <mergeCell ref="U22:U24"/>
    <mergeCell ref="U33:U34"/>
    <mergeCell ref="U64:U66"/>
    <mergeCell ref="U13:U19"/>
    <mergeCell ref="A28:A31"/>
    <mergeCell ref="C28:C31"/>
    <mergeCell ref="D28:D31"/>
    <mergeCell ref="D77:D78"/>
    <mergeCell ref="A240:G240"/>
    <mergeCell ref="D80:D81"/>
    <mergeCell ref="E80:E81"/>
    <mergeCell ref="A9:U9"/>
    <mergeCell ref="A10:U10"/>
    <mergeCell ref="B11:U11"/>
    <mergeCell ref="C12:U12"/>
    <mergeCell ref="D20:D21"/>
    <mergeCell ref="D22:D24"/>
    <mergeCell ref="Q22:Q23"/>
    <mergeCell ref="D25:D27"/>
    <mergeCell ref="Q25:Q26"/>
    <mergeCell ref="F80:F81"/>
    <mergeCell ref="H80:H81"/>
    <mergeCell ref="D84:D86"/>
    <mergeCell ref="Q96:Q97"/>
    <mergeCell ref="C98:G98"/>
    <mergeCell ref="R98:U98"/>
    <mergeCell ref="E28:E31"/>
    <mergeCell ref="U58:U59"/>
  </mergeCells>
  <printOptions horizontalCentered="1"/>
  <pageMargins left="0.31496062992125984" right="0.31496062992125984" top="0.74803149606299213" bottom="0.35433070866141736" header="0.31496062992125984" footer="0.31496062992125984"/>
  <pageSetup paperSize="9" scale="71" orientation="landscape" r:id="rId1"/>
  <rowBreaks count="9" manualBreakCount="9">
    <brk id="32" max="20" man="1"/>
    <brk id="52" max="20" man="1"/>
    <brk id="66" max="20" man="1"/>
    <brk id="86" max="20" man="1"/>
    <brk id="110" max="20" man="1"/>
    <brk id="124" max="20" man="1"/>
    <brk id="144" max="20" man="1"/>
    <brk id="191" max="20" man="1"/>
    <brk id="224" max="2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9</vt:i4>
      </vt:variant>
      <vt:variant>
        <vt:lpstr>Įvardinti diapazonai</vt:lpstr>
      </vt:variant>
      <vt:variant>
        <vt:i4>6</vt:i4>
      </vt:variant>
    </vt:vector>
  </HeadingPairs>
  <TitlesOfParts>
    <vt:vector size="15" baseType="lpstr">
      <vt:lpstr>MVP</vt:lpstr>
      <vt:lpstr>10 programa</vt:lpstr>
      <vt:lpstr>Aiškinamoji lentelė</vt:lpstr>
      <vt:lpstr>LITNET</vt:lpstr>
      <vt:lpstr>Priešgaisrinė sauga</vt:lpstr>
      <vt:lpstr>Elektros instaliacijos remontas</vt:lpstr>
      <vt:lpstr>Sanitarinių patalpų remontas</vt:lpstr>
      <vt:lpstr>01.01.02 priemonė </vt:lpstr>
      <vt:lpstr>Lyginamasis 2018-10-25</vt:lpstr>
      <vt:lpstr>'10 programa'!Print_Area</vt:lpstr>
      <vt:lpstr>'Aiškinamoji lentelė'!Print_Area</vt:lpstr>
      <vt:lpstr>'Lyginamasis 2018-10-25'!Print_Area</vt:lpstr>
      <vt:lpstr>'10 programa'!Print_Titles</vt:lpstr>
      <vt:lpstr>'Aiškinamoji lentelė'!Print_Titles</vt:lpstr>
      <vt:lpstr>'Lyginamasis 2018-10-25'!Print_Titles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G.Uzkuriene</dc:creator>
  <cp:lastModifiedBy>Virginija Palaimiene</cp:lastModifiedBy>
  <cp:lastPrinted>2019-01-10T11:33:10Z</cp:lastPrinted>
  <dcterms:created xsi:type="dcterms:W3CDTF">2006-05-12T05:50:12Z</dcterms:created>
  <dcterms:modified xsi:type="dcterms:W3CDTF">2019-01-11T07:24:21Z</dcterms:modified>
</cp:coreProperties>
</file>