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7pr\"/>
    </mc:Choice>
  </mc:AlternateContent>
  <bookViews>
    <workbookView xWindow="0" yWindow="0" windowWidth="28770" windowHeight="12270" firstSheet="1" activeTab="1"/>
  </bookViews>
  <sheets>
    <sheet name="Lyginamasis variantas" sheetId="10" state="hidden" r:id="rId1"/>
    <sheet name="6 programa" sheetId="12" r:id="rId2"/>
    <sheet name="aiškinamoji lentelė " sheetId="5" r:id="rId3"/>
    <sheet name="aiškinamoji lentelė  (2)" sheetId="11" state="hidden" r:id="rId4"/>
  </sheets>
  <definedNames>
    <definedName name="_xlnm.Print_Area" localSheetId="1">'6 programa'!$A$1:$N$271</definedName>
    <definedName name="_xlnm.Print_Area" localSheetId="2">'aiškinamoji lentelė '!$A$1:$R$296</definedName>
    <definedName name="_xlnm.Print_Area" localSheetId="3">'aiškinamoji lentelė  (2)'!$A$1:$R$307</definedName>
    <definedName name="_xlnm.Print_Area" localSheetId="0">'Lyginamasis variantas'!$A$1:$U$273</definedName>
    <definedName name="_xlnm.Print_Titles" localSheetId="1">'6 programa'!$9:$11</definedName>
    <definedName name="_xlnm.Print_Titles" localSheetId="2">'aiškinamoji lentelė '!$6:$8</definedName>
    <definedName name="_xlnm.Print_Titles" localSheetId="3">'aiškinamoji lentelė  (2)'!$6:$8</definedName>
    <definedName name="_xlnm.Print_Titles" localSheetId="0">'Lyginamasis variantas'!$7:$9</definedName>
  </definedNames>
  <calcPr calcId="162913" fullPrecision="0"/>
</workbook>
</file>

<file path=xl/calcChain.xml><?xml version="1.0" encoding="utf-8"?>
<calcChain xmlns="http://schemas.openxmlformats.org/spreadsheetml/2006/main">
  <c r="H199" i="12" l="1"/>
  <c r="H110" i="12" l="1"/>
  <c r="J108" i="12"/>
  <c r="I108" i="12"/>
  <c r="H153" i="12" l="1"/>
  <c r="K256" i="5"/>
  <c r="K243" i="5"/>
  <c r="J100" i="12" l="1"/>
  <c r="I100" i="12"/>
  <c r="H100" i="12"/>
  <c r="H264" i="12" l="1"/>
  <c r="J258" i="12"/>
  <c r="M286" i="5"/>
  <c r="J255" i="12"/>
  <c r="J266" i="12"/>
  <c r="I266" i="12"/>
  <c r="H266" i="12"/>
  <c r="J264" i="12"/>
  <c r="I264" i="12"/>
  <c r="J262" i="12"/>
  <c r="I262" i="12"/>
  <c r="H262" i="12"/>
  <c r="J260" i="12"/>
  <c r="I260" i="12"/>
  <c r="H260" i="12"/>
  <c r="H257" i="12"/>
  <c r="I258" i="12"/>
  <c r="H258" i="12"/>
  <c r="H259" i="12"/>
  <c r="H251" i="12"/>
  <c r="I241" i="12"/>
  <c r="J241" i="12"/>
  <c r="J200" i="12"/>
  <c r="I200" i="12"/>
  <c r="J198" i="12" l="1"/>
  <c r="J237" i="12" s="1"/>
  <c r="J242" i="12" s="1"/>
  <c r="I198" i="12"/>
  <c r="I237" i="12" s="1"/>
  <c r="I242" i="12" s="1"/>
  <c r="H198" i="12"/>
  <c r="H237" i="12" s="1"/>
  <c r="H193" i="12"/>
  <c r="I193" i="12"/>
  <c r="J193" i="12"/>
  <c r="H170" i="12"/>
  <c r="I170" i="12"/>
  <c r="J170" i="12"/>
  <c r="H147" i="12" l="1"/>
  <c r="I143" i="12"/>
  <c r="J143" i="12"/>
  <c r="H136" i="12"/>
  <c r="H143" i="12" s="1"/>
  <c r="I134" i="12"/>
  <c r="J134" i="12"/>
  <c r="H134" i="12"/>
  <c r="I105" i="12"/>
  <c r="J105" i="12"/>
  <c r="H105" i="12"/>
  <c r="H95" i="12"/>
  <c r="I95" i="12"/>
  <c r="J95" i="12"/>
  <c r="I83" i="12"/>
  <c r="J83" i="12"/>
  <c r="H83" i="12"/>
  <c r="I73" i="12"/>
  <c r="J73" i="12"/>
  <c r="H73" i="12"/>
  <c r="I58" i="12"/>
  <c r="J58" i="12"/>
  <c r="H58" i="12"/>
  <c r="I42" i="12"/>
  <c r="J42" i="12"/>
  <c r="H42" i="12"/>
  <c r="J265" i="12"/>
  <c r="I265" i="12"/>
  <c r="H265" i="12"/>
  <c r="J263" i="12"/>
  <c r="I263" i="12"/>
  <c r="H263" i="12"/>
  <c r="J259" i="12"/>
  <c r="I259" i="12"/>
  <c r="J257" i="12"/>
  <c r="I257" i="12"/>
  <c r="J256" i="12"/>
  <c r="I256" i="12"/>
  <c r="H256" i="12"/>
  <c r="I255" i="12"/>
  <c r="H255" i="12"/>
  <c r="J254" i="12"/>
  <c r="I254" i="12"/>
  <c r="H254" i="12"/>
  <c r="J252" i="12"/>
  <c r="I252" i="12"/>
  <c r="H252" i="12"/>
  <c r="H241" i="12"/>
  <c r="H242" i="12" s="1"/>
  <c r="J253" i="12"/>
  <c r="I253" i="12"/>
  <c r="J173" i="12"/>
  <c r="J194" i="12" s="1"/>
  <c r="I173" i="12"/>
  <c r="I194" i="12" s="1"/>
  <c r="H173" i="12"/>
  <c r="H194" i="12" s="1"/>
  <c r="L156" i="12"/>
  <c r="J147" i="12"/>
  <c r="I147" i="12"/>
  <c r="L131" i="12"/>
  <c r="H106" i="12" l="1"/>
  <c r="H148" i="12"/>
  <c r="I106" i="12"/>
  <c r="J106" i="12"/>
  <c r="I251" i="12"/>
  <c r="I250" i="12" s="1"/>
  <c r="I249" i="12" s="1"/>
  <c r="H253" i="12"/>
  <c r="I261" i="12"/>
  <c r="J261" i="12"/>
  <c r="J251" i="12"/>
  <c r="J250" i="12" s="1"/>
  <c r="J249" i="12" s="1"/>
  <c r="H261" i="12"/>
  <c r="M237" i="5"/>
  <c r="L237" i="5"/>
  <c r="M115" i="5"/>
  <c r="L115" i="5"/>
  <c r="J148" i="12" l="1"/>
  <c r="J243" i="12" s="1"/>
  <c r="J244" i="12" s="1"/>
  <c r="I148" i="12"/>
  <c r="I243" i="12" s="1"/>
  <c r="I244" i="12" s="1"/>
  <c r="J267" i="12"/>
  <c r="H250" i="12"/>
  <c r="H249" i="12" s="1"/>
  <c r="H267" i="12" s="1"/>
  <c r="I267" i="12"/>
  <c r="H243" i="12"/>
  <c r="H244" i="12" s="1"/>
  <c r="M242" i="5"/>
  <c r="L242" i="5"/>
  <c r="J45" i="5" l="1"/>
  <c r="K38" i="5" l="1"/>
  <c r="K242" i="5" l="1"/>
  <c r="K164" i="5"/>
  <c r="K186" i="5" s="1"/>
  <c r="M265" i="5"/>
  <c r="K237" i="5" l="1"/>
  <c r="M52" i="5" l="1"/>
  <c r="L52" i="5"/>
  <c r="K41" i="5"/>
  <c r="K52" i="5" s="1"/>
  <c r="M305" i="11"/>
  <c r="L305" i="11"/>
  <c r="K305" i="11"/>
  <c r="J305" i="11"/>
  <c r="M304" i="11"/>
  <c r="L304" i="11"/>
  <c r="K304" i="11"/>
  <c r="J304" i="11"/>
  <c r="M303" i="11"/>
  <c r="L303" i="11"/>
  <c r="K303" i="11"/>
  <c r="J303" i="11"/>
  <c r="M302" i="11"/>
  <c r="L302" i="11"/>
  <c r="K302" i="11"/>
  <c r="J302" i="11"/>
  <c r="M301" i="11"/>
  <c r="L301" i="11"/>
  <c r="K301" i="11"/>
  <c r="J301" i="11"/>
  <c r="J300" i="11" s="1"/>
  <c r="M300" i="11"/>
  <c r="L300" i="11"/>
  <c r="K300" i="11"/>
  <c r="M299" i="11"/>
  <c r="L299" i="11"/>
  <c r="K299" i="11"/>
  <c r="M298" i="11"/>
  <c r="L298" i="11"/>
  <c r="K298" i="11"/>
  <c r="J298" i="11"/>
  <c r="M297" i="11"/>
  <c r="L297" i="11"/>
  <c r="K297" i="11"/>
  <c r="J297" i="11"/>
  <c r="M296" i="11"/>
  <c r="L296" i="11"/>
  <c r="K296" i="11"/>
  <c r="M295" i="11"/>
  <c r="L295" i="11"/>
  <c r="K295" i="11"/>
  <c r="M294" i="11"/>
  <c r="L294" i="11"/>
  <c r="K294" i="11"/>
  <c r="J294" i="11"/>
  <c r="M293" i="11"/>
  <c r="L293" i="11"/>
  <c r="K293" i="11"/>
  <c r="J293" i="11"/>
  <c r="M292" i="11"/>
  <c r="M291" i="11"/>
  <c r="L291" i="11"/>
  <c r="K291" i="11"/>
  <c r="J291" i="11"/>
  <c r="M290" i="11"/>
  <c r="M289" i="11" s="1"/>
  <c r="M288" i="11" s="1"/>
  <c r="M306" i="11" s="1"/>
  <c r="M279" i="11"/>
  <c r="L279" i="11"/>
  <c r="K279" i="11"/>
  <c r="J276" i="11"/>
  <c r="J279" i="11" s="1"/>
  <c r="M272" i="11"/>
  <c r="M275" i="11" s="1"/>
  <c r="K267" i="11"/>
  <c r="J267" i="11"/>
  <c r="K264" i="11"/>
  <c r="J264" i="11"/>
  <c r="L254" i="11"/>
  <c r="L292" i="11" s="1"/>
  <c r="K254" i="11"/>
  <c r="K253" i="11"/>
  <c r="K290" i="11" s="1"/>
  <c r="J253" i="11"/>
  <c r="J251" i="11"/>
  <c r="J249" i="11"/>
  <c r="J240" i="11"/>
  <c r="J275" i="11" s="1"/>
  <c r="L233" i="11"/>
  <c r="L290" i="11" s="1"/>
  <c r="M220" i="11"/>
  <c r="M221" i="11" s="1"/>
  <c r="L220" i="11"/>
  <c r="L221" i="11" s="1"/>
  <c r="K220" i="11"/>
  <c r="K221" i="11" s="1"/>
  <c r="J205" i="11"/>
  <c r="J220" i="11" s="1"/>
  <c r="M201" i="11"/>
  <c r="L201" i="11"/>
  <c r="K201" i="11"/>
  <c r="J201" i="11"/>
  <c r="M198" i="11"/>
  <c r="L198" i="11"/>
  <c r="K198" i="11"/>
  <c r="J192" i="11"/>
  <c r="J292" i="11" s="1"/>
  <c r="J182" i="11"/>
  <c r="J198" i="11" s="1"/>
  <c r="J176" i="11"/>
  <c r="P175" i="11"/>
  <c r="M167" i="11"/>
  <c r="M168" i="11" s="1"/>
  <c r="L167" i="11"/>
  <c r="L168" i="11" s="1"/>
  <c r="K167" i="11"/>
  <c r="J167" i="11"/>
  <c r="J168" i="11" s="1"/>
  <c r="M163" i="11"/>
  <c r="L163" i="11"/>
  <c r="J163" i="11"/>
  <c r="K157" i="11"/>
  <c r="K163" i="11" s="1"/>
  <c r="M151" i="11"/>
  <c r="L151" i="11"/>
  <c r="K151" i="11"/>
  <c r="P147" i="11"/>
  <c r="J132" i="11"/>
  <c r="J126" i="11"/>
  <c r="J125" i="11"/>
  <c r="J151" i="11" s="1"/>
  <c r="M120" i="11"/>
  <c r="L120" i="11"/>
  <c r="K120" i="11"/>
  <c r="J120" i="11"/>
  <c r="M117" i="11"/>
  <c r="M121" i="11" s="1"/>
  <c r="L117" i="11"/>
  <c r="L121" i="11" s="1"/>
  <c r="K117" i="11"/>
  <c r="K121" i="11" s="1"/>
  <c r="J117" i="11"/>
  <c r="M112" i="11"/>
  <c r="L112" i="11"/>
  <c r="K112" i="11"/>
  <c r="J112" i="11"/>
  <c r="M101" i="11"/>
  <c r="L101" i="11"/>
  <c r="K101" i="11"/>
  <c r="J92" i="11"/>
  <c r="J101" i="11" s="1"/>
  <c r="J86" i="11"/>
  <c r="M84" i="11"/>
  <c r="L84" i="11"/>
  <c r="K84" i="11"/>
  <c r="J79" i="11"/>
  <c r="J76" i="11"/>
  <c r="J75" i="11"/>
  <c r="J84" i="11" s="1"/>
  <c r="M73" i="11"/>
  <c r="L73" i="11"/>
  <c r="K73" i="11"/>
  <c r="J62" i="11"/>
  <c r="J60" i="11"/>
  <c r="J58" i="11"/>
  <c r="J57" i="11"/>
  <c r="J73" i="11" s="1"/>
  <c r="M55" i="11"/>
  <c r="L55" i="11"/>
  <c r="K55" i="11"/>
  <c r="J55" i="11"/>
  <c r="J45" i="11"/>
  <c r="J40" i="11"/>
  <c r="M37" i="11"/>
  <c r="L37" i="11"/>
  <c r="K37" i="11"/>
  <c r="J23" i="11"/>
  <c r="J37" i="11" s="1"/>
  <c r="L280" i="11" l="1"/>
  <c r="L281" i="11" s="1"/>
  <c r="L282" i="11" s="1"/>
  <c r="L289" i="11"/>
  <c r="L288" i="11" s="1"/>
  <c r="L306" i="11" s="1"/>
  <c r="M280" i="11"/>
  <c r="M281" i="11" s="1"/>
  <c r="M282" i="11" s="1"/>
  <c r="J280" i="11"/>
  <c r="J281" i="11" s="1"/>
  <c r="J282" i="11" s="1"/>
  <c r="J221" i="11"/>
  <c r="J121" i="11"/>
  <c r="K168" i="11"/>
  <c r="K280" i="11"/>
  <c r="K281" i="11" s="1"/>
  <c r="K282" i="11" s="1"/>
  <c r="J295" i="11"/>
  <c r="K275" i="11"/>
  <c r="J290" i="11"/>
  <c r="K292" i="11"/>
  <c r="K289" i="11" s="1"/>
  <c r="K288" i="11" s="1"/>
  <c r="K306" i="11" s="1"/>
  <c r="J299" i="11"/>
  <c r="L275" i="11"/>
  <c r="L292" i="5"/>
  <c r="L68" i="5"/>
  <c r="K68" i="5"/>
  <c r="M68" i="5"/>
  <c r="M94" i="5"/>
  <c r="L94" i="5"/>
  <c r="L208" i="5"/>
  <c r="M285" i="5"/>
  <c r="L285" i="5"/>
  <c r="K292" i="5"/>
  <c r="M292" i="5"/>
  <c r="J289" i="11" l="1"/>
  <c r="J288" i="11" s="1"/>
  <c r="J306" i="11" s="1"/>
  <c r="K285" i="5"/>
  <c r="M284" i="5"/>
  <c r="L284" i="5"/>
  <c r="K284" i="5"/>
  <c r="M291" i="5"/>
  <c r="L291" i="5"/>
  <c r="K291" i="5"/>
  <c r="J291" i="5"/>
  <c r="L38" i="5" l="1"/>
  <c r="M38" i="5"/>
  <c r="J189" i="5"/>
  <c r="J105" i="5"/>
  <c r="L279" i="5" l="1"/>
  <c r="L221" i="5"/>
  <c r="K208" i="5"/>
  <c r="L110" i="5"/>
  <c r="K105" i="5"/>
  <c r="K94" i="5"/>
  <c r="K79" i="5"/>
  <c r="M208" i="5"/>
  <c r="K269" i="5"/>
  <c r="J87" i="5"/>
  <c r="J41" i="5"/>
  <c r="J81" i="5" l="1"/>
  <c r="J54" i="5"/>
  <c r="K255" i="5" l="1"/>
  <c r="P165" i="5" l="1"/>
  <c r="M79" i="5" l="1"/>
  <c r="L79" i="5"/>
  <c r="J23" i="5" l="1"/>
  <c r="J38" i="5" l="1"/>
  <c r="M279" i="5" l="1"/>
  <c r="J166" i="5"/>
  <c r="L265" i="5" l="1"/>
  <c r="K252" i="5" l="1"/>
  <c r="K265" i="5" s="1"/>
  <c r="K279" i="5" l="1"/>
  <c r="K141" i="5"/>
  <c r="K147" i="5" l="1"/>
  <c r="K153" i="5" s="1"/>
  <c r="L153" i="5" l="1"/>
  <c r="M153" i="5"/>
  <c r="J153" i="5"/>
  <c r="L280" i="5" l="1"/>
  <c r="L281" i="5"/>
  <c r="L288" i="5"/>
  <c r="L141" i="5"/>
  <c r="M141" i="5"/>
  <c r="L186" i="5"/>
  <c r="M186" i="5"/>
  <c r="J252" i="5" l="1"/>
  <c r="J228" i="5"/>
  <c r="L105" i="5" l="1"/>
  <c r="L111" i="5" s="1"/>
  <c r="P138" i="5"/>
  <c r="K283" i="5" l="1"/>
  <c r="M283" i="5"/>
  <c r="L283" i="5"/>
  <c r="L282" i="5"/>
  <c r="J283" i="5"/>
  <c r="L278" i="5" l="1"/>
  <c r="K288" i="5"/>
  <c r="M288" i="5"/>
  <c r="M287" i="5"/>
  <c r="L287" i="5"/>
  <c r="K287" i="5"/>
  <c r="K286" i="5"/>
  <c r="L293" i="5"/>
  <c r="M293" i="5"/>
  <c r="K293" i="5"/>
  <c r="K110" i="5"/>
  <c r="K111" i="5" s="1"/>
  <c r="M110" i="5"/>
  <c r="J110" i="5"/>
  <c r="M105" i="5"/>
  <c r="M111" i="5" l="1"/>
  <c r="L267" i="10" l="1"/>
  <c r="M267" i="10" s="1"/>
  <c r="L115" i="10" l="1"/>
  <c r="L122" i="10" s="1"/>
  <c r="M115" i="10" l="1"/>
  <c r="K122" i="10"/>
  <c r="P122" i="10" l="1"/>
  <c r="I114" i="10"/>
  <c r="J116" i="10"/>
  <c r="M122" i="10"/>
  <c r="J118" i="10"/>
  <c r="I122" i="10" l="1"/>
  <c r="J117" i="10"/>
  <c r="I206" i="10" l="1"/>
  <c r="J206" i="10" s="1"/>
  <c r="J122" i="10" l="1"/>
  <c r="H269" i="10" l="1"/>
  <c r="N264" i="10"/>
  <c r="K264" i="10"/>
  <c r="O264" i="10"/>
  <c r="L100" i="10"/>
  <c r="M100" i="10" s="1"/>
  <c r="I267" i="10"/>
  <c r="J266" i="5"/>
  <c r="M244" i="10"/>
  <c r="L244" i="10"/>
  <c r="I244" i="10"/>
  <c r="J94" i="5"/>
  <c r="M101" i="10"/>
  <c r="J101" i="10"/>
  <c r="J100" i="10"/>
  <c r="P64" i="10"/>
  <c r="M64" i="10"/>
  <c r="J64" i="10"/>
  <c r="J57" i="5"/>
  <c r="M66" i="10"/>
  <c r="J66" i="10"/>
  <c r="M72" i="10" l="1"/>
  <c r="M73" i="10"/>
  <c r="M71" i="10"/>
  <c r="J73" i="10"/>
  <c r="J72" i="10"/>
  <c r="J71" i="10"/>
  <c r="M51" i="10"/>
  <c r="J51" i="10"/>
  <c r="I55" i="10"/>
  <c r="M47" i="10"/>
  <c r="J47" i="10"/>
  <c r="J52" i="5" l="1"/>
  <c r="I37" i="10" l="1"/>
  <c r="M27" i="10"/>
  <c r="M37" i="10" s="1"/>
  <c r="J27" i="10"/>
  <c r="P21" i="10"/>
  <c r="J21" i="10"/>
  <c r="J74" i="5" l="1"/>
  <c r="J71" i="5"/>
  <c r="J70" i="5"/>
  <c r="J87" i="10"/>
  <c r="I82" i="10"/>
  <c r="I269" i="10" s="1"/>
  <c r="J284" i="5" l="1"/>
  <c r="J79" i="5"/>
  <c r="M84" i="10"/>
  <c r="J84" i="10"/>
  <c r="J86" i="10" l="1"/>
  <c r="L81" i="10"/>
  <c r="M85" i="10"/>
  <c r="J85" i="10"/>
  <c r="P98" i="10" l="1"/>
  <c r="I170" i="10" l="1"/>
  <c r="J172" i="5" l="1"/>
  <c r="J177" i="10"/>
  <c r="J264" i="10" s="1"/>
  <c r="J255" i="5" l="1"/>
  <c r="J241" i="5"/>
  <c r="J239" i="5"/>
  <c r="H55" i="10" l="1"/>
  <c r="H208" i="10"/>
  <c r="H243" i="10" s="1"/>
  <c r="K203" i="10"/>
  <c r="H170" i="10"/>
  <c r="H168" i="10"/>
  <c r="H134" i="10"/>
  <c r="H132" i="10"/>
  <c r="P65" i="10" l="1"/>
  <c r="J65" i="10"/>
  <c r="I97" i="10" l="1"/>
  <c r="N95" i="10" l="1"/>
  <c r="O95" i="10"/>
  <c r="K95" i="10"/>
  <c r="K112" i="10" s="1"/>
  <c r="L95" i="10"/>
  <c r="L112" i="10" s="1"/>
  <c r="H97" i="10"/>
  <c r="J97" i="10" s="1"/>
  <c r="H95" i="10"/>
  <c r="I95" i="10"/>
  <c r="I112" i="10" s="1"/>
  <c r="H80" i="10"/>
  <c r="K81" i="10"/>
  <c r="N56" i="10"/>
  <c r="K56" i="10"/>
  <c r="H61" i="10"/>
  <c r="H264" i="10" s="1"/>
  <c r="H57" i="10"/>
  <c r="O56" i="10"/>
  <c r="O78" i="10" s="1"/>
  <c r="L56" i="10"/>
  <c r="I61" i="10"/>
  <c r="I57" i="10"/>
  <c r="I78" i="10" l="1"/>
  <c r="O112" i="10"/>
  <c r="N112" i="10" l="1"/>
  <c r="J122" i="5" l="1"/>
  <c r="J116" i="5"/>
  <c r="I168" i="10"/>
  <c r="I132" i="10"/>
  <c r="K270" i="5" l="1"/>
  <c r="L294" i="5"/>
  <c r="L290" i="5"/>
  <c r="L286" i="5"/>
  <c r="L277" i="5" s="1"/>
  <c r="J237" i="5"/>
  <c r="J265" i="5" s="1"/>
  <c r="J115" i="5"/>
  <c r="J141" i="5" s="1"/>
  <c r="L289" i="5" l="1"/>
  <c r="J59" i="5"/>
  <c r="J288" i="5" s="1"/>
  <c r="L269" i="5" l="1"/>
  <c r="L189" i="5"/>
  <c r="L157" i="5"/>
  <c r="L158" i="5" s="1"/>
  <c r="L209" i="5" l="1"/>
  <c r="L270" i="5"/>
  <c r="L295" i="5" l="1"/>
  <c r="L271" i="5"/>
  <c r="L272" i="5" s="1"/>
  <c r="L203" i="10" l="1"/>
  <c r="J161" i="10" l="1"/>
  <c r="O94" i="10" l="1"/>
  <c r="N94" i="10"/>
  <c r="O55" i="10"/>
  <c r="N257" i="10"/>
  <c r="O261" i="10"/>
  <c r="P165" i="10"/>
  <c r="P267" i="10"/>
  <c r="O267" i="10"/>
  <c r="M112" i="10" l="1"/>
  <c r="P112" i="10"/>
  <c r="P37" i="10" l="1"/>
  <c r="O14" i="10"/>
  <c r="O257" i="10" l="1"/>
  <c r="O37" i="10"/>
  <c r="L78" i="10"/>
  <c r="M78" i="10" l="1"/>
  <c r="P55" i="10"/>
  <c r="M55" i="10"/>
  <c r="P203" i="10" l="1"/>
  <c r="P204" i="10" s="1"/>
  <c r="M203" i="10"/>
  <c r="J203" i="10"/>
  <c r="J55" i="10" l="1"/>
  <c r="J37" i="10"/>
  <c r="M165" i="10"/>
  <c r="M204" i="10"/>
  <c r="J128" i="10"/>
  <c r="I128" i="10"/>
  <c r="P78" i="10" l="1"/>
  <c r="I80" i="10" l="1"/>
  <c r="P94" i="10"/>
  <c r="P129" i="10" s="1"/>
  <c r="M94" i="10" l="1"/>
  <c r="M129" i="10" s="1"/>
  <c r="J94" i="10"/>
  <c r="J261" i="10"/>
  <c r="J78" i="10" l="1"/>
  <c r="O260" i="10"/>
  <c r="N260" i="10"/>
  <c r="L260" i="10"/>
  <c r="K260" i="10"/>
  <c r="I260" i="10"/>
  <c r="H260" i="10"/>
  <c r="M260" i="10" l="1"/>
  <c r="P260" i="10"/>
  <c r="J260" i="10"/>
  <c r="J263" i="10"/>
  <c r="J164" i="10"/>
  <c r="P243" i="10"/>
  <c r="M243" i="10"/>
  <c r="P247" i="10"/>
  <c r="M247" i="10"/>
  <c r="M248" i="10" l="1"/>
  <c r="M249" i="10" s="1"/>
  <c r="M250" i="10" s="1"/>
  <c r="P248" i="10"/>
  <c r="P249" i="10" s="1"/>
  <c r="P250" i="10" s="1"/>
  <c r="L14" i="10"/>
  <c r="L37" i="10" s="1"/>
  <c r="J184" i="10" l="1"/>
  <c r="J204" i="10" s="1"/>
  <c r="I134" i="10"/>
  <c r="I264" i="10" s="1"/>
  <c r="I157" i="10" l="1"/>
  <c r="J157" i="10"/>
  <c r="J165" i="10" s="1"/>
  <c r="J243" i="10"/>
  <c r="L261" i="10"/>
  <c r="N269" i="10"/>
  <c r="N268" i="10"/>
  <c r="N267" i="10"/>
  <c r="N263" i="10"/>
  <c r="N261" i="10"/>
  <c r="P261" i="10" s="1"/>
  <c r="N259" i="10"/>
  <c r="N258" i="10"/>
  <c r="P257" i="10"/>
  <c r="L269" i="10"/>
  <c r="L268" i="10"/>
  <c r="L266" i="10"/>
  <c r="L264" i="10"/>
  <c r="L263" i="10"/>
  <c r="L258" i="10"/>
  <c r="L257" i="10"/>
  <c r="I268" i="10"/>
  <c r="I266" i="10"/>
  <c r="I263" i="10"/>
  <c r="I259" i="10"/>
  <c r="I258" i="10"/>
  <c r="N256" i="10" l="1"/>
  <c r="T139" i="10" l="1"/>
  <c r="T138" i="10"/>
  <c r="N247" i="10"/>
  <c r="N243" i="10"/>
  <c r="N190" i="10"/>
  <c r="N203" i="10" s="1"/>
  <c r="N187" i="10"/>
  <c r="N184" i="10"/>
  <c r="N164" i="10"/>
  <c r="N161" i="10"/>
  <c r="N133" i="10"/>
  <c r="N128" i="10"/>
  <c r="N122" i="10"/>
  <c r="N78" i="10"/>
  <c r="N55" i="10"/>
  <c r="N37" i="10"/>
  <c r="L247" i="10"/>
  <c r="L243" i="10"/>
  <c r="L187" i="10"/>
  <c r="L184" i="10"/>
  <c r="L164" i="10"/>
  <c r="L158" i="10"/>
  <c r="L133" i="10"/>
  <c r="L128" i="10"/>
  <c r="L94" i="10"/>
  <c r="L55" i="10"/>
  <c r="I247" i="10"/>
  <c r="I208" i="10"/>
  <c r="I201" i="10"/>
  <c r="I187" i="10"/>
  <c r="I184" i="10"/>
  <c r="I164" i="10"/>
  <c r="I161" i="10"/>
  <c r="I94" i="10"/>
  <c r="K269" i="10"/>
  <c r="M269" i="10" s="1"/>
  <c r="J269" i="10"/>
  <c r="O268" i="10"/>
  <c r="P268" i="10" s="1"/>
  <c r="K268" i="10"/>
  <c r="M268" i="10" s="1"/>
  <c r="H268" i="10"/>
  <c r="J268" i="10" s="1"/>
  <c r="K267" i="10"/>
  <c r="H267" i="10"/>
  <c r="J267" i="10" s="1"/>
  <c r="K266" i="10"/>
  <c r="H266" i="10"/>
  <c r="J266" i="10" s="1"/>
  <c r="P264" i="10"/>
  <c r="M264" i="10"/>
  <c r="O263" i="10"/>
  <c r="P263" i="10" s="1"/>
  <c r="K263" i="10"/>
  <c r="M263" i="10" s="1"/>
  <c r="H263" i="10"/>
  <c r="K261" i="10"/>
  <c r="M261" i="10" s="1"/>
  <c r="O259" i="10"/>
  <c r="P259" i="10" s="1"/>
  <c r="H259" i="10"/>
  <c r="J259" i="10" s="1"/>
  <c r="O258" i="10"/>
  <c r="K258" i="10"/>
  <c r="M258" i="10" s="1"/>
  <c r="H258" i="10"/>
  <c r="J258" i="10" s="1"/>
  <c r="K257" i="10"/>
  <c r="M257" i="10" s="1"/>
  <c r="O247" i="10"/>
  <c r="K247" i="10"/>
  <c r="H244" i="10"/>
  <c r="O243" i="10"/>
  <c r="K243" i="10"/>
  <c r="H261" i="10"/>
  <c r="H201" i="10"/>
  <c r="O190" i="10"/>
  <c r="O187" i="10"/>
  <c r="K187" i="10"/>
  <c r="H187" i="10"/>
  <c r="O184" i="10"/>
  <c r="K184" i="10"/>
  <c r="H184" i="10"/>
  <c r="O164" i="10"/>
  <c r="K164" i="10"/>
  <c r="H164" i="10"/>
  <c r="O161" i="10"/>
  <c r="H161" i="10"/>
  <c r="K158" i="10"/>
  <c r="K259" i="10" s="1"/>
  <c r="H157" i="10"/>
  <c r="S139" i="10"/>
  <c r="S138" i="10"/>
  <c r="O133" i="10"/>
  <c r="O262" i="10" s="1"/>
  <c r="K133" i="10"/>
  <c r="K262" i="10" s="1"/>
  <c r="O128" i="10"/>
  <c r="K128" i="10"/>
  <c r="H128" i="10"/>
  <c r="O122" i="10"/>
  <c r="H122" i="10"/>
  <c r="J112" i="10"/>
  <c r="K94" i="10"/>
  <c r="H94" i="10"/>
  <c r="K78" i="10"/>
  <c r="H78" i="10"/>
  <c r="K55" i="10"/>
  <c r="K37" i="10"/>
  <c r="H37" i="10"/>
  <c r="H247" i="10" l="1"/>
  <c r="H248" i="10" s="1"/>
  <c r="J244" i="10"/>
  <c r="H262" i="10"/>
  <c r="H203" i="10"/>
  <c r="H204" i="10" s="1"/>
  <c r="K248" i="10"/>
  <c r="O266" i="10"/>
  <c r="O203" i="10"/>
  <c r="O204" i="10" s="1"/>
  <c r="I203" i="10"/>
  <c r="I204" i="10" s="1"/>
  <c r="I262" i="10"/>
  <c r="H112" i="10"/>
  <c r="H129" i="10" s="1"/>
  <c r="I257" i="10"/>
  <c r="I129" i="10"/>
  <c r="P258" i="10"/>
  <c r="P256" i="10" s="1"/>
  <c r="O256" i="10"/>
  <c r="J129" i="10"/>
  <c r="J265" i="10"/>
  <c r="H257" i="10"/>
  <c r="H256" i="10" s="1"/>
  <c r="K157" i="10"/>
  <c r="H165" i="10"/>
  <c r="N248" i="10"/>
  <c r="I243" i="10"/>
  <c r="I248" i="10" s="1"/>
  <c r="I261" i="10"/>
  <c r="N157" i="10"/>
  <c r="N165" i="10" s="1"/>
  <c r="N262" i="10"/>
  <c r="N255" i="10" s="1"/>
  <c r="L157" i="10"/>
  <c r="L262" i="10"/>
  <c r="M262" i="10" s="1"/>
  <c r="N204" i="10"/>
  <c r="N266" i="10"/>
  <c r="N265" i="10" s="1"/>
  <c r="I165" i="10"/>
  <c r="L161" i="10"/>
  <c r="L259" i="10"/>
  <c r="M259" i="10" s="1"/>
  <c r="K265" i="10"/>
  <c r="M266" i="10"/>
  <c r="L129" i="10"/>
  <c r="L248" i="10"/>
  <c r="N129" i="10"/>
  <c r="H265" i="10"/>
  <c r="K129" i="10"/>
  <c r="K204" i="10"/>
  <c r="O248" i="10"/>
  <c r="L204" i="10"/>
  <c r="K256" i="10"/>
  <c r="K255" i="10" s="1"/>
  <c r="K161" i="10"/>
  <c r="O157" i="10"/>
  <c r="O165" i="10" s="1"/>
  <c r="J247" i="10" l="1"/>
  <c r="J248" i="10" s="1"/>
  <c r="J249" i="10" s="1"/>
  <c r="J250" i="10" s="1"/>
  <c r="J257" i="10"/>
  <c r="J256" i="10" s="1"/>
  <c r="N249" i="10"/>
  <c r="N250" i="10" s="1"/>
  <c r="J262" i="10"/>
  <c r="I256" i="10"/>
  <c r="K165" i="10"/>
  <c r="K249" i="10" s="1"/>
  <c r="K250" i="10" s="1"/>
  <c r="H255" i="10"/>
  <c r="H270" i="10" s="1"/>
  <c r="N270" i="10"/>
  <c r="K270" i="10"/>
  <c r="L165" i="10"/>
  <c r="L249" i="10" s="1"/>
  <c r="L250" i="10" s="1"/>
  <c r="I249" i="10"/>
  <c r="I250" i="10" s="1"/>
  <c r="P262" i="10"/>
  <c r="P255" i="10" s="1"/>
  <c r="P266" i="10"/>
  <c r="O255" i="10"/>
  <c r="H249" i="10"/>
  <c r="H250" i="10" s="1"/>
  <c r="L256" i="10"/>
  <c r="L265" i="10"/>
  <c r="M265" i="10" s="1"/>
  <c r="J255" i="10" l="1"/>
  <c r="J270" i="10" s="1"/>
  <c r="L255" i="10"/>
  <c r="M255" i="10" s="1"/>
  <c r="M256" i="10"/>
  <c r="I255" i="10" l="1"/>
  <c r="L270" i="10"/>
  <c r="M270" i="10" s="1"/>
  <c r="I265" i="10"/>
  <c r="I270" i="10" l="1"/>
  <c r="J193" i="5" l="1"/>
  <c r="J208" i="5" s="1"/>
  <c r="J287" i="5" l="1"/>
  <c r="M157" i="5"/>
  <c r="M158" i="5" s="1"/>
  <c r="K157" i="5"/>
  <c r="K158" i="5" s="1"/>
  <c r="J157" i="5"/>
  <c r="J158" i="5" s="1"/>
  <c r="J182" i="5" l="1"/>
  <c r="J186" i="5" s="1"/>
  <c r="K281" i="5" l="1"/>
  <c r="J269" i="5" l="1"/>
  <c r="J270" i="5" l="1"/>
  <c r="J55" i="5"/>
  <c r="J279" i="5" s="1"/>
  <c r="J68" i="5" l="1"/>
  <c r="J111" i="5" s="1"/>
  <c r="J294" i="5" l="1"/>
  <c r="J293" i="5"/>
  <c r="J292" i="5"/>
  <c r="K189" i="5" l="1"/>
  <c r="K209" i="5" s="1"/>
  <c r="M189" i="5"/>
  <c r="M282" i="5" l="1"/>
  <c r="K282" i="5"/>
  <c r="J282" i="5"/>
  <c r="M290" i="5"/>
  <c r="K290" i="5"/>
  <c r="J290" i="5"/>
  <c r="J289" i="5" s="1"/>
  <c r="M281" i="5" l="1"/>
  <c r="M280" i="5"/>
  <c r="K280" i="5"/>
  <c r="K278" i="5" s="1"/>
  <c r="K277" i="5" s="1"/>
  <c r="M294" i="5"/>
  <c r="M289" i="5" s="1"/>
  <c r="M278" i="5" l="1"/>
  <c r="J286" i="5"/>
  <c r="J281" i="5"/>
  <c r="J280" i="5"/>
  <c r="K294" i="5"/>
  <c r="K289" i="5" s="1"/>
  <c r="J278" i="5" l="1"/>
  <c r="J277" i="5" s="1"/>
  <c r="M277" i="5"/>
  <c r="M295" i="5" s="1"/>
  <c r="K295" i="5"/>
  <c r="M269" i="5" l="1"/>
  <c r="J209" i="5"/>
  <c r="M209" i="5"/>
  <c r="J271" i="5" l="1"/>
  <c r="M270" i="5"/>
  <c r="J272" i="5" l="1"/>
  <c r="K271" i="5" l="1"/>
  <c r="K272" i="5" s="1"/>
  <c r="M271" i="5"/>
  <c r="M272" i="5" s="1"/>
  <c r="O269" i="10"/>
  <c r="P269" i="10" s="1"/>
  <c r="O129" i="10"/>
  <c r="O249" i="10" s="1"/>
  <c r="O250" i="10" s="1"/>
  <c r="O265" i="10" l="1"/>
  <c r="P265" i="10" l="1"/>
  <c r="O270" i="10"/>
  <c r="P270" i="10" l="1"/>
  <c r="J295" i="5" l="1"/>
</calcChain>
</file>

<file path=xl/comments1.xml><?xml version="1.0" encoding="utf-8"?>
<comments xmlns="http://schemas.openxmlformats.org/spreadsheetml/2006/main">
  <authors>
    <author>Audra Cepiene</author>
    <author>Saulina Paulauskiene</author>
  </authors>
  <commentList>
    <comment ref="E14"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G16"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D21"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E38"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Q46"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D49" authorId="0" shapeId="0">
      <text>
        <r>
          <rPr>
            <b/>
            <sz val="9"/>
            <color indexed="81"/>
            <rFont val="Tahoma"/>
            <family val="2"/>
            <charset val="186"/>
          </rPr>
          <t>SPG protokolas 2016-09-23 Nr. STR-12</t>
        </r>
        <r>
          <rPr>
            <sz val="9"/>
            <color indexed="81"/>
            <rFont val="Tahoma"/>
            <family val="2"/>
            <charset val="186"/>
          </rPr>
          <t xml:space="preserve">
</t>
        </r>
      </text>
    </comment>
    <comment ref="E56"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Q71" authorId="0" shapeId="0">
      <text>
        <r>
          <rPr>
            <sz val="9"/>
            <color indexed="81"/>
            <rFont val="Tahoma"/>
            <family val="2"/>
            <charset val="186"/>
          </rPr>
          <t xml:space="preserve">Vienos perėjos techninis proejktas parengtas 2017 m. 2018 m. - kitos perėjos 
</t>
        </r>
      </text>
    </comment>
    <comment ref="D76"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G77" authorId="0" shapeId="0">
      <text>
        <r>
          <rPr>
            <sz val="9"/>
            <color indexed="81"/>
            <rFont val="Tahoma"/>
            <family val="2"/>
            <charset val="186"/>
          </rPr>
          <t>Gyventojų lėšos</t>
        </r>
      </text>
    </comment>
    <comment ref="E79"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G82" authorId="0" shapeId="0">
      <text>
        <r>
          <rPr>
            <sz val="9"/>
            <color indexed="81"/>
            <rFont val="Tahoma"/>
            <family val="2"/>
            <charset val="186"/>
          </rPr>
          <t xml:space="preserve">AB „Klaipėdos nafta“ skirtia tikslines lėšas 175.000 Eur 
</t>
        </r>
      </text>
    </comment>
    <comment ref="D91" authorId="0" shapeId="0">
      <text>
        <r>
          <rPr>
            <sz val="9"/>
            <color indexed="81"/>
            <rFont val="Tahoma"/>
            <family val="2"/>
            <charset val="186"/>
          </rPr>
          <t>SPG protokolas 2016-09-23 Nr. STR-12</t>
        </r>
      </text>
    </comment>
    <comment ref="E95"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J97" authorId="0" shapeId="0">
      <text>
        <r>
          <rPr>
            <sz val="9"/>
            <color indexed="81"/>
            <rFont val="Tahoma"/>
            <family val="2"/>
            <charset val="186"/>
          </rPr>
          <t>2018 m. liepos 30 d. įsakymu Nr. AD1-1909 gauta dotacija iš Kelių priežiūros ir plėtros programos lėšų rezervo, todėl reikalinga padidinti biudžeto pajamas 7,7 tūkst. Eur</t>
        </r>
      </text>
    </comment>
    <comment ref="E113"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Q114" authorId="0" shapeId="0">
      <text>
        <r>
          <rPr>
            <sz val="9"/>
            <color indexed="81"/>
            <rFont val="Tahoma"/>
            <family val="2"/>
            <charset val="186"/>
          </rPr>
          <t xml:space="preserve">Techn. projekto </t>
        </r>
        <r>
          <rPr>
            <b/>
            <sz val="9"/>
            <color indexed="81"/>
            <rFont val="Tahoma"/>
            <family val="2"/>
            <charset val="186"/>
          </rPr>
          <t>kaina 534 tūkst. eur ir darbai</t>
        </r>
        <r>
          <rPr>
            <sz val="9"/>
            <color indexed="81"/>
            <rFont val="Tahoma"/>
            <family val="2"/>
            <charset val="186"/>
          </rPr>
          <t xml:space="preserve"> </t>
        </r>
        <r>
          <rPr>
            <sz val="8"/>
            <color indexed="81"/>
            <rFont val="Tahoma"/>
            <family val="2"/>
            <charset val="186"/>
          </rPr>
          <t>(Geologinių, topografinių (geodezinių) tyrinėjimo dokumentų parengimas; Techninis projektas; Investicinis projektas; Detaliojo plano koregavimas)</t>
        </r>
      </text>
    </comment>
    <comment ref="E131"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R151" authorId="0" shapeId="0">
      <text>
        <r>
          <rPr>
            <sz val="9"/>
            <color indexed="81"/>
            <rFont val="Tahoma"/>
            <family val="2"/>
            <charset val="186"/>
          </rPr>
          <t xml:space="preserve">iš viso bus integruota iki 2020 m.  205 vieš. transporto priemonių
</t>
        </r>
      </text>
    </comment>
    <comment ref="E172"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Q175" authorId="0" shapeId="0">
      <text>
        <r>
          <rPr>
            <sz val="9"/>
            <color indexed="81"/>
            <rFont val="Tahoma"/>
            <family val="2"/>
            <charset val="186"/>
          </rPr>
          <t>Pagal projektą "Informacinės kelio ženklų sistemos įrengimas", pabaiga 2018 m.</t>
        </r>
      </text>
    </comment>
    <comment ref="Q176" authorId="0" shapeId="0">
      <text>
        <r>
          <rPr>
            <sz val="9"/>
            <color indexed="81"/>
            <rFont val="Tahoma"/>
            <family val="2"/>
            <charset val="186"/>
          </rPr>
          <t xml:space="preserve">Pagal sutartį "Dekoratyvinių kelio ženklų stovų įrengimas", pabaiga 2018 m. </t>
        </r>
      </text>
    </comment>
    <comment ref="Q177" authorId="0" shapeId="0">
      <text>
        <r>
          <rPr>
            <sz val="9"/>
            <color indexed="81"/>
            <rFont val="Tahoma"/>
            <family val="2"/>
            <charset val="186"/>
          </rPr>
          <t>(Tilžės g. ir Sausio 15-osios g. sankryžoje, Baltijos prospekte atkarpoje tarp Šilutės pl. ir Taikos pr., Šilutės pl. prie AB „Klaipėdos energija“, Taikos pr. ties Žvejų rūmais)</t>
        </r>
      </text>
    </comment>
    <comment ref="R183" authorId="0" shapeId="0">
      <text>
        <r>
          <rPr>
            <sz val="9"/>
            <color indexed="81"/>
            <rFont val="Tahoma"/>
            <family val="2"/>
            <charset val="186"/>
          </rPr>
          <t>Kryptinis apšvietimas įrengtas 14-oje perėjų už 88,5 tūkst. Eur., kitos 5 perėjos apmokėtos iš 2017 m. gruodžio finansavimo lėšų. Kadangi atsirado papildomų lėšų iš 01030405 papriemonės, tai 2018 m. planuojama atlikti papildomus darbus - įrengti kryptinį apšvietimą dar 19-oje pėsčiųjų perėjų už 97,5 tūkst. Eur. Tam trūksta 95,9 tūkst.  Eur.</t>
        </r>
      </text>
    </comment>
    <comment ref="Q186"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E191"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E194"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D198" authorId="0" shapeId="0">
      <text>
        <r>
          <rPr>
            <sz val="9"/>
            <color indexed="81"/>
            <rFont val="Tahoma"/>
            <family val="2"/>
            <charset val="186"/>
          </rPr>
          <t>Priemonė įtraukta pagal darnaus judumo priemonių planą, el. paštu</t>
        </r>
      </text>
    </comment>
    <comment ref="E198"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Centrinėje miesto dalyje suformuoti pėsčiųjų takų, zonų ir gatvių tinklą 2.1.2.7</t>
        </r>
      </text>
    </comment>
    <comment ref="E201"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202"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r>
          <rPr>
            <b/>
            <sz val="9"/>
            <color indexed="81"/>
            <rFont val="Tahoma"/>
            <family val="2"/>
            <charset val="186"/>
          </rPr>
          <t xml:space="preserve">
</t>
        </r>
        <r>
          <rPr>
            <sz val="9"/>
            <color indexed="81"/>
            <rFont val="Tahoma"/>
            <family val="2"/>
            <charset val="186"/>
          </rPr>
          <t xml:space="preserve">
</t>
        </r>
      </text>
    </comment>
    <comment ref="Q202" authorId="0" shapeId="0">
      <text>
        <r>
          <rPr>
            <sz val="9"/>
            <color indexed="81"/>
            <rFont val="Tahoma"/>
            <family val="2"/>
            <charset val="186"/>
          </rPr>
          <t xml:space="preserve">Piliavietės aikštelė – 2 vnt., prie savivaldybės pastato – 2 vnt., P&amp;R aikštelėje – 1 vnt.) </t>
        </r>
      </text>
    </comment>
    <comment ref="T233" authorId="1" shapeId="0">
      <text>
        <r>
          <rPr>
            <b/>
            <sz val="9"/>
            <color indexed="81"/>
            <rFont val="Tahoma"/>
            <family val="2"/>
            <charset val="186"/>
          </rPr>
          <t xml:space="preserve">Regina Intienė:
</t>
        </r>
        <r>
          <rPr>
            <sz val="9"/>
            <color indexed="81"/>
            <rFont val="Tahoma"/>
            <family val="2"/>
            <charset val="186"/>
          </rPr>
          <t>duomenys pateikti vadovaujantis 2017-03-30 Klaipėdos miesto savivaldybės Tarybos sprendimu Nr. T2-69 patvirtintu vietinės reikšmės kelių sąrašu</t>
        </r>
      </text>
    </comment>
    <comment ref="Q236" authorId="0" shapeId="0">
      <text>
        <r>
          <rPr>
            <b/>
            <sz val="9"/>
            <color indexed="81"/>
            <rFont val="Tahoma"/>
            <family val="2"/>
            <charset val="186"/>
          </rPr>
          <t xml:space="preserve">2018 m.planas
</t>
        </r>
        <r>
          <rPr>
            <sz val="9"/>
            <color indexed="81"/>
            <rFont val="Tahoma"/>
            <family val="2"/>
            <charset val="186"/>
          </rPr>
          <t>- Smiltelės g. (atskiros atkarpos);
- Baltijos pr. (atskiros atkarpos);
- Birutės g. (nuo Sausio 15-osios g. iki Bijūnų g.);
- Bijūnų g. (nuo Taikos pr. iki Birutės g.);
- Tilžės g. (nuo Sausio 15-osios g. iki Komunarų g.);
- Senamiesčio gatvės (pagal poreikį);</t>
        </r>
        <r>
          <rPr>
            <b/>
            <sz val="9"/>
            <color indexed="81"/>
            <rFont val="Tahoma"/>
            <family val="2"/>
            <charset val="186"/>
          </rPr>
          <t xml:space="preserve">
</t>
        </r>
        <r>
          <rPr>
            <sz val="9"/>
            <color indexed="81"/>
            <rFont val="Tahoma"/>
            <family val="2"/>
            <charset val="186"/>
          </rPr>
          <t xml:space="preserve">- Panevėžio g. (nuo Dailidžių g. iki Plytinės g.);
- Verpėjų g. (atskiros atkarpos);
- Kalvos g.;
- J. Zembrickio g.;
- Pievų tako g.
</t>
        </r>
      </text>
    </comment>
    <comment ref="Q240"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 ref="R240" authorId="0" shapeId="0">
      <text>
        <r>
          <rPr>
            <b/>
            <sz val="9"/>
            <color indexed="81"/>
            <rFont val="Tahoma"/>
            <family val="2"/>
            <charset val="186"/>
          </rPr>
          <t>2018 m.</t>
        </r>
        <r>
          <rPr>
            <sz val="9"/>
            <color indexed="81"/>
            <rFont val="Tahoma"/>
            <family val="2"/>
            <charset val="186"/>
          </rPr>
          <t xml:space="preserve"> įstaigos: 8 mokyklos; 11 lopšelių- darželių, Marijos Montesori mokykla
</t>
        </r>
      </text>
    </comment>
    <comment ref="I256" authorId="0" shapeId="0">
      <text>
        <r>
          <rPr>
            <b/>
            <sz val="9"/>
            <color indexed="81"/>
            <rFont val="Tahoma"/>
            <family val="2"/>
            <charset val="186"/>
          </rPr>
          <t xml:space="preserve">17200,2+7,7
</t>
        </r>
        <r>
          <rPr>
            <sz val="9"/>
            <color indexed="81"/>
            <rFont val="Tahoma"/>
            <family val="2"/>
            <charset val="186"/>
          </rPr>
          <t xml:space="preserve">
</t>
        </r>
      </text>
    </comment>
    <comment ref="J260" authorId="0" shapeId="0">
      <text>
        <r>
          <rPr>
            <sz val="9"/>
            <color indexed="81"/>
            <rFont val="Tahoma"/>
            <family val="2"/>
            <charset val="186"/>
          </rPr>
          <t xml:space="preserve">pakeista po liepos biudžeto
</t>
        </r>
      </text>
    </comment>
    <comment ref="I261" authorId="0" shapeId="0">
      <text>
        <r>
          <rPr>
            <b/>
            <sz val="9"/>
            <color indexed="81"/>
            <rFont val="Tahoma"/>
            <family val="2"/>
            <charset val="186"/>
          </rPr>
          <t>3991,4,</t>
        </r>
        <r>
          <rPr>
            <sz val="9"/>
            <color indexed="81"/>
            <rFont val="Tahoma"/>
            <family val="2"/>
            <charset val="186"/>
          </rPr>
          <t xml:space="preserve"> iš jų sąraše 3199,1
Tilžė 500
Jūrinink 292,3
</t>
        </r>
      </text>
    </comment>
    <comment ref="J261" authorId="0" shapeId="0">
      <text>
        <r>
          <rPr>
            <sz val="9"/>
            <color indexed="81"/>
            <rFont val="Tahoma"/>
            <family val="2"/>
            <charset val="186"/>
          </rPr>
          <t xml:space="preserve">pakeista po liepos biudžeto
</t>
        </r>
      </text>
    </comment>
  </commentList>
</comments>
</file>

<file path=xl/comments2.xml><?xml version="1.0" encoding="utf-8"?>
<comments xmlns="http://schemas.openxmlformats.org/spreadsheetml/2006/main">
  <authors>
    <author>Audra Cepiene</author>
  </authors>
  <commentList>
    <comment ref="E16"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23"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E27"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33" authorId="0" shapeId="0">
      <text>
        <r>
          <rPr>
            <b/>
            <sz val="9"/>
            <color indexed="81"/>
            <rFont val="Tahoma"/>
            <family val="2"/>
            <charset val="186"/>
          </rPr>
          <t xml:space="preserve">P2.1.2.8
</t>
        </r>
        <r>
          <rPr>
            <sz val="9"/>
            <color indexed="81"/>
            <rFont val="Tahoma"/>
            <family val="2"/>
            <charset val="186"/>
          </rPr>
          <t xml:space="preserve">Centrinėje miesto dalyje suformuoti pėsčiųjų takų, zonų ir gatvių tinklą </t>
        </r>
      </text>
    </comment>
    <comment ref="G35"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36"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3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43"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D54" authorId="0" shapeId="0">
      <text>
        <r>
          <rPr>
            <b/>
            <sz val="9"/>
            <color indexed="81"/>
            <rFont val="Tahoma"/>
            <family val="2"/>
            <charset val="186"/>
          </rPr>
          <t>SPG protokolas 2016-09-23 Nr. STR-12</t>
        </r>
        <r>
          <rPr>
            <sz val="9"/>
            <color indexed="81"/>
            <rFont val="Tahoma"/>
            <family val="2"/>
            <charset val="186"/>
          </rPr>
          <t xml:space="preserve">
</t>
        </r>
      </text>
    </comment>
    <comment ref="E59"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G68" authorId="0" shapeId="0">
      <text>
        <r>
          <rPr>
            <sz val="9"/>
            <color indexed="81"/>
            <rFont val="Tahoma"/>
            <family val="2"/>
            <charset val="186"/>
          </rPr>
          <t>Gyventojų lėšos</t>
        </r>
      </text>
    </comment>
    <comment ref="E74"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E84"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91"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E96"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97"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E108"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E130" authorId="0" shapeId="0">
      <text>
        <r>
          <rPr>
            <b/>
            <sz val="9"/>
            <color indexed="81"/>
            <rFont val="Tahoma"/>
            <family val="2"/>
            <charset val="186"/>
          </rPr>
          <t>Klaipėdos miesto darnaus judumo planas (2018-09-13, T2-185)
P6, Klaipėdos miesto ekonominės plėtros strategija ir įgyvendinimo veiksmų planas iki 2030 metų, 3.3.4. priemonė</t>
        </r>
        <r>
          <rPr>
            <sz val="9"/>
            <color indexed="81"/>
            <rFont val="Tahoma"/>
            <family val="2"/>
            <charset val="186"/>
          </rPr>
          <t xml:space="preserve">
 </t>
        </r>
      </text>
    </comment>
    <comment ref="E136"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M136" authorId="0" shapeId="0">
      <text>
        <r>
          <rPr>
            <b/>
            <sz val="9"/>
            <color indexed="81"/>
            <rFont val="Tahoma"/>
            <family val="2"/>
            <charset val="186"/>
          </rPr>
          <t>Iš viso bus įrengta 13 stotelių:</t>
        </r>
        <r>
          <rPr>
            <sz val="9"/>
            <color indexed="81"/>
            <rFont val="Tahoma"/>
            <family val="2"/>
            <charset val="186"/>
          </rPr>
          <t xml:space="preserve"> 
1. Kauno stotelė šiaurės kryptimi (Taikos pr. 55A);
2. Kauno stotelė pietų kryptimi (Taikos pr. 52C);
3. Baltijos stotelė šiaurės kryptimi (Taikos pr. 71A);
4. Baltijos stotelė pietų kryptimi (Taikos pr. 66A);
5. Vėtrungės stotelė pietų kryptimi (Taikos pr. 28);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
</t>
        </r>
      </text>
    </comment>
    <comment ref="D144" authorId="0" shapeId="0">
      <text>
        <r>
          <rPr>
            <sz val="9"/>
            <color indexed="81"/>
            <rFont val="Tahoma"/>
            <family val="2"/>
            <charset val="186"/>
          </rPr>
          <t>Projektas vykdomas kartu su Autobusų parku</t>
        </r>
      </text>
    </comment>
    <comment ref="E145"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50"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55"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E171"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E174" authorId="0" shapeId="0">
      <text>
        <r>
          <rPr>
            <b/>
            <sz val="9"/>
            <color indexed="81"/>
            <rFont val="Tahoma"/>
            <family val="2"/>
            <charset val="186"/>
          </rPr>
          <t>P2, Klaipėdos miesto darnaus judumo planas (2018-09-13, T2-185)</t>
        </r>
      </text>
    </comment>
    <comment ref="E181"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E183"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E186"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E189"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90"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L202" authorId="0" shapeId="0">
      <text>
        <r>
          <rPr>
            <b/>
            <sz val="9"/>
            <color indexed="81"/>
            <rFont val="Tahoma"/>
            <family val="2"/>
            <charset val="186"/>
          </rPr>
          <t>59 445 kv.m</t>
        </r>
        <r>
          <rPr>
            <sz val="9"/>
            <color indexed="81"/>
            <rFont val="Tahoma"/>
            <family val="2"/>
            <charset val="186"/>
          </rPr>
          <t xml:space="preserve">
</t>
        </r>
      </text>
    </comment>
    <comment ref="M210" authorId="0" shapeId="0">
      <text>
        <r>
          <rPr>
            <b/>
            <sz val="9"/>
            <color indexed="81"/>
            <rFont val="Tahoma"/>
            <family val="2"/>
            <charset val="186"/>
          </rPr>
          <t xml:space="preserve">78 500 kv.m </t>
        </r>
        <r>
          <rPr>
            <sz val="9"/>
            <color indexed="81"/>
            <rFont val="Tahoma"/>
            <family val="2"/>
            <charset val="186"/>
          </rPr>
          <t xml:space="preserve">
</t>
        </r>
      </text>
    </comment>
    <comment ref="N210" authorId="0" shapeId="0">
      <text>
        <r>
          <rPr>
            <sz val="9"/>
            <color indexed="81"/>
            <rFont val="Tahoma"/>
            <family val="2"/>
            <charset val="186"/>
          </rPr>
          <t>Gatvių sarašas bus sudaromas po gatvių apžiūrų 2019-2020 m.</t>
        </r>
      </text>
    </comment>
    <comment ref="D231" authorId="0" shapeId="0">
      <text>
        <r>
          <rPr>
            <sz val="9"/>
            <color indexed="81"/>
            <rFont val="Tahoma"/>
            <family val="2"/>
            <charset val="186"/>
          </rPr>
          <t>parkavimo vietų subraižymas, žaliųjų vejų ir skverų sutvarkymas</t>
        </r>
      </text>
    </comment>
  </commentList>
</comments>
</file>

<file path=xl/comments3.xml><?xml version="1.0" encoding="utf-8"?>
<comments xmlns="http://schemas.openxmlformats.org/spreadsheetml/2006/main">
  <authors>
    <author>Audra Cepiene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F14"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N14" authorId="0" shapeId="0">
      <text>
        <r>
          <rPr>
            <b/>
            <sz val="9"/>
            <color indexed="81"/>
            <rFont val="Tahoma"/>
            <family val="2"/>
            <charset val="186"/>
          </rPr>
          <t>Į senamiesčio grindinio atnaujinimo projektą įtraukta priemonė "</t>
        </r>
        <r>
          <rPr>
            <sz val="9"/>
            <color indexed="81"/>
            <rFont val="Tahoma"/>
            <family val="2"/>
            <charset val="186"/>
          </rPr>
          <t>Tomo ir Pylimo g. rekonstravimas", iš viso bus tvarkomos 8 gatvės:
Žvejų g., Teatro g., Sukilėlių g., Daržų g. (nuo Pilies g. iki Aukštosios g.), Aukštoji g. (nuo Daržų g. iki Didžiosios Vandens g.), Didžioji Vandens g. (nuo Aukštosios g. iki Tiltų g.), Vežėjų g. (nuo Turgaus g. iki Daržų g.), Tomo ir Pylimo g.</t>
        </r>
      </text>
    </comment>
    <comment ref="F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N19" authorId="0" shapeId="0">
      <text>
        <r>
          <rPr>
            <sz val="9"/>
            <color indexed="81"/>
            <rFont val="Tahoma"/>
            <family val="2"/>
            <charset val="186"/>
          </rPr>
          <t>Šiuo metu projektuotojai rengia poveikio aplinkai vertinimą, kol nebus atliktas PAV projektavimo darbai nebus vykdomi, nes PAV gali įtakoti techninio darbo projekto sprendinius.</t>
        </r>
      </text>
    </comment>
    <comment ref="N20" authorId="0" shapeId="0">
      <text>
        <r>
          <rPr>
            <b/>
            <sz val="9"/>
            <color indexed="81"/>
            <rFont val="Tahoma"/>
            <family val="2"/>
            <charset val="186"/>
          </rPr>
          <t>I etapas.</t>
        </r>
        <r>
          <rPr>
            <sz val="9"/>
            <color indexed="81"/>
            <rFont val="Tahoma"/>
            <family val="2"/>
            <charset val="186"/>
          </rPr>
          <t xml:space="preserve"> Bastionų g. nuo Danės g. iki Danės upės ir nuo Danės upės iki Gluosnių g. tiesimas. Pabaiga 2022 m.</t>
        </r>
      </text>
    </comment>
    <comment ref="I23" authorId="0" shapeId="0">
      <text>
        <r>
          <rPr>
            <b/>
            <sz val="9"/>
            <color indexed="81"/>
            <rFont val="Tahoma"/>
            <family val="2"/>
            <charset val="186"/>
          </rPr>
          <t>ŽP 637</t>
        </r>
        <r>
          <rPr>
            <sz val="9"/>
            <color indexed="81"/>
            <rFont val="Tahoma"/>
            <family val="2"/>
            <charset val="186"/>
          </rPr>
          <t xml:space="preserve">
</t>
        </r>
      </text>
    </comment>
    <comment ref="N28" authorId="0" shapeId="0">
      <text>
        <r>
          <rPr>
            <sz val="9"/>
            <color indexed="81"/>
            <rFont val="Tahoma"/>
            <family val="2"/>
            <charset val="186"/>
          </rPr>
          <t>privaloma atlikti specialiąją paveldosaugos ekspertizę, todėl atliekamos viešųjų pirkimų procedūros, paveldosaugos ekspertizės pirkimui.</t>
        </r>
      </text>
    </comment>
    <comment ref="F29" authorId="0" shapeId="0">
      <text>
        <r>
          <rPr>
            <b/>
            <sz val="9"/>
            <color indexed="81"/>
            <rFont val="Tahoma"/>
            <family val="2"/>
            <charset val="186"/>
          </rPr>
          <t xml:space="preserve">P2.1.2.8
</t>
        </r>
        <r>
          <rPr>
            <sz val="9"/>
            <color indexed="81"/>
            <rFont val="Tahoma"/>
            <family val="2"/>
            <charset val="186"/>
          </rPr>
          <t xml:space="preserve">Centrinėje miesto dalyje suformuoti pėsčiųjų takų, zonų ir gatvių tinklą </t>
        </r>
      </text>
    </comment>
    <comment ref="N30" authorId="0" shapeId="0">
      <text>
        <r>
          <rPr>
            <sz val="9"/>
            <color indexed="81"/>
            <rFont val="Tahoma"/>
            <family val="2"/>
            <charset val="186"/>
          </rPr>
          <t xml:space="preserve">Darbai nikelti į tolimesnį laikotarpį. Atlikta rekonstravimo (I etapo) darbų. Užbaigtumas, proc. </t>
        </r>
      </text>
    </comment>
    <comment ref="I31"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N31" authorId="0" shapeId="0">
      <text>
        <r>
          <rPr>
            <sz val="9"/>
            <color indexed="81"/>
            <rFont val="Tahoma"/>
            <family val="2"/>
            <charset val="186"/>
          </rPr>
          <t>Savivaldybė rengia tik techninį projektą. Bendra projekto vertė 2 mln. Eur.</t>
        </r>
      </text>
    </comment>
    <comment ref="F32"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34"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N36" authorId="0" shapeId="0">
      <text>
        <r>
          <rPr>
            <sz val="9"/>
            <color indexed="81"/>
            <rFont val="Tahoma"/>
            <family val="2"/>
            <charset val="186"/>
          </rPr>
          <t>Puodžių g. rekonstravimas siejamas su Šv. Jono bažnyčios atstatymu.</t>
        </r>
      </text>
    </comment>
    <comment ref="F39"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E48" authorId="0" shapeId="0">
      <text>
        <r>
          <rPr>
            <b/>
            <sz val="9"/>
            <color indexed="81"/>
            <rFont val="Tahoma"/>
            <family val="2"/>
            <charset val="186"/>
          </rPr>
          <t>SPG protokolas 2016-09-23 Nr. STR-12</t>
        </r>
        <r>
          <rPr>
            <sz val="9"/>
            <color indexed="81"/>
            <rFont val="Tahoma"/>
            <family val="2"/>
            <charset val="186"/>
          </rPr>
          <t xml:space="preserve">
</t>
        </r>
      </text>
    </comment>
    <comment ref="N48" authorId="0" shapeId="0">
      <text>
        <r>
          <rPr>
            <sz val="9"/>
            <color indexed="81"/>
            <rFont val="Tahoma"/>
            <family val="2"/>
            <charset val="186"/>
          </rPr>
          <t>Gatvės įrengimo darbai nukelti į 2022 m.</t>
        </r>
      </text>
    </comment>
    <comment ref="F53"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J55" authorId="0" shapeId="0">
      <text>
        <r>
          <rPr>
            <b/>
            <sz val="9"/>
            <color indexed="81"/>
            <rFont val="Tahoma"/>
            <family val="2"/>
            <charset val="186"/>
          </rPr>
          <t>minusuotas likutis</t>
        </r>
        <r>
          <rPr>
            <sz val="9"/>
            <color indexed="81"/>
            <rFont val="Tahoma"/>
            <family val="2"/>
            <charset val="186"/>
          </rPr>
          <t xml:space="preserve">
</t>
        </r>
      </text>
    </comment>
    <comment ref="I65" authorId="0" shapeId="0">
      <text>
        <r>
          <rPr>
            <sz val="9"/>
            <color indexed="81"/>
            <rFont val="Tahoma"/>
            <family val="2"/>
            <charset val="186"/>
          </rPr>
          <t>Gyventojų lėšos</t>
        </r>
      </text>
    </comment>
    <comment ref="F66"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N66" authorId="0" shapeId="0">
      <text>
        <r>
          <rPr>
            <sz val="9"/>
            <color indexed="81"/>
            <rFont val="Tahoma"/>
            <family val="2"/>
            <charset val="186"/>
          </rPr>
          <t>Projektas nebus vykdomas dėl per didelės projekto finansinės vertės.</t>
        </r>
      </text>
    </comment>
    <comment ref="F69"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I75" authorId="0" shapeId="0">
      <text>
        <r>
          <rPr>
            <sz val="9"/>
            <color indexed="81"/>
            <rFont val="Tahoma"/>
            <family val="2"/>
            <charset val="186"/>
          </rPr>
          <t xml:space="preserve">AB „Klaipėdos nafta“ skirtia tikslines lėšas 175.000 Eur 
</t>
        </r>
      </text>
    </comment>
    <comment ref="E76" authorId="0" shapeId="0">
      <text>
        <r>
          <rPr>
            <sz val="9"/>
            <color indexed="81"/>
            <rFont val="Tahoma"/>
            <family val="2"/>
            <charset val="186"/>
          </rPr>
          <t>SPG protokolas 2016-09-23 Nr. STR-12</t>
        </r>
      </text>
    </comment>
    <comment ref="F80"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J81" authorId="0" shapeId="0">
      <text>
        <r>
          <rPr>
            <sz val="9"/>
            <color indexed="81"/>
            <rFont val="Tahoma"/>
            <family val="2"/>
            <charset val="186"/>
          </rPr>
          <t>LR Susisiekimo ministro</t>
        </r>
        <r>
          <rPr>
            <b/>
            <sz val="9"/>
            <color indexed="81"/>
            <rFont val="Tahoma"/>
            <family val="2"/>
            <charset val="186"/>
          </rPr>
          <t xml:space="preserve"> 2018 m. lapkričio 21 d.  įsakymas Nr.3-581</t>
        </r>
        <r>
          <rPr>
            <sz val="9"/>
            <color indexed="81"/>
            <rFont val="Tahoma"/>
            <family val="2"/>
            <charset val="186"/>
          </rPr>
          <t xml:space="preserve"> "Dėl Lietuvos Respublikos susisiekimo ministro 2018 m. gegužės 16 d. įsakymo Nr.3-234 "Dėl vietinės reikšmės kelių (gatvių) tikslinio finansavimo 2018 metų sąrašo patvirtinimo" pakeitimo".</t>
        </r>
      </text>
    </comment>
    <comment ref="N85" authorId="0" shapeId="0">
      <text>
        <r>
          <rPr>
            <b/>
            <sz val="9"/>
            <color indexed="81"/>
            <rFont val="Tahoma"/>
            <family val="2"/>
            <charset val="186"/>
          </rPr>
          <t>Techninis projektas yra parengtas</t>
        </r>
        <r>
          <rPr>
            <sz val="9"/>
            <color indexed="81"/>
            <rFont val="Tahoma"/>
            <family val="2"/>
            <charset val="186"/>
          </rPr>
          <t xml:space="preserve">
</t>
        </r>
      </text>
    </comment>
    <comment ref="F87"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N87" authorId="0" shapeId="0">
      <text>
        <r>
          <rPr>
            <sz val="9"/>
            <color indexed="81"/>
            <rFont val="Tahoma"/>
            <family val="2"/>
            <charset val="186"/>
          </rPr>
          <t>Rekonstravimo darbai bus pradėti 2022 metais. Atlikta gatvės (571 m) tiesimo darbų (II etapas). Užbaigtumas, proc.</t>
        </r>
      </text>
    </comment>
    <comment ref="N90" authorId="0" shapeId="0">
      <text>
        <r>
          <rPr>
            <sz val="9"/>
            <color indexed="81"/>
            <rFont val="Tahoma"/>
            <family val="2"/>
            <charset val="186"/>
          </rPr>
          <t xml:space="preserve">Rekonstravimo darbai bus pradėti 2022 m. </t>
        </r>
      </text>
    </comment>
    <comment ref="N92" authorId="0" shapeId="0">
      <text>
        <r>
          <rPr>
            <b/>
            <sz val="9"/>
            <color indexed="81"/>
            <rFont val="Tahoma"/>
            <family val="2"/>
            <charset val="186"/>
          </rPr>
          <t>projekta parengs privatus investuotojas</t>
        </r>
      </text>
    </comment>
    <comment ref="F95"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F96"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N96" authorId="0" shapeId="0">
      <text>
        <r>
          <rPr>
            <sz val="9"/>
            <color indexed="81"/>
            <rFont val="Tahoma"/>
            <family val="2"/>
            <charset val="186"/>
          </rPr>
          <t xml:space="preserve">Techn. projekto </t>
        </r>
        <r>
          <rPr>
            <b/>
            <sz val="9"/>
            <color indexed="81"/>
            <rFont val="Tahoma"/>
            <family val="2"/>
            <charset val="186"/>
          </rPr>
          <t xml:space="preserve">kaina 534 tūkst. eur </t>
        </r>
        <r>
          <rPr>
            <sz val="8"/>
            <color indexed="81"/>
            <rFont val="Tahoma"/>
            <family val="2"/>
            <charset val="186"/>
          </rPr>
          <t xml:space="preserve">(Geologinių, topografinių (geodezinių) tyrinėjimo dokumentų parengimas; Techninis projektas; Investicinis projektas; Detaliojo plano koregavimas) </t>
        </r>
        <r>
          <rPr>
            <b/>
            <sz val="8"/>
            <color indexed="81"/>
            <rFont val="Tahoma"/>
            <family val="2"/>
            <charset val="186"/>
          </rPr>
          <t>10 tūkst. eur ekspertizė</t>
        </r>
      </text>
    </comment>
    <comment ref="F113"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N120" authorId="0" shapeId="0">
      <text>
        <r>
          <rPr>
            <sz val="9"/>
            <color indexed="81"/>
            <rFont val="Tahoma"/>
            <family val="2"/>
            <charset val="186"/>
          </rPr>
          <t xml:space="preserve">2019 m.
1.1. Lietuvos valstybės atkūrimo dieną, 2019 m. vasario 16 d.;
1.2. Klaipėdos šviesų festivalio metu, 2019 m. vasario 17 d.;
1.3. Lietuvos nepriklausomybės atkūrimo dieną, 2019 m. kovo 11 d.
1.4. Dieną be automobilio, 2019 m. rugsėjo 20 d.
</t>
        </r>
      </text>
    </comment>
    <comment ref="K124" authorId="0" shapeId="0">
      <text>
        <r>
          <rPr>
            <sz val="9"/>
            <color indexed="81"/>
            <rFont val="Tahoma"/>
            <family val="2"/>
            <charset val="186"/>
          </rPr>
          <t xml:space="preserve">įsakymu bus įrašytos lėšos iš vežėjų už trasportą
</t>
        </r>
      </text>
    </comment>
    <comment ref="R125" authorId="0" shapeId="0">
      <text>
        <r>
          <rPr>
            <sz val="9"/>
            <color indexed="81"/>
            <rFont val="Tahoma"/>
            <family val="2"/>
            <charset val="186"/>
          </rPr>
          <t>Rodikliai yra didesni 17 vnt.,  maršrutų, kuriais važinės ekologiški autobusai. UAB „Klaipėdos autobusų parkas“ dalyvauja konkurse dėl ekologiškų autobusų įsigijimo. Konkursas įvyks 2019 m., todėl nuostoliai kasmet augs.</t>
        </r>
      </text>
    </comment>
    <comment ref="N129" authorId="0" shapeId="0">
      <text>
        <r>
          <rPr>
            <sz val="9"/>
            <color indexed="81"/>
            <rFont val="Tahoma"/>
            <family val="2"/>
            <charset val="186"/>
          </rPr>
          <t xml:space="preserve">1. priemonę „Nuostolingų maršrutų subsidijavimas priemiesčio maršrutus aptarnaujantiems 
vežėjams“, numatant finansavimą iš savivaldybės biudžeto lėšų maršrutams į s. b. „Vaiteliai“, s. b. „Rasa“, „Klaipėdos autobusų stotis–Palangos oro uostas“, bandomajam maršrutui (aptarnaujamas elektriniu autobusu) ir į Ermitažą (nuo 2022 m.) naktiniam maršrutui subsidijuoti
</t>
        </r>
      </text>
    </comment>
    <comment ref="N135" authorId="0" shapeId="0">
      <text>
        <r>
          <rPr>
            <sz val="9"/>
            <color indexed="81"/>
            <rFont val="Tahoma"/>
            <family val="2"/>
            <charset val="186"/>
          </rPr>
          <t>Klaipėdos miesto darnaus judumo planas (2018-09-13, T2-185). Maršrutai, kuriais važinės ekologiški autobusai. UAB „Klaipėdos autobusų parkas“ dalyvauja konkurse dėl ekologiškų autobusų įsigijimo. Konkursas įvyks 2019 m., todėl nuostoliai kasmet augs.</t>
        </r>
      </text>
    </comment>
    <comment ref="F137" authorId="0" shapeId="0">
      <text>
        <r>
          <rPr>
            <b/>
            <sz val="9"/>
            <color indexed="81"/>
            <rFont val="Tahoma"/>
            <family val="2"/>
            <charset val="186"/>
          </rPr>
          <t>Klaipėdos miesto darnaus judumo planas (2018-09-13, T2-185)
P6, Klaipėdos miesto ekonominės plėtros strategija ir įgyvendinimo veiksmų planas iki 2030 metų, 3.3.4. priemonė</t>
        </r>
        <r>
          <rPr>
            <sz val="9"/>
            <color indexed="81"/>
            <rFont val="Tahoma"/>
            <family val="2"/>
            <charset val="186"/>
          </rPr>
          <t xml:space="preserve">
 </t>
        </r>
      </text>
    </comment>
    <comment ref="O137" authorId="0" shapeId="0">
      <text>
        <r>
          <rPr>
            <sz val="9"/>
            <color indexed="81"/>
            <rFont val="Tahoma"/>
            <family val="2"/>
            <charset val="186"/>
          </rPr>
          <t xml:space="preserve">iš viso bus integruota iki 2020 m.  205 vieš. transporto priemonių
</t>
        </r>
      </text>
    </comment>
    <comment ref="F143"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J143" authorId="0" shapeId="0">
      <text>
        <r>
          <rPr>
            <sz val="9"/>
            <color indexed="81"/>
            <rFont val="Tahoma"/>
            <family val="2"/>
            <charset val="186"/>
          </rPr>
          <t xml:space="preserve">10 tūkst. eur projektas,
20 tūkst. eur avansui dėl įrengimo 
</t>
        </r>
      </text>
    </comment>
    <comment ref="N144" authorId="0" shapeId="0">
      <text>
        <r>
          <rPr>
            <sz val="9"/>
            <color indexed="81"/>
            <rFont val="Tahoma"/>
            <family val="2"/>
            <charset val="186"/>
          </rPr>
          <t xml:space="preserve">bendra vertė 123,1 tūkst. eur, iš jų 10 tūkst eur techninis projektas
</t>
        </r>
      </text>
    </comment>
    <comment ref="Q144" authorId="0" shapeId="0">
      <text>
        <r>
          <rPr>
            <b/>
            <sz val="9"/>
            <color indexed="81"/>
            <rFont val="Tahoma"/>
            <family val="2"/>
            <charset val="186"/>
          </rPr>
          <t>Iš viso bus įrengta 13 stotelių:</t>
        </r>
        <r>
          <rPr>
            <sz val="9"/>
            <color indexed="81"/>
            <rFont val="Tahoma"/>
            <family val="2"/>
            <charset val="186"/>
          </rPr>
          <t xml:space="preserve"> 
1. Kauno stotelė šiaurės kryptimi (Taikos pr. 55A);
2. Kauno stotelė pietų kryptimi (Taikos pr. 52C);
3. Baltijos stotelė šiaurės kryptimi (Taikos pr. 71A);
4. Baltijos stotelė pietų kryptimi (Taikos pr. 66A);
5. Vėtrungės stotelė pietų kryptimi (Taikos pr. 28);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
</t>
        </r>
      </text>
    </comment>
    <comment ref="N147" authorId="0" shapeId="0">
      <text>
        <r>
          <rPr>
            <b/>
            <sz val="9"/>
            <color indexed="81"/>
            <rFont val="Tahoma"/>
            <family val="2"/>
            <charset val="186"/>
          </rPr>
          <t>I etapo stotelės 10 vnt.</t>
        </r>
        <r>
          <rPr>
            <sz val="9"/>
            <color indexed="81"/>
            <rFont val="Tahoma"/>
            <family val="2"/>
            <charset val="186"/>
          </rPr>
          <t xml:space="preserve">
 (Vasaros estrados (pietų ir šiaurės kryptys), Rumpiškės, Kooperacijos, Juodkrantės,  Naikupės, Šilutės, Minijos, Aula Magna, Minijos stotelės)</t>
        </r>
      </text>
    </comment>
    <comment ref="N151" authorId="0" shapeId="0">
      <text>
        <r>
          <rPr>
            <sz val="9"/>
            <color indexed="81"/>
            <rFont val="Tahoma"/>
            <family val="2"/>
            <charset val="186"/>
          </rPr>
          <t>2018 m. parengtas techninis projektas ir ekpertizės išvada1</t>
        </r>
      </text>
    </comment>
    <comment ref="E154" authorId="0" shapeId="0">
      <text>
        <r>
          <rPr>
            <sz val="9"/>
            <color indexed="81"/>
            <rFont val="Tahoma"/>
            <family val="2"/>
            <charset val="186"/>
          </rPr>
          <t>Projektas vykdomas kartu su Autobusų parku</t>
        </r>
      </text>
    </comment>
    <comment ref="F155"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161"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P164" authorId="0" shapeId="0">
      <text>
        <r>
          <rPr>
            <sz val="9"/>
            <color indexed="81"/>
            <rFont val="Tahoma"/>
            <family val="2"/>
            <charset val="186"/>
          </rPr>
          <t>pagal GIS - 14533</t>
        </r>
      </text>
    </comment>
    <comment ref="P165" authorId="0" shapeId="0">
      <text>
        <r>
          <rPr>
            <sz val="9"/>
            <color indexed="81"/>
            <rFont val="Tahoma"/>
            <family val="2"/>
            <charset val="186"/>
          </rPr>
          <t>Šviesoforų pagal inventorizaciją eksploatuojama</t>
        </r>
        <r>
          <rPr>
            <b/>
            <sz val="9"/>
            <color indexed="81"/>
            <rFont val="Tahoma"/>
            <family val="2"/>
            <charset val="186"/>
          </rPr>
          <t xml:space="preserve"> 66 vnt.</t>
        </r>
        <r>
          <rPr>
            <sz val="9"/>
            <color indexed="81"/>
            <rFont val="Tahoma"/>
            <family val="2"/>
            <charset val="186"/>
          </rPr>
          <t xml:space="preserve"> ir  šiais metais bus įrengta</t>
        </r>
        <r>
          <rPr>
            <b/>
            <sz val="9"/>
            <color indexed="81"/>
            <rFont val="Tahoma"/>
            <family val="2"/>
            <charset val="186"/>
          </rPr>
          <t xml:space="preserve"> 5 nauj</t>
        </r>
        <r>
          <rPr>
            <sz val="9"/>
            <color indexed="81"/>
            <rFont val="Tahoma"/>
            <family val="2"/>
            <charset val="186"/>
          </rPr>
          <t xml:space="preserve">i (Baltijos pr. 20, Baltijos pr.6, Baltijos pr. 10, Šilutės pl. ties AB „Klaipėdos energija“, Taikos pr. ties Žvejų rūmais)
</t>
        </r>
      </text>
    </comment>
    <comment ref="N167" authorId="0" shapeId="0">
      <text>
        <r>
          <rPr>
            <sz val="9"/>
            <color indexed="81"/>
            <rFont val="Tahoma"/>
            <family val="2"/>
            <charset val="186"/>
          </rPr>
          <t xml:space="preserve">Planuojama vietoj senų susidevėjusių kellio ženklų stovų pakeisti naujus, taip pat bus keičiami stovai prie nederančio naujai įrengto apšvietimo centinėse miesto gatvėse
</t>
        </r>
      </text>
    </comment>
    <comment ref="N173" authorId="0" shapeId="0">
      <text>
        <r>
          <rPr>
            <sz val="9"/>
            <color indexed="81"/>
            <rFont val="Tahoma"/>
            <family val="2"/>
            <charset val="186"/>
          </rPr>
          <t>Pagal projektą "Informacinės kelio ženklų sistemos įrengimas", pabaiga 2018 m.</t>
        </r>
      </text>
    </comment>
    <comment ref="K182" authorId="0" shapeId="0">
      <text>
        <r>
          <rPr>
            <sz val="9"/>
            <color indexed="81"/>
            <rFont val="Tahoma"/>
            <family val="2"/>
            <charset val="186"/>
          </rPr>
          <t>Patobulinta ir ekploatuojama programėlė (su start/stop funkcija) išmaniesiems įrenginiais stovėjimo mokesčiui apmokėti, 12 tūkst. eur SB(VR);</t>
        </r>
      </text>
    </comment>
    <comment ref="F187"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N188"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F190" authorId="0" shapeId="0">
      <text>
        <r>
          <rPr>
            <b/>
            <sz val="9"/>
            <color indexed="81"/>
            <rFont val="Tahoma"/>
            <family val="2"/>
            <charset val="186"/>
          </rPr>
          <t>P2, Klaipėdos miesto darnaus judumo planas (2018-09-13, T2-185)</t>
        </r>
      </text>
    </comment>
    <comment ref="F192"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N192" authorId="0" shapeId="0">
      <text>
        <r>
          <rPr>
            <sz val="9"/>
            <color indexed="81"/>
            <rFont val="Tahoma"/>
            <family val="2"/>
            <charset val="186"/>
          </rPr>
          <t>2021 m. numatyta suma iš KVJUD lėšų - sutarties projektą planuojama pradėti rengti 2020 m.</t>
        </r>
      </text>
    </comment>
    <comment ref="F197"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F200"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F203"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F204"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P204" authorId="0" shapeId="0">
      <text>
        <r>
          <rPr>
            <b/>
            <sz val="9"/>
            <color indexed="81"/>
            <rFont val="Tahoma"/>
            <family val="2"/>
            <charset val="186"/>
          </rPr>
          <t>2018 m. įrengtos 6 elektromobilių stotelės:</t>
        </r>
        <r>
          <rPr>
            <sz val="9"/>
            <color indexed="81"/>
            <rFont val="Tahoma"/>
            <family val="2"/>
            <charset val="186"/>
          </rPr>
          <t xml:space="preserve">
1. Prie Park&amp;Ride ligoninių komplekso, 1 vnt.
2. Prie Klaipėdos miesto savivaldybės administracijos pastato iš Vytauto ir Liepų g. pusės, 2 vnt.
     3. Prie LIDL p c., ties Sendvario žiedu, 1 vnt.
     4. Piliavietės aikštelėje, 2 vnt.
     5. Dar 2 stotelės įrengtos Smiltynėje, bet dar neperduotos eksploatuoti.
     6. </t>
        </r>
        <r>
          <rPr>
            <b/>
            <sz val="9"/>
            <color indexed="81"/>
            <rFont val="Tahoma"/>
            <family val="2"/>
            <charset val="186"/>
          </rPr>
          <t xml:space="preserve">2019 m. </t>
        </r>
        <r>
          <rPr>
            <sz val="9"/>
            <color indexed="81"/>
            <rFont val="Tahoma"/>
            <family val="2"/>
            <charset val="186"/>
          </rPr>
          <t xml:space="preserve">planuojamos įrengti 3 vnt. greitos įkrovimo elektromobilių stotelės, kurių įrengimą organizuoja LR susisiekimo ministerija. Klaipėdos mieste tokios stotelės turėtų atsirasti: Vingio g. gale esančioje automobilių statymo aikštelėje, Naujojo turgaus aikštelėje ir šalia Klaipėdos autobusų stoties esančioje automobilių statymo aikštelėje.
</t>
        </r>
      </text>
    </comment>
    <comment ref="P213" authorId="0" shapeId="0">
      <text>
        <r>
          <rPr>
            <b/>
            <sz val="9"/>
            <color indexed="81"/>
            <rFont val="Tahoma"/>
            <family val="2"/>
            <charset val="186"/>
          </rPr>
          <t>59 445 kv.m</t>
        </r>
        <r>
          <rPr>
            <sz val="9"/>
            <color indexed="81"/>
            <rFont val="Tahoma"/>
            <family val="2"/>
            <charset val="186"/>
          </rPr>
          <t xml:space="preserve">
</t>
        </r>
      </text>
    </comment>
    <comment ref="L221" authorId="0" shapeId="0">
      <text>
        <r>
          <rPr>
            <b/>
            <sz val="9"/>
            <color indexed="81"/>
            <rFont val="Tahoma"/>
            <family val="2"/>
            <charset val="186"/>
          </rPr>
          <t>permesta 250 tūkst. eur.</t>
        </r>
        <r>
          <rPr>
            <sz val="9"/>
            <color indexed="81"/>
            <rFont val="Tahoma"/>
            <family val="2"/>
            <charset val="186"/>
          </rPr>
          <t xml:space="preserve">
S. Daukanto gatvės rekonstrukcija nuo H. Manto iki Naujojo Uosto g.</t>
        </r>
      </text>
    </comment>
    <comment ref="Q221" authorId="0" shapeId="0">
      <text>
        <r>
          <rPr>
            <b/>
            <sz val="9"/>
            <color indexed="81"/>
            <rFont val="Tahoma"/>
            <family val="2"/>
            <charset val="186"/>
          </rPr>
          <t xml:space="preserve">78 500 kv.m </t>
        </r>
        <r>
          <rPr>
            <sz val="9"/>
            <color indexed="81"/>
            <rFont val="Tahoma"/>
            <family val="2"/>
            <charset val="186"/>
          </rPr>
          <t xml:space="preserve">
</t>
        </r>
      </text>
    </comment>
    <comment ref="P236" authorId="0" shapeId="0">
      <text>
        <r>
          <rPr>
            <sz val="9"/>
            <color indexed="81"/>
            <rFont val="Tahoma"/>
            <family val="2"/>
            <charset val="186"/>
          </rPr>
          <t xml:space="preserve">1 530 kv.m 
</t>
        </r>
      </text>
    </comment>
    <comment ref="P237" authorId="0" shapeId="0">
      <text>
        <r>
          <rPr>
            <sz val="9"/>
            <color indexed="81"/>
            <rFont val="Tahoma"/>
            <family val="2"/>
            <charset val="186"/>
          </rPr>
          <t xml:space="preserve">44 875 kv.m
</t>
        </r>
      </text>
    </comment>
    <comment ref="P238" authorId="0" shapeId="0">
      <text>
        <r>
          <rPr>
            <sz val="9"/>
            <color indexed="81"/>
            <rFont val="Tahoma"/>
            <family val="2"/>
            <charset val="186"/>
          </rPr>
          <t xml:space="preserve">13 338 kv.m
</t>
        </r>
      </text>
    </comment>
    <comment ref="N239" authorId="0" shapeId="0">
      <text>
        <r>
          <rPr>
            <sz val="9"/>
            <color indexed="81"/>
            <rFont val="Tahoma"/>
            <family val="2"/>
            <charset val="186"/>
          </rPr>
          <t xml:space="preserve">kasmet susidaro apie 120 kiemų
</t>
        </r>
      </text>
    </comment>
    <comment ref="P239" authorId="0" shapeId="0">
      <text>
        <r>
          <rPr>
            <sz val="9"/>
            <color indexed="81"/>
            <rFont val="Tahoma"/>
            <family val="2"/>
            <charset val="186"/>
          </rPr>
          <t>18 180 kv.m</t>
        </r>
      </text>
    </comment>
    <comment ref="P245" authorId="0" shapeId="0">
      <text>
        <r>
          <rPr>
            <sz val="9"/>
            <color indexed="81"/>
            <rFont val="Tahoma"/>
            <family val="2"/>
            <charset val="186"/>
          </rPr>
          <t xml:space="preserve">5900 kv.m
</t>
        </r>
      </text>
    </comment>
    <comment ref="N246" authorId="0" shapeId="0">
      <text>
        <r>
          <rPr>
            <b/>
            <sz val="9"/>
            <color indexed="81"/>
            <rFont val="Tahoma"/>
            <family val="2"/>
            <charset val="186"/>
          </rPr>
          <t xml:space="preserve">2019 m. </t>
        </r>
        <r>
          <rPr>
            <sz val="9"/>
            <color indexed="81"/>
            <rFont val="Tahoma"/>
            <family val="2"/>
            <charset val="186"/>
          </rPr>
          <t xml:space="preserve">
Senamiesčio gatvės 
Ligoninės g.
Vytauto g.
Gedminų g.
Pievų tako g.
Jurginų g.
Poilsio g.
Medžiotojų g.
Naikupės g.
Tilžės g.
</t>
        </r>
      </text>
    </comment>
    <comment ref="P246" authorId="0" shapeId="0">
      <text>
        <r>
          <rPr>
            <b/>
            <sz val="9"/>
            <color indexed="81"/>
            <rFont val="Tahoma"/>
            <family val="2"/>
            <charset val="186"/>
          </rPr>
          <t>7200 kv.m</t>
        </r>
        <r>
          <rPr>
            <sz val="9"/>
            <color indexed="81"/>
            <rFont val="Tahoma"/>
            <family val="2"/>
            <charset val="186"/>
          </rPr>
          <t xml:space="preserve">
</t>
        </r>
      </text>
    </comment>
    <comment ref="Q246" authorId="0" shapeId="0">
      <text>
        <r>
          <rPr>
            <b/>
            <sz val="9"/>
            <color indexed="81"/>
            <rFont val="Tahoma"/>
            <family val="2"/>
            <charset val="186"/>
          </rPr>
          <t>7200 kv.m</t>
        </r>
        <r>
          <rPr>
            <sz val="9"/>
            <color indexed="81"/>
            <rFont val="Tahoma"/>
            <family val="2"/>
            <charset val="186"/>
          </rPr>
          <t xml:space="preserve">
</t>
        </r>
      </text>
    </comment>
    <comment ref="R246" authorId="0" shapeId="0">
      <text>
        <r>
          <rPr>
            <b/>
            <sz val="9"/>
            <color indexed="81"/>
            <rFont val="Tahoma"/>
            <family val="2"/>
            <charset val="186"/>
          </rPr>
          <t>7200 kv.m</t>
        </r>
        <r>
          <rPr>
            <sz val="9"/>
            <color indexed="81"/>
            <rFont val="Tahoma"/>
            <family val="2"/>
            <charset val="186"/>
          </rPr>
          <t xml:space="preserve">
</t>
        </r>
      </text>
    </comment>
    <comment ref="P247" authorId="0" shapeId="0">
      <text>
        <r>
          <rPr>
            <b/>
            <sz val="9"/>
            <color indexed="81"/>
            <rFont val="Tahoma"/>
            <family val="2"/>
            <charset val="186"/>
          </rPr>
          <t>2500 kv.m</t>
        </r>
        <r>
          <rPr>
            <sz val="9"/>
            <color indexed="81"/>
            <rFont val="Tahoma"/>
            <family val="2"/>
            <charset val="186"/>
          </rPr>
          <t xml:space="preserve">
</t>
        </r>
      </text>
    </comment>
    <comment ref="P249" authorId="0" shapeId="0">
      <text>
        <r>
          <rPr>
            <b/>
            <sz val="9"/>
            <color indexed="81"/>
            <rFont val="Tahoma"/>
            <family val="2"/>
            <charset val="186"/>
          </rPr>
          <t>1900 kv.m</t>
        </r>
        <r>
          <rPr>
            <sz val="9"/>
            <color indexed="81"/>
            <rFont val="Tahoma"/>
            <family val="2"/>
            <charset val="186"/>
          </rPr>
          <t xml:space="preserve">
</t>
        </r>
      </text>
    </comment>
    <comment ref="O252" authorId="0" shapeId="0">
      <text>
        <r>
          <rPr>
            <b/>
            <sz val="9"/>
            <color indexed="81"/>
            <rFont val="Tahoma"/>
            <family val="2"/>
            <charset val="186"/>
          </rPr>
          <t>2018 m.</t>
        </r>
        <r>
          <rPr>
            <sz val="9"/>
            <color indexed="81"/>
            <rFont val="Tahoma"/>
            <family val="2"/>
            <charset val="186"/>
          </rPr>
          <t xml:space="preserve"> įstaigos: 8 mokyklos; 11 lopšelių- darželių, Marijos Montesori mokykla
</t>
        </r>
      </text>
    </comment>
    <comment ref="P252" authorId="0" shapeId="0">
      <text>
        <r>
          <rPr>
            <b/>
            <sz val="9"/>
            <color indexed="81"/>
            <rFont val="Tahoma"/>
            <family val="2"/>
            <charset val="186"/>
          </rPr>
          <t>UKD - 7 bendrojo ugdymo mokyklos; 7 lopšeliai darželiai:</t>
        </r>
        <r>
          <rPr>
            <sz val="9"/>
            <color indexed="81"/>
            <rFont val="Tahoma"/>
            <family val="2"/>
            <charset val="186"/>
          </rPr>
          <t xml:space="preserve">
"Saulutė" mokykla-darželis.Saulutės"  mokykla-darželis
L/d "Berželis"
 L/d "Vėrinėlis"
L/d "Atžalynas" 
L/d "Bangelė"
L/d "Pakalnutė"
L/d "Linelis"
Vitės progimnazija 
"Žaliakalnio" gimnazija
"Gabijos" progimnazija
"Versmės"  progimnazija
"Ąžuolyno" gimnazija
"Vyturio" progimnazija
Martyno Mažvydo progimnazija
</t>
        </r>
        <r>
          <rPr>
            <b/>
            <sz val="9"/>
            <color indexed="81"/>
            <rFont val="Tahoma"/>
            <family val="2"/>
            <charset val="186"/>
          </rPr>
          <t>SRD - 1 įstaig:</t>
        </r>
        <r>
          <rPr>
            <sz val="9"/>
            <color indexed="81"/>
            <rFont val="Tahoma"/>
            <family val="2"/>
            <charset val="186"/>
          </rPr>
          <t xml:space="preserve">
1. BĮ Klaipėdos vaikų globos namuose „Smiltelė“ kelio dangos remontas, kv m 23,1 tūkst. Eur;
</t>
        </r>
      </text>
    </comment>
    <comment ref="Q252" authorId="0" shapeId="0">
      <text>
        <r>
          <rPr>
            <b/>
            <sz val="9"/>
            <color indexed="81"/>
            <rFont val="Tahoma"/>
            <family val="2"/>
            <charset val="186"/>
          </rPr>
          <t>12 vnt.:</t>
        </r>
        <r>
          <rPr>
            <sz val="9"/>
            <color indexed="81"/>
            <rFont val="Tahoma"/>
            <family val="2"/>
            <charset val="186"/>
          </rPr>
          <t xml:space="preserve">
Vydūno gimnazija
"Vėtrungės" gimnazija
Maksimo Gorkio progimnazija
Klaipėdos suaugusiųjų gimnazija
"Verdenės"  progimnazija
L/d "Žemuogėlė"
L/d "Inkarėlis"
L/d "Aitvarėlis"
L/d "Radastėlė"
Lopšelis-darželis "Žuvėdra"
Lopšelis-darželis "Šermukšnėlė"
Jeronimo Kačinsko muzikos mokykla
</t>
        </r>
      </text>
    </comment>
    <comment ref="R252" authorId="0" shapeId="0">
      <text>
        <r>
          <rPr>
            <b/>
            <sz val="9"/>
            <color indexed="81"/>
            <rFont val="Tahoma"/>
            <family val="2"/>
            <charset val="186"/>
          </rPr>
          <t>6 vnt.</t>
        </r>
        <r>
          <rPr>
            <sz val="9"/>
            <color indexed="81"/>
            <rFont val="Tahoma"/>
            <family val="2"/>
            <charset val="186"/>
          </rPr>
          <t xml:space="preserve">
Lopšelis-darželis  "Giliukas"
Darželis "Gintarėlis"
Lopšelis-darželis "Eglutė"
"Varpo" gimnazija
"Verdenės"  progimnazija
Vytauto Didžiojo gimnazija
</t>
        </r>
      </text>
    </comment>
    <comment ref="E259" authorId="0" shapeId="0">
      <text>
        <r>
          <rPr>
            <sz val="9"/>
            <color indexed="81"/>
            <rFont val="Tahoma"/>
            <family val="2"/>
            <charset val="186"/>
          </rPr>
          <t>parkavimo vietų subraižymas, žaliųjų vejų ir skverų sutvarkymas</t>
        </r>
      </text>
    </comment>
    <comment ref="Q259" authorId="0" shapeId="0">
      <text>
        <r>
          <rPr>
            <b/>
            <sz val="9"/>
            <color indexed="81"/>
            <rFont val="Tahoma"/>
            <family val="2"/>
            <charset val="186"/>
          </rPr>
          <t>Techninis projektas</t>
        </r>
        <r>
          <rPr>
            <sz val="9"/>
            <color indexed="81"/>
            <rFont val="Tahoma"/>
            <family val="2"/>
            <charset val="186"/>
          </rPr>
          <t xml:space="preserve">
Įvažiavimo kelio ir šalia esančio skvero į Taikos pr. 109 ;</t>
        </r>
      </text>
    </comment>
    <comment ref="R259" authorId="0" shapeId="0">
      <text>
        <r>
          <rPr>
            <b/>
            <sz val="9"/>
            <color indexed="81"/>
            <rFont val="Tahoma"/>
            <family val="2"/>
            <charset val="186"/>
          </rPr>
          <t>Techniniai projektai:</t>
        </r>
        <r>
          <rPr>
            <sz val="9"/>
            <color indexed="81"/>
            <rFont val="Tahoma"/>
            <family val="2"/>
            <charset val="186"/>
          </rPr>
          <t xml:space="preserve">
</t>
        </r>
        <r>
          <rPr>
            <b/>
            <sz val="9"/>
            <color indexed="81"/>
            <rFont val="Tahoma"/>
            <family val="2"/>
            <charset val="186"/>
          </rPr>
          <t>1</t>
        </r>
        <r>
          <rPr>
            <sz val="9"/>
            <color indexed="81"/>
            <rFont val="Tahoma"/>
            <family val="2"/>
            <charset val="186"/>
          </rPr>
          <t xml:space="preserve">. Įvažiavimo kelio į Taikos pr. 101; </t>
        </r>
        <r>
          <rPr>
            <b/>
            <sz val="9"/>
            <color indexed="81"/>
            <rFont val="Tahoma"/>
            <family val="2"/>
            <charset val="186"/>
          </rPr>
          <t>2</t>
        </r>
        <r>
          <rPr>
            <sz val="9"/>
            <color indexed="81"/>
            <rFont val="Tahoma"/>
            <family val="2"/>
            <charset val="186"/>
          </rPr>
          <t xml:space="preserve">. Įvažiavimo kelio  į Debreceno g. 61. </t>
        </r>
      </text>
    </comment>
    <comment ref="J278" authorId="0" shapeId="0">
      <text>
        <r>
          <rPr>
            <b/>
            <sz val="9"/>
            <color indexed="81"/>
            <rFont val="Tahoma"/>
            <family val="2"/>
            <charset val="186"/>
          </rPr>
          <t xml:space="preserve">18063,2
</t>
        </r>
        <r>
          <rPr>
            <sz val="9"/>
            <color indexed="81"/>
            <rFont val="Tahoma"/>
            <family val="2"/>
            <charset val="186"/>
          </rPr>
          <t xml:space="preserve">
</t>
        </r>
      </text>
    </comment>
    <comment ref="J284" authorId="0" shapeId="0">
      <text>
        <r>
          <rPr>
            <b/>
            <sz val="9"/>
            <color indexed="81"/>
            <rFont val="Tahoma"/>
            <family val="2"/>
            <charset val="186"/>
          </rPr>
          <t xml:space="preserve">3991,4+7,7 papildomas KPPP reservas
</t>
        </r>
      </text>
    </comment>
  </commentList>
</comments>
</file>

<file path=xl/comments4.xml><?xml version="1.0" encoding="utf-8"?>
<comments xmlns="http://schemas.openxmlformats.org/spreadsheetml/2006/main">
  <authors>
    <author>Audra Cepiene</author>
    <author>Saulina Paulauskiene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F14"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N14" authorId="0" shapeId="0">
      <text>
        <r>
          <rPr>
            <b/>
            <sz val="9"/>
            <color indexed="81"/>
            <rFont val="Tahoma"/>
            <family val="2"/>
            <charset val="186"/>
          </rPr>
          <t>Į senamiesčio grindinio atnaujinimo projektą įtraukta priemonė "</t>
        </r>
        <r>
          <rPr>
            <sz val="9"/>
            <color indexed="81"/>
            <rFont val="Tahoma"/>
            <family val="2"/>
            <charset val="186"/>
          </rPr>
          <t>Tomo ir Pylimo g. rekonstravimas", iš viso bus tvarkomos 8 gatvės:
Žvejų g., Teatro g., Sukilėlių g., Daržų g. (nuo Pilies g. iki Aukštosios g.), Aukštoji g. (nuo Daržų g. iki Didžiosios Vandens g.), Didžioji Vandens g. (nuo Aukštosios g. iki Tiltų g.), Vežėjų g. (nuo Turgaus g. iki Daržų g.), Tomo ir Pylimo g.</t>
        </r>
      </text>
    </comment>
    <comment ref="F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N19" authorId="0" shapeId="0">
      <text>
        <r>
          <rPr>
            <sz val="9"/>
            <color indexed="81"/>
            <rFont val="Tahoma"/>
            <family val="2"/>
            <charset val="186"/>
          </rPr>
          <t>Šiuo metu projektuotojai rengia poveikio aplinkai vertinimą, kol nebus atliktas PAV projektavimo darbai nebus vykdomi, nes PAV gali įtakoti techninio darbo projekto sprendinius.</t>
        </r>
      </text>
    </comment>
    <comment ref="N20" authorId="0" shapeId="0">
      <text>
        <r>
          <rPr>
            <b/>
            <sz val="9"/>
            <color indexed="81"/>
            <rFont val="Tahoma"/>
            <family val="2"/>
            <charset val="186"/>
          </rPr>
          <t>I etapas.</t>
        </r>
        <r>
          <rPr>
            <sz val="9"/>
            <color indexed="81"/>
            <rFont val="Tahoma"/>
            <family val="2"/>
            <charset val="186"/>
          </rPr>
          <t xml:space="preserve"> Bastionų g. nuo Danės g. iki Danės upės ir nuo Danės upės iki Gluosnių g. tiesimas. Pabaiga 2022 m.</t>
        </r>
      </text>
    </comment>
    <comment ref="N27" authorId="0" shapeId="0">
      <text>
        <r>
          <rPr>
            <sz val="9"/>
            <color indexed="81"/>
            <rFont val="Tahoma"/>
            <family val="2"/>
            <charset val="186"/>
          </rPr>
          <t>privaloma atlikti specialiąją paveldosaugos ekspertizę, todėl atliekamos viešųjų pirkimų procedūros, paveldosaugos ekspertizės pirkimui.</t>
        </r>
      </text>
    </comment>
    <comment ref="F28" authorId="0" shapeId="0">
      <text>
        <r>
          <rPr>
            <b/>
            <sz val="9"/>
            <color indexed="81"/>
            <rFont val="Tahoma"/>
            <family val="2"/>
            <charset val="186"/>
          </rPr>
          <t xml:space="preserve">P2.1.2.8
</t>
        </r>
        <r>
          <rPr>
            <sz val="9"/>
            <color indexed="81"/>
            <rFont val="Tahoma"/>
            <family val="2"/>
            <charset val="186"/>
          </rPr>
          <t xml:space="preserve">Centrinėje miesto dalyje suformuoti pėsčiųjų takų, zonų ir gatvių tinklą </t>
        </r>
      </text>
    </comment>
    <comment ref="N29" authorId="0" shapeId="0">
      <text>
        <r>
          <rPr>
            <sz val="9"/>
            <color indexed="81"/>
            <rFont val="Tahoma"/>
            <family val="2"/>
            <charset val="186"/>
          </rPr>
          <t xml:space="preserve">Darbai nikelti į tolimesnį laikotarpį. Atlikta rekonstravimo (I etapo) darbų. Užbaigtumas, proc. </t>
        </r>
      </text>
    </comment>
    <comment ref="I30"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N30" authorId="0" shapeId="0">
      <text>
        <r>
          <rPr>
            <sz val="9"/>
            <color indexed="81"/>
            <rFont val="Tahoma"/>
            <family val="2"/>
            <charset val="186"/>
          </rPr>
          <t>Savivaldybė rengia tik techninį projektą. Bendra projekto vertė 2 mln. Eur.</t>
        </r>
      </text>
    </comment>
    <comment ref="F31"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33"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N35" authorId="0" shapeId="0">
      <text>
        <r>
          <rPr>
            <sz val="9"/>
            <color indexed="81"/>
            <rFont val="Tahoma"/>
            <family val="2"/>
            <charset val="186"/>
          </rPr>
          <t>Puodžių g. rekonstravimas siejamas su Šv. Jono bažnyčios atstatymu.</t>
        </r>
      </text>
    </comment>
    <comment ref="F38"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E51" authorId="0" shapeId="0">
      <text>
        <r>
          <rPr>
            <b/>
            <sz val="9"/>
            <color indexed="81"/>
            <rFont val="Tahoma"/>
            <family val="2"/>
            <charset val="186"/>
          </rPr>
          <t>SPG protokolas 2016-09-23 Nr. STR-12</t>
        </r>
        <r>
          <rPr>
            <sz val="9"/>
            <color indexed="81"/>
            <rFont val="Tahoma"/>
            <family val="2"/>
            <charset val="186"/>
          </rPr>
          <t xml:space="preserve">
</t>
        </r>
      </text>
    </comment>
    <comment ref="N51" authorId="0" shapeId="0">
      <text>
        <r>
          <rPr>
            <sz val="9"/>
            <color indexed="81"/>
            <rFont val="Tahoma"/>
            <family val="2"/>
            <charset val="186"/>
          </rPr>
          <t>Gatvės įrengimo darbai nukelti į 2022 m.</t>
        </r>
      </text>
    </comment>
    <comment ref="F56"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J58" authorId="0" shapeId="0">
      <text>
        <r>
          <rPr>
            <b/>
            <sz val="9"/>
            <color indexed="81"/>
            <rFont val="Tahoma"/>
            <family val="2"/>
            <charset val="186"/>
          </rPr>
          <t>minusuotas likutis</t>
        </r>
        <r>
          <rPr>
            <sz val="9"/>
            <color indexed="81"/>
            <rFont val="Tahoma"/>
            <family val="2"/>
            <charset val="186"/>
          </rPr>
          <t xml:space="preserve">
</t>
        </r>
      </text>
    </comment>
    <comment ref="I68" authorId="0" shapeId="0">
      <text>
        <r>
          <rPr>
            <sz val="9"/>
            <color indexed="81"/>
            <rFont val="Tahoma"/>
            <family val="2"/>
            <charset val="186"/>
          </rPr>
          <t>Gyventojų lėšos</t>
        </r>
      </text>
    </comment>
    <comment ref="F69"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N69" authorId="0" shapeId="0">
      <text>
        <r>
          <rPr>
            <sz val="9"/>
            <color indexed="81"/>
            <rFont val="Tahoma"/>
            <family val="2"/>
            <charset val="186"/>
          </rPr>
          <t>Projektas nebus vykdomas dėl per didelės projekto finansinės vertės.</t>
        </r>
      </text>
    </comment>
    <comment ref="F74"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I80" authorId="0" shapeId="0">
      <text>
        <r>
          <rPr>
            <sz val="9"/>
            <color indexed="81"/>
            <rFont val="Tahoma"/>
            <family val="2"/>
            <charset val="186"/>
          </rPr>
          <t xml:space="preserve">AB „Klaipėdos nafta“ skirtia tikslines lėšas 175.000 Eur 
</t>
        </r>
      </text>
    </comment>
    <comment ref="E81" authorId="0" shapeId="0">
      <text>
        <r>
          <rPr>
            <sz val="9"/>
            <color indexed="81"/>
            <rFont val="Tahoma"/>
            <family val="2"/>
            <charset val="186"/>
          </rPr>
          <t>SPG protokolas 2016-09-23 Nr. STR-12</t>
        </r>
      </text>
    </comment>
    <comment ref="F85"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J86" authorId="0" shapeId="0">
      <text>
        <r>
          <rPr>
            <sz val="9"/>
            <color indexed="81"/>
            <rFont val="Tahoma"/>
            <family val="2"/>
            <charset val="186"/>
          </rPr>
          <t>LR Susisiekimo ministro</t>
        </r>
        <r>
          <rPr>
            <b/>
            <sz val="9"/>
            <color indexed="81"/>
            <rFont val="Tahoma"/>
            <family val="2"/>
            <charset val="186"/>
          </rPr>
          <t xml:space="preserve"> 2018 m. lapkričio 21 d.  įsakymas Nr.3-581</t>
        </r>
        <r>
          <rPr>
            <sz val="9"/>
            <color indexed="81"/>
            <rFont val="Tahoma"/>
            <family val="2"/>
            <charset val="186"/>
          </rPr>
          <t xml:space="preserve"> "Dėl Lietuvos Respublikos susisiekimo ministro 2018 m. gegužės 16 d. įsakymo Nr.3-234 "Dėl vietinės reikšmės kelių (gatvių) tikslinio finansavimo 2018 metų sąrašo patvirtinimo" pakeitimo".</t>
        </r>
      </text>
    </comment>
    <comment ref="N90" authorId="0" shapeId="0">
      <text>
        <r>
          <rPr>
            <b/>
            <sz val="9"/>
            <color indexed="81"/>
            <rFont val="Tahoma"/>
            <family val="2"/>
            <charset val="186"/>
          </rPr>
          <t>Techninis projektas yra parengtas</t>
        </r>
        <r>
          <rPr>
            <sz val="9"/>
            <color indexed="81"/>
            <rFont val="Tahoma"/>
            <family val="2"/>
            <charset val="186"/>
          </rPr>
          <t xml:space="preserve">
</t>
        </r>
      </text>
    </comment>
    <comment ref="F92"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N92" authorId="0" shapeId="0">
      <text>
        <r>
          <rPr>
            <sz val="9"/>
            <color indexed="81"/>
            <rFont val="Tahoma"/>
            <family val="2"/>
            <charset val="186"/>
          </rPr>
          <t>Rekonstravimo darbai bus pradėti 2022 metais. Atlikta gatvės (571 m) tiesimo darbų (II etapas). Užbaigtumas, proc.</t>
        </r>
      </text>
    </comment>
    <comment ref="N95" authorId="0" shapeId="0">
      <text>
        <r>
          <rPr>
            <sz val="9"/>
            <color indexed="81"/>
            <rFont val="Tahoma"/>
            <family val="2"/>
            <charset val="186"/>
          </rPr>
          <t xml:space="preserve">Rekonstravimo darbai bus pradėti 2022 m. </t>
        </r>
      </text>
    </comment>
    <comment ref="N97" authorId="0" shapeId="0">
      <text>
        <r>
          <rPr>
            <sz val="9"/>
            <color indexed="81"/>
            <rFont val="Tahoma"/>
            <family val="2"/>
            <charset val="186"/>
          </rPr>
          <t xml:space="preserve">Techninio projekto parengimas  2023 m. </t>
        </r>
      </text>
    </comment>
    <comment ref="N99" authorId="0" shapeId="0">
      <text>
        <r>
          <rPr>
            <b/>
            <sz val="9"/>
            <color indexed="81"/>
            <rFont val="Tahoma"/>
            <family val="2"/>
            <charset val="186"/>
          </rPr>
          <t>projekta parengs privatus investuotojas</t>
        </r>
      </text>
    </comment>
    <comment ref="F102"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F103"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N103" authorId="0" shapeId="0">
      <text>
        <r>
          <rPr>
            <sz val="9"/>
            <color indexed="81"/>
            <rFont val="Tahoma"/>
            <family val="2"/>
            <charset val="186"/>
          </rPr>
          <t xml:space="preserve">Techn. projekto </t>
        </r>
        <r>
          <rPr>
            <b/>
            <sz val="9"/>
            <color indexed="81"/>
            <rFont val="Tahoma"/>
            <family val="2"/>
            <charset val="186"/>
          </rPr>
          <t xml:space="preserve">kaina 534 tūkst. eur </t>
        </r>
        <r>
          <rPr>
            <sz val="8"/>
            <color indexed="81"/>
            <rFont val="Tahoma"/>
            <family val="2"/>
            <charset val="186"/>
          </rPr>
          <t xml:space="preserve">(Geologinių, topografinių (geodezinių) tyrinėjimo dokumentų parengimas; Techninis projektas; Investicinis projektas; Detaliojo plano koregavimas) </t>
        </r>
        <r>
          <rPr>
            <b/>
            <sz val="8"/>
            <color indexed="81"/>
            <rFont val="Tahoma"/>
            <family val="2"/>
            <charset val="186"/>
          </rPr>
          <t>10 tūkst. eur ekspertizė</t>
        </r>
      </text>
    </comment>
    <comment ref="E118" authorId="0" shapeId="0">
      <text>
        <r>
          <rPr>
            <b/>
            <sz val="9"/>
            <color indexed="81"/>
            <rFont val="Tahoma"/>
            <family val="2"/>
            <charset val="186"/>
          </rPr>
          <t xml:space="preserve">2018-07-27 TAR-69
</t>
        </r>
        <r>
          <rPr>
            <sz val="9"/>
            <color indexed="81"/>
            <rFont val="Tahoma"/>
            <family val="2"/>
            <charset val="186"/>
          </rPr>
          <t>SVARSTYTA. Klaipėdos miesto savivaldybės tarybos 2017 m. kovo 30 d. sprendimo Nr.T2-75 „Dėl fizinių ar juridinių asmenų, pageidaujančių skirti tikslinių lėšų Klaipėdos miesto savivaldybės teritorijoje esančiai viešai susisiekimo infrastruktūrai, pasiūlymų teikimo, vertinimo, pripažinimo tinkamais įgyvendinti ir finansavimo tvarkos aprašo patvirtinimo“ pakeitimas. (V. Švedas). 
NUTARTA:
1. Pritarti pateiktam sprendimo projektui.
2. Rekomenduoti Savivaldybės administracijai, rengiant  2019 metų biudžeto projektą, numatyti tam tikrą lėšų sumą šios programos vykdymui</t>
        </r>
        <r>
          <rPr>
            <b/>
            <sz val="9"/>
            <color indexed="81"/>
            <rFont val="Tahoma"/>
            <family val="2"/>
            <charset val="186"/>
          </rPr>
          <t xml:space="preserve">
</t>
        </r>
        <r>
          <rPr>
            <sz val="9"/>
            <color indexed="81"/>
            <rFont val="Tahoma"/>
            <family val="2"/>
            <charset val="186"/>
          </rPr>
          <t xml:space="preserve">
</t>
        </r>
      </text>
    </comment>
    <comment ref="F123"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N130" authorId="0" shapeId="0">
      <text>
        <r>
          <rPr>
            <sz val="9"/>
            <color indexed="81"/>
            <rFont val="Tahoma"/>
            <family val="2"/>
            <charset val="186"/>
          </rPr>
          <t>Naujieji metai, Lietuvos valstybės atkūrimo diena, Klaipėdos šviesų festivalis, Lietuvos nepriklausomybės atkūrimo diena</t>
        </r>
      </text>
    </comment>
    <comment ref="K134" authorId="0" shapeId="0">
      <text>
        <r>
          <rPr>
            <sz val="9"/>
            <color indexed="81"/>
            <rFont val="Tahoma"/>
            <family val="2"/>
            <charset val="186"/>
          </rPr>
          <t xml:space="preserve">įsakymu bus įrašytos lėšos iš vežėjų už trasportą
</t>
        </r>
      </text>
    </comment>
    <comment ref="P135" authorId="0" shapeId="0">
      <text>
        <r>
          <rPr>
            <sz val="9"/>
            <color indexed="81"/>
            <rFont val="Tahoma"/>
            <family val="2"/>
            <charset val="186"/>
          </rPr>
          <t>Rodikliai yra didesni 17 vnt.,  maršrutų, kuriais važinės ekologiški autobusai. UAB „Klaipėdos autobusų parkas“ dalyvauja konkurse dėl ekologiškų autobusų įsigijimo. Konkursas įvyks 2019 m., todėl nuostoliai kasmet augs.</t>
        </r>
      </text>
    </comment>
    <comment ref="N139" authorId="0" shapeId="0">
      <text>
        <r>
          <rPr>
            <sz val="9"/>
            <color indexed="81"/>
            <rFont val="Tahoma"/>
            <family val="2"/>
            <charset val="186"/>
          </rPr>
          <t xml:space="preserve">1. priemonę „Nuostolingų maršrutų subsidijavimas priemiesčio maršrutus aptarnaujantiems 
vežėjams“, numatant 117,0 tūkst. eurų finansavimą iš savivaldybės biudžeto lėšų maršrutams į s. b. „Vaiteliai“, s. b. „Rasa“, „Klaipėdos autobusų stotis–Palangos oro uostas“, bandomajam maršrutui (aptarnaujamas elektriniu autobusu), naktiniam maršrutui subsidijuoti
</t>
        </r>
      </text>
    </comment>
    <comment ref="N143" authorId="0" shapeId="0">
      <text>
        <r>
          <rPr>
            <sz val="9"/>
            <color indexed="81"/>
            <rFont val="Tahoma"/>
            <family val="2"/>
            <charset val="186"/>
          </rPr>
          <t>Klaipėdos miesto darnaus judumo planas (2018-09-13, T2-185)</t>
        </r>
      </text>
    </comment>
    <comment ref="F146" authorId="0" shapeId="0">
      <text>
        <r>
          <rPr>
            <b/>
            <sz val="9"/>
            <color indexed="81"/>
            <rFont val="Tahoma"/>
            <family val="2"/>
            <charset val="186"/>
          </rPr>
          <t>Klaipėdos miesto darnaus judumo planas (2018-09-13, T2-185)
P6, Klaipėdos miesto ekonominės plėtros strategija ir įgyvendinimo veiksmų planas iki 2030 metų, 3.3.4. priemonė</t>
        </r>
        <r>
          <rPr>
            <sz val="9"/>
            <color indexed="81"/>
            <rFont val="Tahoma"/>
            <family val="2"/>
            <charset val="186"/>
          </rPr>
          <t xml:space="preserve">
 </t>
        </r>
      </text>
    </comment>
    <comment ref="O146" authorId="0" shapeId="0">
      <text>
        <r>
          <rPr>
            <sz val="9"/>
            <color indexed="81"/>
            <rFont val="Tahoma"/>
            <family val="2"/>
            <charset val="186"/>
          </rPr>
          <t xml:space="preserve">iš viso bus integruota iki 2020 m.  205 vieš. transporto priemonių
</t>
        </r>
      </text>
    </comment>
    <comment ref="I150" authorId="1" shapeId="0">
      <text>
        <r>
          <rPr>
            <b/>
            <sz val="9"/>
            <color indexed="81"/>
            <rFont val="Tahoma"/>
            <family val="2"/>
            <charset val="186"/>
          </rPr>
          <t>Saulina Paulauskiene:</t>
        </r>
        <r>
          <rPr>
            <sz val="9"/>
            <color indexed="81"/>
            <rFont val="Tahoma"/>
            <family val="2"/>
            <charset val="186"/>
          </rPr>
          <t xml:space="preserve">
reikia pagrindimo</t>
        </r>
      </text>
    </comment>
    <comment ref="F153"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J153" authorId="0" shapeId="0">
      <text>
        <r>
          <rPr>
            <sz val="9"/>
            <color indexed="81"/>
            <rFont val="Tahoma"/>
            <family val="2"/>
            <charset val="186"/>
          </rPr>
          <t xml:space="preserve">10 tūkst. eur projektas,
20 tūkst. eur avansui dėl įrengimo 
</t>
        </r>
      </text>
    </comment>
    <comment ref="N154" authorId="0" shapeId="0">
      <text>
        <r>
          <rPr>
            <sz val="9"/>
            <color indexed="81"/>
            <rFont val="Tahoma"/>
            <family val="2"/>
            <charset val="186"/>
          </rPr>
          <t xml:space="preserve">bendra vertė 123,1 tūkst. eur, iš jų 10 tūkst eur techninis projektas
</t>
        </r>
      </text>
    </comment>
    <comment ref="Q154" authorId="0" shapeId="0">
      <text>
        <r>
          <rPr>
            <b/>
            <sz val="9"/>
            <color indexed="81"/>
            <rFont val="Tahoma"/>
            <family val="2"/>
            <charset val="186"/>
          </rPr>
          <t>Iš viso bus įrengta 13 stotelių:</t>
        </r>
        <r>
          <rPr>
            <sz val="9"/>
            <color indexed="81"/>
            <rFont val="Tahoma"/>
            <family val="2"/>
            <charset val="186"/>
          </rPr>
          <t xml:space="preserve"> 
1. Kauno stotelė šiaurės kryptimi (Taikos pr. 55A);
2. Kauno stotelė pietų kryptimi (Taikos pr. 52C);
3. Baltijos stotelė šiaurės kryptimi (Taikos pr. 71A);
4. Baltijos stotelė pietų kryptimi (Taikos pr. 66A);
5. Vėtrungės stotelė pietų kryptimi (Taikos pr. 28);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
</t>
        </r>
      </text>
    </comment>
    <comment ref="K156" authorId="0" shapeId="0">
      <text>
        <r>
          <rPr>
            <sz val="9"/>
            <color indexed="81"/>
            <rFont val="Tahoma"/>
            <family val="2"/>
            <charset val="186"/>
          </rPr>
          <t>iš pėsčiųjų ir dviračių takų, šaligatvių SB(VR) 48 tūkst eur</t>
        </r>
      </text>
    </comment>
    <comment ref="N157" authorId="0" shapeId="0">
      <text>
        <r>
          <rPr>
            <b/>
            <sz val="9"/>
            <color indexed="81"/>
            <rFont val="Tahoma"/>
            <family val="2"/>
            <charset val="186"/>
          </rPr>
          <t>I etapo stotelės 10 vnt.</t>
        </r>
        <r>
          <rPr>
            <sz val="9"/>
            <color indexed="81"/>
            <rFont val="Tahoma"/>
            <family val="2"/>
            <charset val="186"/>
          </rPr>
          <t xml:space="preserve">
 (Vasaros estrados (pietų ir šiaurės kryptys), Rumpiškės, Kooperacijos, Juodkrantės,  Naikupės, Šilutės, Minijos, Aula Magna, Minijos stotelės)</t>
        </r>
      </text>
    </comment>
    <comment ref="N161" authorId="0" shapeId="0">
      <text>
        <r>
          <rPr>
            <sz val="9"/>
            <color indexed="81"/>
            <rFont val="Tahoma"/>
            <family val="2"/>
            <charset val="186"/>
          </rPr>
          <t>2018 m. parengtas techninis projektas ir ekpertizės išvada1</t>
        </r>
      </text>
    </comment>
    <comment ref="E164" authorId="0" shapeId="0">
      <text>
        <r>
          <rPr>
            <sz val="9"/>
            <color indexed="81"/>
            <rFont val="Tahoma"/>
            <family val="2"/>
            <charset val="186"/>
          </rPr>
          <t>Projektas vykdomas kartu su Autobusų parku</t>
        </r>
      </text>
    </comment>
    <comment ref="F165"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171"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P174" authorId="0" shapeId="0">
      <text>
        <r>
          <rPr>
            <sz val="9"/>
            <color indexed="81"/>
            <rFont val="Tahoma"/>
            <family val="2"/>
            <charset val="186"/>
          </rPr>
          <t>pagal GIS - 14533</t>
        </r>
      </text>
    </comment>
    <comment ref="P175" authorId="0" shapeId="0">
      <text>
        <r>
          <rPr>
            <sz val="9"/>
            <color indexed="81"/>
            <rFont val="Tahoma"/>
            <family val="2"/>
            <charset val="186"/>
          </rPr>
          <t>Šviesoforų pagal inventorizaciją eksploatuojama</t>
        </r>
        <r>
          <rPr>
            <b/>
            <sz val="9"/>
            <color indexed="81"/>
            <rFont val="Tahoma"/>
            <family val="2"/>
            <charset val="186"/>
          </rPr>
          <t xml:space="preserve"> 66 vnt.</t>
        </r>
        <r>
          <rPr>
            <sz val="9"/>
            <color indexed="81"/>
            <rFont val="Tahoma"/>
            <family val="2"/>
            <charset val="186"/>
          </rPr>
          <t xml:space="preserve"> ir  šiais metais bus įrengta</t>
        </r>
        <r>
          <rPr>
            <b/>
            <sz val="9"/>
            <color indexed="81"/>
            <rFont val="Tahoma"/>
            <family val="2"/>
            <charset val="186"/>
          </rPr>
          <t xml:space="preserve"> 5 nauj</t>
        </r>
        <r>
          <rPr>
            <sz val="9"/>
            <color indexed="81"/>
            <rFont val="Tahoma"/>
            <family val="2"/>
            <charset val="186"/>
          </rPr>
          <t xml:space="preserve">i (Baltijos pr. 20, Baltijos pr.6, Baltijos pr. 10, Šilutės pl. ties AB „Klaipėdos energija“, Taikos pr. ties Žvejų rūmais)
</t>
        </r>
      </text>
    </comment>
    <comment ref="N177" authorId="0" shapeId="0">
      <text>
        <r>
          <rPr>
            <sz val="9"/>
            <color indexed="81"/>
            <rFont val="Tahoma"/>
            <family val="2"/>
            <charset val="186"/>
          </rPr>
          <t xml:space="preserve">Planuojama vietoj senų susidevėjusių kellio ženklų stovų pakeisti naujus, taip pat bus keičiami stovai prie nederančio naujai įrengto apšvietimo centinėse miesto gatvėse
</t>
        </r>
      </text>
    </comment>
    <comment ref="N183" authorId="0" shapeId="0">
      <text>
        <r>
          <rPr>
            <sz val="9"/>
            <color indexed="81"/>
            <rFont val="Tahoma"/>
            <family val="2"/>
            <charset val="186"/>
          </rPr>
          <t>Pagal projektą "Informacinės kelio ženklų sistemos įrengimas", pabaiga 2018 m.</t>
        </r>
      </text>
    </comment>
    <comment ref="J192" authorId="0" shapeId="0">
      <text>
        <r>
          <rPr>
            <sz val="9"/>
            <color indexed="81"/>
            <rFont val="Tahoma"/>
            <family val="2"/>
            <charset val="186"/>
          </rPr>
          <t>Patobulinta ir ekploatuojama programėlė (su start/stop funkcija) išmaniesiems įrenginiais stovėjimo mokesčiui apmokėti, 12 tūkst. eur SB(VR);
Įrengta bankinių kortelių skaitytuvų stovėjimo bilietų automatuose 10 vnt. 30 tūkst. eur SB(VR)</t>
        </r>
      </text>
    </comment>
    <comment ref="K192" authorId="0" shapeId="0">
      <text>
        <r>
          <rPr>
            <sz val="9"/>
            <color indexed="81"/>
            <rFont val="Tahoma"/>
            <family val="2"/>
            <charset val="186"/>
          </rPr>
          <t>Patobulinta ir ekploatuojama programėlė (su start/stop funkcija) išmaniesiems įrenginiais stovėjimo mokesčiui apmokėti, 12 tūkst. eur SB(VR);</t>
        </r>
      </text>
    </comment>
    <comment ref="F199"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N200"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F202" authorId="0" shapeId="0">
      <text>
        <r>
          <rPr>
            <b/>
            <sz val="9"/>
            <color indexed="81"/>
            <rFont val="Tahoma"/>
            <family val="2"/>
            <charset val="186"/>
          </rPr>
          <t>P2, Klaipėdos miesto darnaus judumo planas (2018-09-13, T2-185)</t>
        </r>
      </text>
    </comment>
    <comment ref="F204"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F209"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F212"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F215"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F216"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P216" authorId="0" shapeId="0">
      <text>
        <r>
          <rPr>
            <b/>
            <sz val="9"/>
            <color indexed="81"/>
            <rFont val="Tahoma"/>
            <family val="2"/>
            <charset val="186"/>
          </rPr>
          <t>2018 m. įrengtos 6 elektromobilių stotelės:</t>
        </r>
        <r>
          <rPr>
            <sz val="9"/>
            <color indexed="81"/>
            <rFont val="Tahoma"/>
            <family val="2"/>
            <charset val="186"/>
          </rPr>
          <t xml:space="preserve">
1. Prie Park&amp;Ride ligoninių komplekso, 1 vnt.
2. Prie Klaipėdos miesto savivaldybės administracijos pastato iš Vytauto ir Liepų g. pusės, 2 vnt.
     3. Prie LIDL p c., ties Sendvario žiedu, 1 vnt.
     4. Piliavietės aikštelėje, 2 vnt.
     5. Dar 2 stotelės įrengtos Smiltynėje, bet dar neperduotos eksploatuoti.
     6. </t>
        </r>
        <r>
          <rPr>
            <b/>
            <sz val="9"/>
            <color indexed="81"/>
            <rFont val="Tahoma"/>
            <family val="2"/>
            <charset val="186"/>
          </rPr>
          <t xml:space="preserve">2019 m. </t>
        </r>
        <r>
          <rPr>
            <sz val="9"/>
            <color indexed="81"/>
            <rFont val="Tahoma"/>
            <family val="2"/>
            <charset val="186"/>
          </rPr>
          <t xml:space="preserve">planuojamos įrengti 3 vnt. greitos įkrovimo elektromobilių stotelės, kurių įrengimą organizuoja LR susisiekimo ministerija. Klaipėdos mieste tokios stotelės turėtų atsirasti: Vingio g. gale esančioje automobilių statymo aikštelėje, Naujojo turgaus aikštelėje ir šalia Klaipėdos autobusų stoties esančioje automobilių statymo aikštelėje.
</t>
        </r>
      </text>
    </comment>
    <comment ref="P225" authorId="0" shapeId="0">
      <text>
        <r>
          <rPr>
            <b/>
            <sz val="9"/>
            <color indexed="81"/>
            <rFont val="Tahoma"/>
            <family val="2"/>
            <charset val="186"/>
          </rPr>
          <t>59 950 kv.m</t>
        </r>
        <r>
          <rPr>
            <sz val="9"/>
            <color indexed="81"/>
            <rFont val="Tahoma"/>
            <family val="2"/>
            <charset val="186"/>
          </rPr>
          <t xml:space="preserve">
</t>
        </r>
      </text>
    </comment>
    <comment ref="L233" authorId="0" shapeId="0">
      <text>
        <r>
          <rPr>
            <b/>
            <sz val="9"/>
            <color indexed="81"/>
            <rFont val="Tahoma"/>
            <family val="2"/>
            <charset val="186"/>
          </rPr>
          <t>permesta 250 tūkst. eur.</t>
        </r>
        <r>
          <rPr>
            <sz val="9"/>
            <color indexed="81"/>
            <rFont val="Tahoma"/>
            <family val="2"/>
            <charset val="186"/>
          </rPr>
          <t xml:space="preserve">
S. Daukanto gatvės rekonstrukcija nuo H. Manto iki Naujojo Uosto g.</t>
        </r>
      </text>
    </comment>
    <comment ref="Q233" authorId="0" shapeId="0">
      <text>
        <r>
          <rPr>
            <b/>
            <sz val="9"/>
            <color indexed="81"/>
            <rFont val="Tahoma"/>
            <family val="2"/>
            <charset val="186"/>
          </rPr>
          <t xml:space="preserve">78 500 kv.m </t>
        </r>
        <r>
          <rPr>
            <sz val="9"/>
            <color indexed="81"/>
            <rFont val="Tahoma"/>
            <family val="2"/>
            <charset val="186"/>
          </rPr>
          <t xml:space="preserve">
</t>
        </r>
      </text>
    </comment>
    <comment ref="P248" authorId="0" shapeId="0">
      <text>
        <r>
          <rPr>
            <sz val="9"/>
            <color indexed="81"/>
            <rFont val="Tahoma"/>
            <family val="2"/>
            <charset val="186"/>
          </rPr>
          <t xml:space="preserve">1 530 kv.m 
</t>
        </r>
      </text>
    </comment>
    <comment ref="P249" authorId="0" shapeId="0">
      <text>
        <r>
          <rPr>
            <sz val="9"/>
            <color indexed="81"/>
            <rFont val="Tahoma"/>
            <family val="2"/>
            <charset val="186"/>
          </rPr>
          <t xml:space="preserve">44 875 kv.m
</t>
        </r>
      </text>
    </comment>
    <comment ref="P250" authorId="0" shapeId="0">
      <text>
        <r>
          <rPr>
            <sz val="9"/>
            <color indexed="81"/>
            <rFont val="Tahoma"/>
            <family val="2"/>
            <charset val="186"/>
          </rPr>
          <t xml:space="preserve">13 338 kv.m
</t>
        </r>
      </text>
    </comment>
    <comment ref="N251" authorId="0" shapeId="0">
      <text>
        <r>
          <rPr>
            <sz val="9"/>
            <color indexed="81"/>
            <rFont val="Tahoma"/>
            <family val="2"/>
            <charset val="186"/>
          </rPr>
          <t xml:space="preserve">kasmet susidaro apie 120 kiemų
</t>
        </r>
      </text>
    </comment>
    <comment ref="P251" authorId="0" shapeId="0">
      <text>
        <r>
          <rPr>
            <sz val="9"/>
            <color indexed="81"/>
            <rFont val="Tahoma"/>
            <family val="2"/>
            <charset val="186"/>
          </rPr>
          <t>18 180 kv.m</t>
        </r>
      </text>
    </comment>
    <comment ref="K253" authorId="0" shapeId="0">
      <text>
        <r>
          <rPr>
            <sz val="9"/>
            <color indexed="81"/>
            <rFont val="Tahoma"/>
            <family val="2"/>
            <charset val="186"/>
          </rPr>
          <t xml:space="preserve">43 perkelti tiltams
</t>
        </r>
      </text>
    </comment>
    <comment ref="K254" authorId="0" shapeId="0">
      <text>
        <r>
          <rPr>
            <sz val="9"/>
            <color indexed="81"/>
            <rFont val="Tahoma"/>
            <family val="2"/>
            <charset val="186"/>
          </rPr>
          <t xml:space="preserve">Švieslentėm </t>
        </r>
        <r>
          <rPr>
            <b/>
            <sz val="9"/>
            <color indexed="81"/>
            <rFont val="Tahoma"/>
            <family val="2"/>
            <charset val="186"/>
          </rPr>
          <t>48 tūkst.</t>
        </r>
        <r>
          <rPr>
            <sz val="9"/>
            <color indexed="81"/>
            <rFont val="Tahoma"/>
            <family val="2"/>
            <charset val="186"/>
          </rPr>
          <t xml:space="preserve">
eur, </t>
        </r>
        <r>
          <rPr>
            <b/>
            <sz val="9"/>
            <color indexed="81"/>
            <rFont val="Tahoma"/>
            <family val="2"/>
            <charset val="186"/>
          </rPr>
          <t xml:space="preserve">30 tūkst. eur IED </t>
        </r>
        <r>
          <rPr>
            <sz val="9"/>
            <color indexed="81"/>
            <rFont val="Tahoma"/>
            <family val="2"/>
            <charset val="186"/>
          </rPr>
          <t xml:space="preserve"> įvažai </t>
        </r>
      </text>
    </comment>
    <comment ref="P257" authorId="0" shapeId="0">
      <text>
        <r>
          <rPr>
            <sz val="9"/>
            <color indexed="81"/>
            <rFont val="Tahoma"/>
            <family val="2"/>
            <charset val="186"/>
          </rPr>
          <t xml:space="preserve">5900 kv.m
</t>
        </r>
      </text>
    </comment>
    <comment ref="N258" authorId="0" shapeId="0">
      <text>
        <r>
          <rPr>
            <b/>
            <sz val="9"/>
            <color indexed="81"/>
            <rFont val="Tahoma"/>
            <family val="2"/>
            <charset val="186"/>
          </rPr>
          <t xml:space="preserve">2019 m. </t>
        </r>
        <r>
          <rPr>
            <sz val="9"/>
            <color indexed="81"/>
            <rFont val="Tahoma"/>
            <family val="2"/>
            <charset val="186"/>
          </rPr>
          <t xml:space="preserve">
Senamiesčio gatvės 
Ligoninės g.
Vytauto g.
Gedminų g.
Pievų tako g.
Jurginų g.
Poilsio g.
Medžiotojų g.
Naikupės g.
</t>
        </r>
      </text>
    </comment>
    <comment ref="P258" authorId="0" shapeId="0">
      <text>
        <r>
          <rPr>
            <sz val="9"/>
            <color indexed="81"/>
            <rFont val="Tahoma"/>
            <family val="2"/>
            <charset val="186"/>
          </rPr>
          <t xml:space="preserve">14 380 kv. m
</t>
        </r>
      </text>
    </comment>
    <comment ref="P259" authorId="0" shapeId="0">
      <text>
        <r>
          <rPr>
            <b/>
            <sz val="9"/>
            <color indexed="81"/>
            <rFont val="Tahoma"/>
            <family val="2"/>
            <charset val="186"/>
          </rPr>
          <t>2500 kv.m</t>
        </r>
        <r>
          <rPr>
            <sz val="9"/>
            <color indexed="81"/>
            <rFont val="Tahoma"/>
            <family val="2"/>
            <charset val="186"/>
          </rPr>
          <t xml:space="preserve">
</t>
        </r>
      </text>
    </comment>
    <comment ref="P261" authorId="0" shapeId="0">
      <text>
        <r>
          <rPr>
            <b/>
            <sz val="9"/>
            <color indexed="81"/>
            <rFont val="Tahoma"/>
            <family val="2"/>
            <charset val="186"/>
          </rPr>
          <t>1900 kv.m</t>
        </r>
        <r>
          <rPr>
            <sz val="9"/>
            <color indexed="81"/>
            <rFont val="Tahoma"/>
            <family val="2"/>
            <charset val="186"/>
          </rPr>
          <t xml:space="preserve">
</t>
        </r>
      </text>
    </comment>
    <comment ref="O264" authorId="0" shapeId="0">
      <text>
        <r>
          <rPr>
            <b/>
            <sz val="9"/>
            <color indexed="81"/>
            <rFont val="Tahoma"/>
            <family val="2"/>
            <charset val="186"/>
          </rPr>
          <t>2018 m.</t>
        </r>
        <r>
          <rPr>
            <sz val="9"/>
            <color indexed="81"/>
            <rFont val="Tahoma"/>
            <family val="2"/>
            <charset val="186"/>
          </rPr>
          <t xml:space="preserve"> įstaigos: 8 mokyklos; 11 lopšelių- darželių, Marijos Montesori mokykla
</t>
        </r>
      </text>
    </comment>
    <comment ref="P264" authorId="0" shapeId="0">
      <text>
        <r>
          <rPr>
            <b/>
            <sz val="9"/>
            <color indexed="81"/>
            <rFont val="Tahoma"/>
            <family val="2"/>
            <charset val="186"/>
          </rPr>
          <t>UKD - 7 bendrojo ugdymo mokyklos; 7 lopšeliai darželiai:</t>
        </r>
        <r>
          <rPr>
            <sz val="9"/>
            <color indexed="81"/>
            <rFont val="Tahoma"/>
            <family val="2"/>
            <charset val="186"/>
          </rPr>
          <t xml:space="preserve">
"Saulutė" mokykla-darželis.Saulutės"  mokykla-darželis
L/d "Berželis"
 L/d "Vėrinėlis"
L/d "Atžalynas" 
L/d "Bangelė"
L/d "Pakalnutė"
L/d "Linelis"
Vitės progimnazija 
"Žaliakalnio" gimnazija
"Gabijos" progimnazija
"Versmės"  progimnazija
"Ąžuolyno" gimnazija
"Vyturio" progimnazija
Martyno Mažvydo progimnazija
</t>
        </r>
        <r>
          <rPr>
            <b/>
            <sz val="9"/>
            <color indexed="81"/>
            <rFont val="Tahoma"/>
            <family val="2"/>
            <charset val="186"/>
          </rPr>
          <t>SRD - 1 įstaig:</t>
        </r>
        <r>
          <rPr>
            <sz val="9"/>
            <color indexed="81"/>
            <rFont val="Tahoma"/>
            <family val="2"/>
            <charset val="186"/>
          </rPr>
          <t xml:space="preserve">
1. BĮ Klaipėdos vaikų globos namuose „Smiltelė“ kelio dangos remontas, kv m 23,1 tūkst. Eur;
</t>
        </r>
      </text>
    </comment>
    <comment ref="Q264" authorId="0" shapeId="0">
      <text>
        <r>
          <rPr>
            <b/>
            <sz val="9"/>
            <color indexed="81"/>
            <rFont val="Tahoma"/>
            <family val="2"/>
            <charset val="186"/>
          </rPr>
          <t>12 vnt.:</t>
        </r>
        <r>
          <rPr>
            <sz val="9"/>
            <color indexed="81"/>
            <rFont val="Tahoma"/>
            <family val="2"/>
            <charset val="186"/>
          </rPr>
          <t xml:space="preserve">
Vydūno gimnazija
"Vėtrungės" gimnazija
Maksimo Gorkio progimnazija
Klaipėdos suaugusiųjų gimnazija
"Verdenės"  progimnazija
L/d "Žemuogėlė"
L/d "Inkarėlis"
L/d "Aitvarėlis"
L/d "Radastėlė"
Lopšelis-darželis "Žuvėdra"
Lopšelis-darželis "Šermukšnėlė"
Jeronimo Kačinsko muzikos mokykla
</t>
        </r>
      </text>
    </comment>
    <comment ref="R264" authorId="0" shapeId="0">
      <text>
        <r>
          <rPr>
            <b/>
            <sz val="9"/>
            <color indexed="81"/>
            <rFont val="Tahoma"/>
            <family val="2"/>
            <charset val="186"/>
          </rPr>
          <t>6 vnt.</t>
        </r>
        <r>
          <rPr>
            <sz val="9"/>
            <color indexed="81"/>
            <rFont val="Tahoma"/>
            <family val="2"/>
            <charset val="186"/>
          </rPr>
          <t xml:space="preserve">
Lopšelis-darželis  "Giliukas"
Darželis "Gintarėlis"
Lopšelis-darželis "Eglutė"
"Varpo" gimnazija
"Verdenės"  progimnazija
Vytauto Didžiojo gimnazija
</t>
        </r>
      </text>
    </comment>
    <comment ref="K267" authorId="0" shapeId="0">
      <text>
        <r>
          <rPr>
            <sz val="9"/>
            <color indexed="81"/>
            <rFont val="Tahoma"/>
            <family val="2"/>
            <charset val="186"/>
          </rPr>
          <t>Biržos tilto kontrasvorių remontui papildomai padidinta 43 tūkst. eur</t>
        </r>
      </text>
    </comment>
    <comment ref="J268" authorId="0" shapeId="0">
      <text>
        <r>
          <rPr>
            <sz val="9"/>
            <color indexed="81"/>
            <rFont val="Tahoma"/>
            <family val="2"/>
            <charset val="186"/>
          </rPr>
          <t>2017-11-29 buvo nustatyta, kad yra nukritusi viena stambiagabaritė Biržos tilto gelžbetoninė konstrukcija– kontrasvoris (vienas iš esamų šešių), išlyginanti atidaromos perdangos pusiausvyrą. Tai viena iš pagrindinių tilto konstrukcijų. Kad atlikti remonto darbus, reikalinga atlikti ekspertizės paslaugas, todėl yra pradėtos viešojo pirkimo procedūros šiai paslaugai pirkti. Dėl šios priežasties prašome  Susisiekimo sistemos priežiūros ir plėtros programos Nr. 6  priemonės 06.01.04.01.05. „Tiltų ir kelio statinių priežiūra“ dalį 2017 metais nepanaudotų savivaldybės biudžeto lėšų sumą (6.000,00 Eur) perkelti į 2018 metus.</t>
        </r>
      </text>
    </comment>
    <comment ref="E271" authorId="0" shapeId="0">
      <text>
        <r>
          <rPr>
            <sz val="9"/>
            <color indexed="81"/>
            <rFont val="Tahoma"/>
            <family val="2"/>
            <charset val="186"/>
          </rPr>
          <t>parkavimo vietų subraižymas, žaliųjų vejų ir skverų sutvarkymas</t>
        </r>
      </text>
    </comment>
    <comment ref="P271" authorId="0" shapeId="0">
      <text>
        <r>
          <rPr>
            <b/>
            <sz val="9"/>
            <color indexed="81"/>
            <rFont val="Tahoma"/>
            <family val="2"/>
            <charset val="186"/>
          </rPr>
          <t>Techninis projektas</t>
        </r>
        <r>
          <rPr>
            <sz val="9"/>
            <color indexed="81"/>
            <rFont val="Tahoma"/>
            <family val="2"/>
            <charset val="186"/>
          </rPr>
          <t xml:space="preserve">
Įvažiavimo kelio ir šalia esančio skvero į Taikos pr. 109 ;</t>
        </r>
      </text>
    </comment>
    <comment ref="Q271" authorId="0" shapeId="0">
      <text>
        <r>
          <rPr>
            <b/>
            <sz val="9"/>
            <color indexed="81"/>
            <rFont val="Tahoma"/>
            <family val="2"/>
            <charset val="186"/>
          </rPr>
          <t>Techniniai projektai:</t>
        </r>
        <r>
          <rPr>
            <sz val="9"/>
            <color indexed="81"/>
            <rFont val="Tahoma"/>
            <family val="2"/>
            <charset val="186"/>
          </rPr>
          <t xml:space="preserve">
</t>
        </r>
        <r>
          <rPr>
            <b/>
            <sz val="9"/>
            <color indexed="81"/>
            <rFont val="Tahoma"/>
            <family val="2"/>
            <charset val="186"/>
          </rPr>
          <t>1</t>
        </r>
        <r>
          <rPr>
            <sz val="9"/>
            <color indexed="81"/>
            <rFont val="Tahoma"/>
            <family val="2"/>
            <charset val="186"/>
          </rPr>
          <t xml:space="preserve">. Įvažiavimo kelio į Taikos pr. 101; </t>
        </r>
        <r>
          <rPr>
            <b/>
            <sz val="9"/>
            <color indexed="81"/>
            <rFont val="Tahoma"/>
            <family val="2"/>
            <charset val="186"/>
          </rPr>
          <t>2</t>
        </r>
        <r>
          <rPr>
            <sz val="9"/>
            <color indexed="81"/>
            <rFont val="Tahoma"/>
            <family val="2"/>
            <charset val="186"/>
          </rPr>
          <t xml:space="preserve">. Įvažiavimo kelio  į Debreceno g. 61. </t>
        </r>
      </text>
    </comment>
    <comment ref="J289" authorId="0" shapeId="0">
      <text>
        <r>
          <rPr>
            <b/>
            <sz val="9"/>
            <color indexed="81"/>
            <rFont val="Tahoma"/>
            <family val="2"/>
            <charset val="186"/>
          </rPr>
          <t xml:space="preserve">18063,2
</t>
        </r>
        <r>
          <rPr>
            <sz val="9"/>
            <color indexed="81"/>
            <rFont val="Tahoma"/>
            <family val="2"/>
            <charset val="186"/>
          </rPr>
          <t xml:space="preserve">
</t>
        </r>
      </text>
    </comment>
    <comment ref="J295" authorId="0" shapeId="0">
      <text>
        <r>
          <rPr>
            <b/>
            <sz val="9"/>
            <color indexed="81"/>
            <rFont val="Tahoma"/>
            <family val="2"/>
            <charset val="186"/>
          </rPr>
          <t xml:space="preserve">3991,4+7,7 papildomas KPPP reservas
</t>
        </r>
      </text>
    </comment>
  </commentList>
</comments>
</file>

<file path=xl/sharedStrings.xml><?xml version="1.0" encoding="utf-8"?>
<sst xmlns="http://schemas.openxmlformats.org/spreadsheetml/2006/main" count="2464" uniqueCount="498">
  <si>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</si>
  <si>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</si>
  <si>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</si>
  <si>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</si>
  <si>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</si>
  <si>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</si>
  <si>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</si>
  <si>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</si>
  <si>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</si>
  <si>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</si>
  <si>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</si>
  <si>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</si>
  <si>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</si>
  <si>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</si>
  <si>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</si>
  <si>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</si>
  <si>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</si>
  <si>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</si>
  <si>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</si>
  <si>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</si>
  <si>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</si>
  <si>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</si>
  <si>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</si>
  <si>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</si>
  <si>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</si>
  <si>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</si>
  <si>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</si>
  <si>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</si>
  <si>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</si>
  <si>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</si>
  <si>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</si>
  <si>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</si>
  <si>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</si>
  <si>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</si>
  <si>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</si>
  <si>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06</t>
  </si>
  <si>
    <t>07</t>
  </si>
  <si>
    <t>6</t>
  </si>
  <si>
    <t>Eksploatuojama šviesoforų, vnt.</t>
  </si>
  <si>
    <t>Tiltų ir kelio statinių priežiūra</t>
  </si>
  <si>
    <t>Suremontuota asfaltbetonio dangos duobių gatvėse, ha</t>
  </si>
  <si>
    <t>Parduota lengvatinių bilietų, mln. vnt.</t>
  </si>
  <si>
    <t>Viešojo transporto priežiūros ir paslaugų kokybės kontroliavimas</t>
  </si>
  <si>
    <t>5</t>
  </si>
  <si>
    <t>ES</t>
  </si>
  <si>
    <t>Kt</t>
  </si>
  <si>
    <t>Parengtas techninis projektas, vnt.</t>
  </si>
  <si>
    <t>I</t>
  </si>
  <si>
    <t>KVJUD</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</si>
  <si>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</si>
  <si>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</si>
  <si>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</si>
  <si>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</si>
  <si>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</si>
  <si>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</si>
  <si>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Prižiūrima tiltų ir viadukų, vnt.</t>
  </si>
  <si>
    <t>1</t>
  </si>
  <si>
    <t>Viešojo transporto paslaugų organizavimas:</t>
  </si>
  <si>
    <t xml:space="preserve">Iš viso  programai:  </t>
  </si>
  <si>
    <t>Pajūrio g. rekonstravimas</t>
  </si>
  <si>
    <t>Taikos pr. nuo Sausios 15-osios g. iki Kauno g. rekonstravimas</t>
  </si>
  <si>
    <t>Pamario gatvės rekonstravimas</t>
  </si>
  <si>
    <t>SB(L)</t>
  </si>
  <si>
    <t>Strateginis tikslas 02. Kurti mieste patrauklią, švarią ir saugią gyvenamąją aplinką</t>
  </si>
  <si>
    <t>Vykdytojas (skyrius / asmuo)</t>
  </si>
  <si>
    <t>Viešosios tvarkos skyrius</t>
  </si>
  <si>
    <t>Miesto gatvių ženklinimas</t>
  </si>
  <si>
    <t>Prižiūrima žvyruotos dangos, ha</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</si>
  <si>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</si>
  <si>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</si>
  <si>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</si>
  <si>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</si>
  <si>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</si>
  <si>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</si>
  <si>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Bendri KVJUD ir miesto projektai:</t>
  </si>
  <si>
    <t>MŪD Transporto skyrius</t>
  </si>
  <si>
    <t>MŪD Miesto tvarkymo skyrius</t>
  </si>
  <si>
    <t>SB(VRL)</t>
  </si>
  <si>
    <t>P2.1.2.9</t>
  </si>
  <si>
    <t>P9</t>
  </si>
  <si>
    <t>Topografinių nuotraukų, išpildomųjų geodezinių nuotraukų įsigijimas, statinių projektų ekspertizių bei kitos inžinerinės paslaugos</t>
  </si>
  <si>
    <t xml:space="preserve"> - vežėjams už lengvatas turinčių keleivių vežimą</t>
  </si>
  <si>
    <t xml:space="preserve"> - moksleiviams</t>
  </si>
  <si>
    <t xml:space="preserve"> - profesinių mokyklų moksleiviams</t>
  </si>
  <si>
    <t>Įrengta ir pakeista informacinių ženklų, tūkst. vnt.</t>
  </si>
  <si>
    <t>Suženklinta gatvių, ha</t>
  </si>
  <si>
    <t>Eksploatuojama greičio matuoklių, vnt.</t>
  </si>
  <si>
    <t>Parengtas paviljono su aikštele techninis projektas, vnt.</t>
  </si>
  <si>
    <t>Medžiagų tyrimas ir kontroliniai bandymai</t>
  </si>
  <si>
    <t>2.1.2.14</t>
  </si>
  <si>
    <t>2.1.2.11</t>
  </si>
  <si>
    <t>2.1.2.15</t>
  </si>
  <si>
    <t>2.1.2.13</t>
  </si>
  <si>
    <t>2.1.2.2</t>
  </si>
  <si>
    <t>2.1.2.12</t>
  </si>
  <si>
    <t>P2.1.2.10</t>
  </si>
  <si>
    <t xml:space="preserve">Savivaldybės biudžetas, iš jo: </t>
  </si>
  <si>
    <t xml:space="preserve">Parengtas techninis projektas, vnt. </t>
  </si>
  <si>
    <t>Planas</t>
  </si>
  <si>
    <t>Rytų ir vakarų krypties gatvių tinklo modernizavimas:</t>
  </si>
  <si>
    <t>Šiaurės ir pietų transporto koridorių gatvių tinklo modernizavimas:</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</si>
  <si>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</si>
  <si>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</si>
  <si>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r>
      <t xml:space="preserve">Kelių priežiūros ir plėtros programos lėšos </t>
    </r>
    <r>
      <rPr>
        <b/>
        <sz val="10"/>
        <rFont val="Times New Roman"/>
        <family val="1"/>
        <charset val="186"/>
      </rPr>
      <t>SB(KPP)</t>
    </r>
  </si>
  <si>
    <t>SB(ŽPL)</t>
  </si>
  <si>
    <t>SB(KPP)</t>
  </si>
  <si>
    <t>2018-ieji metai</t>
  </si>
  <si>
    <t>MŪD Miesto tvarkymo sk.</t>
  </si>
  <si>
    <t xml:space="preserve">Ištisinio asfaltbetonio dangos remontas: </t>
  </si>
  <si>
    <t>Kiemų ir privažiuojamųjų kelių  prie biudžetinių įstaigų dangos remontas</t>
  </si>
  <si>
    <t>Asfaltbetonio dangos, žvyruotos dangos ir akmenimis grįstų miesto gatvių dangos remontas</t>
  </si>
  <si>
    <t>Ištisinio asfaltbetonio dangos įrengimas miesto gatvėse ir kiemuose:</t>
  </si>
  <si>
    <t>Eismo reguliavimo infrastruktūros eksploatacija ir įrengimas</t>
  </si>
  <si>
    <t>Mokamo automobilių stovėjimo sistemos mieste kūrimas ir išlaikymas</t>
  </si>
  <si>
    <t>Eismo srautų reguliavimo ir saugumo priemonių įgyvendinimas:</t>
  </si>
  <si>
    <t>100</t>
  </si>
  <si>
    <t>2.1.2.8</t>
  </si>
  <si>
    <t>tūkst. Eur</t>
  </si>
  <si>
    <t xml:space="preserve">Diegti eismo srautų reguliavimo ir saugumo priemones </t>
  </si>
  <si>
    <t xml:space="preserve">Eksploatuojama eismo reguliavimo priemonių, tūkst. vnt. </t>
  </si>
  <si>
    <t>P2.1.2.3</t>
  </si>
  <si>
    <t xml:space="preserve">Susisiekimo sistemos objektų pritaikymas neįgaliesiems  </t>
  </si>
  <si>
    <t>Neeksploatuojamų požeminių perėjų Šilutės pl. rekonstravimas</t>
  </si>
  <si>
    <t xml:space="preserve">IED Statybos ir infrastruk. plėtros sk. </t>
  </si>
  <si>
    <t>IED Statybos ir infrastruktūros plėtros sk.</t>
  </si>
  <si>
    <t>MŪD Transporto sk.</t>
  </si>
  <si>
    <t>Aiškinamojo rašto priedas Nr.3</t>
  </si>
  <si>
    <t>2019-ųjų metų lėšų projektas</t>
  </si>
  <si>
    <t>2019-ieji metai</t>
  </si>
  <si>
    <t>Atlikta gatvės (571 m) tiesimo darbų (II etapas). Užbaigtumas, proc.</t>
  </si>
  <si>
    <t>Klaipėdos miesto viešojo transporto atnaujinimas (autobusų įsigijimas)</t>
  </si>
  <si>
    <t>Klaipėdos miesto viešojo transporto švieslenčių ir informacinių švieslenčių įrengimas ir atnaujinimas</t>
  </si>
  <si>
    <t xml:space="preserve">Įrengta švieslenčių miesto autobusų stotelėse, vnt.  </t>
  </si>
  <si>
    <t>Suorganizuota renginių, vnt.</t>
  </si>
  <si>
    <t>P2.1.2.5</t>
  </si>
  <si>
    <t>Parengtas projektinis pasiūlymas, vnt.</t>
  </si>
  <si>
    <r>
      <rPr>
        <b/>
        <sz val="10"/>
        <rFont val="Times New Roman"/>
        <family val="1"/>
        <charset val="186"/>
      </rPr>
      <t>II etapas.</t>
    </r>
    <r>
      <rPr>
        <sz val="10"/>
        <rFont val="Times New Roman"/>
        <family val="1"/>
        <charset val="186"/>
      </rPr>
      <t xml:space="preserve"> Žiedinės Tilžės g., Mokyklos g. ir Šilutės pl. sankryžos pertvarkymas į šviesoforinę </t>
    </r>
  </si>
  <si>
    <t>IED  Statybos ir infrastruktūros plėtros skyrius</t>
  </si>
  <si>
    <t>Kombinuotų kelionių jungčių (PARK&amp;RIDE) įrengimas (šiaurinėje miesto dalyje)</t>
  </si>
  <si>
    <t>120</t>
  </si>
  <si>
    <t>85</t>
  </si>
  <si>
    <t>Įdiegta transporto valdymo sistema. Užbaigtumas, proc.</t>
  </si>
  <si>
    <t>50</t>
  </si>
  <si>
    <r>
      <rPr>
        <b/>
        <sz val="10"/>
        <rFont val="Times New Roman"/>
        <family val="1"/>
        <charset val="186"/>
      </rPr>
      <t>Naujo tilto</t>
    </r>
    <r>
      <rPr>
        <sz val="10"/>
        <rFont val="Times New Roman"/>
        <family val="1"/>
        <charset val="186"/>
      </rPr>
      <t xml:space="preserve"> su pakeliamu mechanizmu per Danę statyba ir prieigų sutvarkymas</t>
    </r>
  </si>
  <si>
    <t>Viešojo transporto (autobusų ir maršrutinių taksi) integravimo sistemos įrangos įsigijimas ir atnaujinimas</t>
  </si>
  <si>
    <t>Baltijos pr. ir Šilutės pl. žiedinės sankryžos rekonstravimas</t>
  </si>
  <si>
    <t>- nuostolių, patirtų vežant keleivius vietinio reguliaraus susisiekimo autobusų maršrutais renginių metu, kompensavimas</t>
  </si>
  <si>
    <t>Statybininkų prospekto tęsinio tiesimas nuo Šilutės pl. per LEZ teritoriją iki 141 kelio: II etapas – Lypkių gatvės ruožo nuo Šilutės plento tiesimas</t>
  </si>
  <si>
    <t>Tilžės g. nuo Šilutės pl. iki geležinkelio pervažos rekonstravimas, pertvarkant žiedinę Mokyklos g. ir Šilutės pl. sankryžą:</t>
  </si>
  <si>
    <t>Nuostolingų maršrutų subsidijavimas priemiesčio maršrutus aptarnaujantiems vežėjams</t>
  </si>
  <si>
    <t xml:space="preserve">Atlikta Šiaurinio rago teritorijoje esančios aikštelės įrengimo darbų (70 stovėjimo vietų). Užbaigtumas, proc. </t>
  </si>
  <si>
    <t>Apšviesta pėsčiųjų perėjų, vnt</t>
  </si>
  <si>
    <t xml:space="preserve">Privažiuojamojo kelio prie pastato Debreceno g. 48  įrengimas ir pastato aplinkos sutvarkymas </t>
  </si>
  <si>
    <t>Suteikta gatvių dangų, konstruktyvo ir betoninių gaminių kontrolinių bandymų paslaugų. Užbaigtumas, proc.</t>
  </si>
  <si>
    <t>Įrengta dekoratyvinių kelio ženklų, vnt.</t>
  </si>
  <si>
    <t>Eksploatuojama bilietų automatų, vnt.</t>
  </si>
  <si>
    <t>Parengta ir patvirtinta paraiška, vnt.</t>
  </si>
  <si>
    <t>Atlikta kelio įrengimo, aplinkos sutvarkymo darbų. Užbaigtumas, proc.</t>
  </si>
  <si>
    <t>Įrengtas naujas žvejų laivams skirtas slipas (aikštelė, skirta valtims nuleisti ir ištraukti iš vandens). Užbaigtumas, proc.</t>
  </si>
  <si>
    <t xml:space="preserve">Parengtas naujo tilto su pakeliamu mechanizmu statybos techninis projektas, vnt. </t>
  </si>
  <si>
    <t>Kompensuota bilietų moksleiviams, tūkst. vnt.</t>
  </si>
  <si>
    <t>Kompensuota bilietų profesinių mokyklų moksleiviams, tūkst. vnt.</t>
  </si>
  <si>
    <t>Parengtas techninis projektas ir detaliojo plano korekcija, vnt.</t>
  </si>
  <si>
    <t xml:space="preserve">Parengtas rekonstravimo techninis projektas (ruožas nuo Atgimimo aikštės iki Laivų skersgatvio), vnt. </t>
  </si>
  <si>
    <t>Parengtas rekonstravimo techninis projektas (ruožas nuo Laivų skersgatvio iki Artojų g.), vnt.</t>
  </si>
  <si>
    <t xml:space="preserve">Atlikta rekonstravimo darbų. Užbaigtumas, proc. </t>
  </si>
  <si>
    <t>Parengtas rekonstravimo techninis projektas, vnt.</t>
  </si>
  <si>
    <t>Atlikta rekonstravimo darbų. Užbaigtumas, proc.</t>
  </si>
  <si>
    <t>Atlikta gatvės (1374 m ) rekonstravimo darbų. Užbaigtumas, proc.</t>
  </si>
  <si>
    <t>Atlikta dviejų požeminių perėjų  rekonstravimo darbų. Užbaigtumas, proc.</t>
  </si>
  <si>
    <t>Įstaigų, kurių kiemuose atlikta asfalto dangos remonto darbų, skaičius</t>
  </si>
  <si>
    <t>Kūlių Vartų g. ir Bangų g., Tiltų g., Galinio Pylimo g., Taikos pr. sankryžos rekonstravimas</t>
  </si>
  <si>
    <r>
      <rPr>
        <b/>
        <sz val="10"/>
        <rFont val="Times New Roman"/>
        <family val="1"/>
        <charset val="186"/>
      </rPr>
      <t xml:space="preserve">I etapas. </t>
    </r>
    <r>
      <rPr>
        <sz val="10"/>
        <rFont val="Times New Roman"/>
        <family val="1"/>
        <charset val="186"/>
      </rPr>
      <t>Tilžės g. nuo Šilutės pl. iki geležinkelio pervažos rekonstravimas</t>
    </r>
  </si>
  <si>
    <t xml:space="preserve">Klaipėdos miesto gatvių pėsčiųjų perėjų kryptinis apšvietimas </t>
  </si>
  <si>
    <t>Parengtas II etapo techninis projektas (Klaipėdos g., Virkučių g., Slengių g., Lietaus g., Vaivorykštės g., Griaustinio g. ir Arimų g.), vnt.</t>
  </si>
  <si>
    <t>Maršruto „Klaipėdos autobusų stotis–Palangos oro uostas“ kursavimas</t>
  </si>
  <si>
    <t>Kompensuota nuostolingų maršrutų, vnt.</t>
  </si>
  <si>
    <r>
      <t xml:space="preserve">Europos Sąjungos paramos lėšos, kurios įtrauktos į Savivaldybės biudžetą </t>
    </r>
    <r>
      <rPr>
        <b/>
        <sz val="10"/>
        <rFont val="Times New Roman"/>
        <family val="1"/>
        <charset val="186"/>
      </rPr>
      <t>SB(ES)</t>
    </r>
  </si>
  <si>
    <t xml:space="preserve">Tomo ir Pylimo gatvių rekonstravimas </t>
  </si>
  <si>
    <t>Įrengta pėsčiųjų ir dviračių takų palei Liepojos g. nuo Dragūnų kvartalo iki Savanorių g. Užbaigtumas, proc.</t>
  </si>
  <si>
    <t>Elektromobilių įkrovimo stotelių įrengimas  Klaipėdos mieste</t>
  </si>
  <si>
    <t xml:space="preserve">Nuostolių kompensacijų mokėjimas: </t>
  </si>
  <si>
    <r>
      <t xml:space="preserve">patirtų vykdant keleivinio kelių transporto viešųjų paslaugų </t>
    </r>
    <r>
      <rPr>
        <sz val="10"/>
        <rFont val="Times New Roman"/>
        <family val="1"/>
        <charset val="186"/>
      </rPr>
      <t>vežant keleivius vietinio (miesto) reguliaraus susisiekimo autobusų maršrutais</t>
    </r>
  </si>
  <si>
    <t>patirtų įgyvendinant ES Sanglaudos fondų finansuojamus ekologiškų viešojo transporto  priemonių įsigijimo projektus</t>
  </si>
  <si>
    <t>Suremontuota gatvių akmens grindinio dangos pagal poreikį senamiesčio gatvėse, ha</t>
  </si>
  <si>
    <t>Parengta galimybių studija, vnt.</t>
  </si>
  <si>
    <t>2020-ųjų metų lėšų projektas</t>
  </si>
  <si>
    <t>2020-ieji metai</t>
  </si>
  <si>
    <t>Atlikta gatvės tiesimo darbų. Užbaigtumas, proc.</t>
  </si>
  <si>
    <t>2.1.2.2.</t>
  </si>
  <si>
    <t>IED Projektų skyrius</t>
  </si>
  <si>
    <r>
      <t xml:space="preserve">Programų lėšų likučių lėšos </t>
    </r>
    <r>
      <rPr>
        <b/>
        <sz val="10"/>
        <rFont val="Times New Roman"/>
        <family val="1"/>
        <charset val="186"/>
      </rPr>
      <t xml:space="preserve">SB(L) </t>
    </r>
  </si>
  <si>
    <t xml:space="preserve"> Atlikti kasmetinius miesto susisiekimo infrastruktūros objektų priežiūros ir įrengimo darbus</t>
  </si>
  <si>
    <t>Naujų ekologiškų viešojo transporto ir  alternatyvaus judėjimo projektų įgyvendinimas:</t>
  </si>
  <si>
    <t>2018 m.</t>
  </si>
  <si>
    <t>Vingio g. nuo Smiltelės g. ir Jūrininkų pr. (darbai);</t>
  </si>
  <si>
    <t>Šturmanų g.;</t>
  </si>
  <si>
    <t>Sausio 15-osios g. - nuo Taikos pr. iki Tilžės g. (tikslinės teritorijos ribose);</t>
  </si>
  <si>
    <t xml:space="preserve">Taikos pr.  - nuo Sausio 15-osios g. iki Kauno g. (tikslinės teritorijos ribose); </t>
  </si>
  <si>
    <t>Šermukšnių g.;</t>
  </si>
  <si>
    <t>2019 m.</t>
  </si>
  <si>
    <t>2020 m.</t>
  </si>
  <si>
    <t>Joniškės g.- nuo Klaipėdos baldų iki Bangų g.;</t>
  </si>
  <si>
    <t>Gedminų g. (su šaligatviais);</t>
  </si>
  <si>
    <t>Baltijos pr. nuo Taikos pr. iki Šilutės pl. viena pusė;</t>
  </si>
  <si>
    <t>Statybininkų pr. - Nuo Taikos pr. iki Minijos g. ir žiedas (Taikos pr.);</t>
  </si>
  <si>
    <t>S. Šimkaus g.;</t>
  </si>
  <si>
    <t>I. Simonaitytės g.;</t>
  </si>
  <si>
    <t>J. Zauerveino g.;</t>
  </si>
  <si>
    <t>Paryžiaus Komunos g.;</t>
  </si>
  <si>
    <t>Jurginų g.;</t>
  </si>
  <si>
    <t>Malūnininkų g.;</t>
  </si>
  <si>
    <t>Pėsčiųjų ir dviračių takų, šaligatvių (su dviračių takais) bei privažiuojamųjų kelių remonto bei įrengimo darbai</t>
  </si>
  <si>
    <t>Integruotų autobusų ir maršrutinių taksi, vnt.</t>
  </si>
  <si>
    <t>Subsidijuojamų maršrutų skaičius:</t>
  </si>
  <si>
    <t>2</t>
  </si>
  <si>
    <t>Atlikta gatvės rekonstravimo darbų. Užbaigtumas, proc.</t>
  </si>
  <si>
    <t>Atliktas gatvių – Akmenų g. (405 m), Vėjo g. (1373 m), Smėlio g. (960 m) ir Debesų g. (890 m) rekonstravimas. Užbaigtumas, proc.</t>
  </si>
  <si>
    <t>Atliktas gatvių –  Klaipėdos g. (500 m) ir Virkučių g. (1004 m) rekonstravimas. Užbaigtumas, proc.</t>
  </si>
  <si>
    <t>Atliktas gatvių – Slengių g., Lietaus g., Vaivorykštės g., Griaustinio g. ,Arimų g., Vėjo g. (II dalies), Žvaigždžių g. rekonstravimas. Užbaigtumas, proc.</t>
  </si>
  <si>
    <t>Atlikta gatvės (600 m) rekonstravimo darbų.
Užbaigtumas, proc.</t>
  </si>
  <si>
    <t>Atlikta žiedinės sankryžos rekonstravimo darbų. Užbaigtumas, proc.</t>
  </si>
  <si>
    <t>Atlikta Pamario g. (4400 m) rekonstravimo darbų (II-IV etapai). Užbaigtumas, proc.</t>
  </si>
  <si>
    <t>Atlikta prospekto atkarpos rekonstravimo darbų.  Užbaigtumas, proc.</t>
  </si>
  <si>
    <t>10</t>
  </si>
  <si>
    <t>08</t>
  </si>
  <si>
    <t>Kelio Klaipėda-Kretinga Nr. 168 (Medelyno g.) rekonstravimas</t>
  </si>
  <si>
    <t>Elektra varomo viešojo transporto naujų galimybių plėtra (DEPO), ELENA</t>
  </si>
  <si>
    <t>Parengtas tramvajaus ir elektrinių autobusų pirkimo strategijos dokumentų paketas, vnt.</t>
  </si>
  <si>
    <t>Įrengta elektromobilių įkrovimo prieigų, vnt.</t>
  </si>
  <si>
    <t>MŪD  Transporto sk.</t>
  </si>
  <si>
    <t>Įdiegta dviračių saugojimo (angl. bike-storing) sistema, vnt.</t>
  </si>
  <si>
    <t>Eismo juostos, skirtos iš P. Lideikio g. pasukimui į Herkaus Manto gatvę, įrengimas</t>
  </si>
  <si>
    <t>Lengvųjų automobilių taksi  ženklinimo  sprendinių projekto parengimas</t>
  </si>
  <si>
    <t>Parengtas ženklinimo sprendinių projektas, vnt.</t>
  </si>
  <si>
    <t>Transporto skyrius</t>
  </si>
  <si>
    <t>Įrengta elektros įvadų švieslenčių įrengimui, vnt.</t>
  </si>
  <si>
    <t>Tauralaukio gyvenvietės gatvių rekonstravimas</t>
  </si>
  <si>
    <t xml:space="preserve">Jūrininkų prospekto atkarpos nuo Šilutės pl. iki Minijos g. rekonstrukcija </t>
  </si>
  <si>
    <r>
      <t>Danės g. rekonstravimas (siekiant racionaliai suplanuoti jungtis su Bastionų g., nauju tiltu per Danės upę ir Artojų g.)</t>
    </r>
    <r>
      <rPr>
        <sz val="10"/>
        <color rgb="FFFF0000"/>
        <rFont val="Times New Roman"/>
        <family val="1"/>
        <charset val="186"/>
      </rPr>
      <t xml:space="preserve"> </t>
    </r>
  </si>
  <si>
    <t xml:space="preserve">Naujo įvažiuojamojo kelio (Priešpilio g.) į piliavietę ir Kruizinių laivų terminalą tiesimas </t>
  </si>
  <si>
    <t xml:space="preserve">Puodžių gatvės rekonstravimas  </t>
  </si>
  <si>
    <t xml:space="preserve">Dubliuojančios gatvės nuo Šiltnamių g. iki Klaipėdos g. su pėsčiųjų ir dviračių taku ir įvažomis į Liepojos g. įrengimas                          </t>
  </si>
  <si>
    <t xml:space="preserve">Savanorių g. rekonstravimas </t>
  </si>
  <si>
    <t>Privažiavimo vietos (slipo) prie jūros kranto įrengimas</t>
  </si>
  <si>
    <t xml:space="preserve">Joniškės g. rekonstravimas (II etapas – nuo Klemiškės g. iki Liepų g., Šienpjovių g.) </t>
  </si>
  <si>
    <t xml:space="preserve">Automobilių stovėjimo aikštelės teritorijoje Pilies g. 2A, Klaipėdoje, įrengimas </t>
  </si>
  <si>
    <t>Automatinės eismo priežiūros prietaisų įsigijimas ir nuoma</t>
  </si>
  <si>
    <r>
      <t>Uostamiesčiai: darnaus judumo principų integravimas (PORT Cities: Integrating Sustainability, PORTIS)</t>
    </r>
    <r>
      <rPr>
        <sz val="10"/>
        <color rgb="FFFF0000"/>
        <rFont val="Times New Roman"/>
        <family val="1"/>
        <charset val="186"/>
      </rPr>
      <t xml:space="preserve"> </t>
    </r>
  </si>
  <si>
    <t>Automobilių stovėjimo aikštelės teritorijoje  Bangų g., Klaipėdoje, įrengimas</t>
  </si>
  <si>
    <t xml:space="preserve">Sodų bendrija „Vaiteliai“–„Rasa“ kursavimas </t>
  </si>
  <si>
    <t xml:space="preserve">Atlikta gatvės rekonstravimo darbų. Užbaigtumas, proc.
</t>
  </si>
  <si>
    <t>Švyturio gatvės rekonstravimas (I etapas – nuo Naujosios Uosto g. iki Malūnininkų g.)</t>
  </si>
  <si>
    <t>Įrengta informacinių kelių ženklų, vnt.</t>
  </si>
  <si>
    <t>Parengtas techninis projektas (įtraukti pastato griovimo ir aikštelės įrengimo darbai), vnt.</t>
  </si>
  <si>
    <t>Atlikta eismo audito tyrimų, vnt.</t>
  </si>
  <si>
    <t>Parengiamieji darbai įgyvendinat gatvių rekonstrukcijos projektus:</t>
  </si>
  <si>
    <t>Ekologiškų viešojo transporto priemonių, kuriomis važiuojant patiriami nuostoliai, vnt.</t>
  </si>
  <si>
    <t>Parengtas  (I etapo) techninis projektas, vnt.</t>
  </si>
  <si>
    <t>Parengtas (II etapo) techninis projektas, vnt.</t>
  </si>
  <si>
    <t>Įrengta (I etapo) stotelių su įvažomis (Vasaros estrados (pietų ir šiaurės kryptys), Rumpiškės, Kooperacijos, Juodkrantės,  Naikupės, Šilutės, Minijos, Aula Magna, Minijos stotelės), vnt.</t>
  </si>
  <si>
    <t xml:space="preserve">Keleivinio transporto stotelių su įvažomis Klaipėdos miesto gatvėse projektavimas ir įrengimas </t>
  </si>
  <si>
    <t>Parengtas (II etapo) techninis projektas ir įrengta stotelių su įvažomis, vnt.</t>
  </si>
  <si>
    <t>Įsigyta naujų ekologiškų autobusų, vnt.</t>
  </si>
  <si>
    <t>Atlikta teritorijos buitinių nuotekų remonto darbų. Užbaigtumas, proc.</t>
  </si>
  <si>
    <t>Klaipėdos miestui priklausančių elektromobilių įkrovimo stotelių eksploatavimas ir priežiūra</t>
  </si>
  <si>
    <t>Senamiesčio grindinio atnaujinimas ir universalaus dizaino pritaikymas</t>
  </si>
  <si>
    <t>Atlikta atnaujinimo darbų. Užbaigtumas, proc.</t>
  </si>
  <si>
    <t xml:space="preserve">Parengtas investicijų projektas ir projektinis pasiūlymas, vnt. </t>
  </si>
  <si>
    <t>Įrengta neregių vedimo dangos autobusų stotelėse, vnt</t>
  </si>
  <si>
    <t xml:space="preserve">2018–2020 M. KLAIPĖDOS MIESTO SAVIVALDYBĖS </t>
  </si>
  <si>
    <t>Eismo juostos, skirtos iš Prano Lideikio g. pasukti į Herkaus Manto gatvę, įrengimas</t>
  </si>
  <si>
    <t>Kelio Klaipėda–Kretinga Nr. 168 (Medelyno g.) rekonstravimas</t>
  </si>
  <si>
    <t>Šilutės plento ruožo nuo Tilžės g. iki geležinkelio pervažos (iki Kauno g.) rekonstrukcija</t>
  </si>
  <si>
    <t>Atlikta Šilutės plento ruožo rekonstravimo darbų. Užbaigtumas, proc.</t>
  </si>
  <si>
    <t>Atlikta Pamario g. (4400 m) rekonstravimo darbų (II–IV etapai). Užbaigtumas, proc.</t>
  </si>
  <si>
    <t>Atlikta Savanorių g. (800) rekonstravimo darbų. Užbaigtumas, proc.</t>
  </si>
  <si>
    <t xml:space="preserve">Įrengtas įvažos pratęsimas, esantis Naujojo turgaus autobusų stotelėje (kryptis į pietinę miesto dalį), vnt. </t>
  </si>
  <si>
    <r>
      <t xml:space="preserve">Įdiegta dviračių saugojimo (angl. </t>
    </r>
    <r>
      <rPr>
        <i/>
        <sz val="10"/>
        <rFont val="Times New Roman"/>
        <family val="1"/>
        <charset val="186"/>
      </rPr>
      <t>bike-storing</t>
    </r>
    <r>
      <rPr>
        <sz val="10"/>
        <rFont val="Times New Roman"/>
        <family val="1"/>
        <charset val="186"/>
      </rPr>
      <t>) sistema, vnt.</t>
    </r>
  </si>
  <si>
    <r>
      <t>Uostamiesčiai: darnaus judumo principų integravimas (</t>
    </r>
    <r>
      <rPr>
        <i/>
        <sz val="10"/>
        <rFont val="Times New Roman"/>
        <family val="1"/>
        <charset val="186"/>
      </rPr>
      <t>PORT Cities: Integrating Sustainability</t>
    </r>
    <r>
      <rPr>
        <sz val="10"/>
        <rFont val="Times New Roman"/>
        <family val="1"/>
        <charset val="186"/>
      </rPr>
      <t>, PORTIS)</t>
    </r>
    <r>
      <rPr>
        <sz val="10"/>
        <color rgb="FFFF0000"/>
        <rFont val="Times New Roman"/>
        <family val="1"/>
        <charset val="186"/>
      </rPr>
      <t xml:space="preserve"> </t>
    </r>
  </si>
  <si>
    <r>
      <t>Kombinuotų kelionių jungčių (</t>
    </r>
    <r>
      <rPr>
        <i/>
        <sz val="10"/>
        <rFont val="Times New Roman"/>
        <family val="1"/>
        <charset val="186"/>
      </rPr>
      <t>PARK&amp;RIDE</t>
    </r>
    <r>
      <rPr>
        <sz val="10"/>
        <rFont val="Times New Roman"/>
        <family val="1"/>
        <charset val="186"/>
      </rPr>
      <t>) įrengimas (šiaurinėje miesto dalyje)</t>
    </r>
  </si>
  <si>
    <t>Sausio 15-osios g. nuo Taikos pr. iki Tilžės g. (tikslinės teritorijos ribose);</t>
  </si>
  <si>
    <t xml:space="preserve">Taikos pr. nuo Sausio 15-osios g. iki Kauno g. (tikslinės teritorijos ribose); </t>
  </si>
  <si>
    <t>Joniškės g. nuo Klaipėdos baldų iki Bangų g.;</t>
  </si>
  <si>
    <t>Statybininkų pr. nuo Taikos pr. iki Minijos g. ir žiedas (Taikos pr.);</t>
  </si>
  <si>
    <t>Smiltelės g. ruožas nuo Taikos pr. iki Minijos g.;</t>
  </si>
  <si>
    <t>Šilutės pl. ruožas nuo Rimkų geležinkelio iki Smiltelės g., aikštelė;</t>
  </si>
  <si>
    <t>Šilutės pl. labiausiai pažeisti ruožai, įvažos;</t>
  </si>
  <si>
    <t>Herkaus Manto g. labiausiai pažeisti ruožai, įvažos;</t>
  </si>
  <si>
    <t>S. Daukanto g. labiausiai pažeisti ruožai;</t>
  </si>
  <si>
    <r>
      <t xml:space="preserve">Europos Sąjungos paramos lėšos, kurios įtrauktos į savivaldybės biudžetą </t>
    </r>
    <r>
      <rPr>
        <b/>
        <sz val="10"/>
        <rFont val="Times New Roman"/>
        <family val="1"/>
        <charset val="186"/>
      </rPr>
      <t>SB(ES)</t>
    </r>
  </si>
  <si>
    <t>_____________________________</t>
  </si>
  <si>
    <t>Rekonstruota šviesoforų, vnt.</t>
  </si>
  <si>
    <t>Atliktas gatvių – Slengių g., Lietaus g., Vaivorykštės g., Griaustinio g., Arimų g., Vėjo g. (II dalies), Žvaigždžių g. rekonstravimas. Užbaigtumas, proc.</t>
  </si>
  <si>
    <t>Įrengta informacinių kelio ženklų, vnt.</t>
  </si>
  <si>
    <t>P2.1.2.7-8</t>
  </si>
  <si>
    <t>Lyginamasis variantas</t>
  </si>
  <si>
    <t>Paaiškinimas</t>
  </si>
  <si>
    <t>2018-ųjų metų asignavimų planas</t>
  </si>
  <si>
    <t>Siūlomas keisti 2018-ųjų metų asignavimų planas</t>
  </si>
  <si>
    <t>Skirtumas</t>
  </si>
  <si>
    <t>Siūlomas keisti 2019-ųjų metų  lėšų projektas</t>
  </si>
  <si>
    <t>Siūlomas keisti 2020-ųjų metų  lėšų projektas</t>
  </si>
  <si>
    <t>Siūlomas keisti 2018 metų  asignavimų planas</t>
  </si>
  <si>
    <t xml:space="preserve">Atlikta gatvės (410 m) rekonstravimo darbų. Užbaigtumas, proc. </t>
  </si>
  <si>
    <t>Suremontuota šaligatvių su dviračių takais (2018 m.), ha</t>
  </si>
  <si>
    <t>Atlikta prospekto ruožo rekonstravimo darbų. Užbaigtumas, proc.</t>
  </si>
  <si>
    <t>Klemiškės g. rekonstravimas</t>
  </si>
  <si>
    <t>Naujo kelio tarp Klemiškės g. ir Tilžės g. tiesimas</t>
  </si>
  <si>
    <t>SB(ES)</t>
  </si>
  <si>
    <t xml:space="preserve">2018–2021 M. KLAIPĖDOS MIESTO SAVIVALDYBĖS     </t>
  </si>
  <si>
    <t>2021-ųjų metų lėšų projektas</t>
  </si>
  <si>
    <t>2021-ieji metai</t>
  </si>
  <si>
    <t>Jūrininkų prospekto ruožo nuo Šilutės pl. iki Minijos g. kapitalinis remontas</t>
  </si>
  <si>
    <t>Eksploatuojama elektromobilių įkrovimo stotelių, vnt.</t>
  </si>
  <si>
    <t>Renginių, kurių metu keleiviams bus taikomos lengvatos, vnt. (2018 m. renginiai: Diena be automobilio, Lietuvos vakarų krašto dainų šventė,  skirta Lietuvos valstybės atkūrimo 100-mečiui, tarptautinis folkloro festivalis „Parbėg laivelis“, Jūros šventės metu, NATO šalių tarptautinių jūrinių pratybų „Baltops‘18“ kariams birželio 1-4 d.), vnt.</t>
  </si>
  <si>
    <t>Atliktas poveikio aplinkai vertinimo  dokumentas, vnt.</t>
  </si>
  <si>
    <t>Atliktas poveikio aplinkai vertinimo dokumentas, vnt.</t>
  </si>
  <si>
    <t xml:space="preserve"> 5</t>
  </si>
  <si>
    <t>14</t>
  </si>
  <si>
    <t>I, P7</t>
  </si>
  <si>
    <t xml:space="preserve">Kiemų, kuriuose  atlikta asfalto dangos remonto darbų, skaičius </t>
  </si>
  <si>
    <t>2019-ųjų metų asignavimų planas</t>
  </si>
  <si>
    <t>po liepos tarybos keičiama pagal biudžetą</t>
  </si>
  <si>
    <t>STR3-13</t>
  </si>
  <si>
    <t>SPG 2018-07-13 protokolas Nr. STR3-10</t>
  </si>
  <si>
    <t>I, P2</t>
  </si>
  <si>
    <t>P2</t>
  </si>
  <si>
    <r>
      <t xml:space="preserve">P2.1.2.5,  </t>
    </r>
    <r>
      <rPr>
        <b/>
        <sz val="10"/>
        <rFont val="Times New Roman"/>
        <family val="1"/>
        <charset val="186"/>
      </rPr>
      <t>P2</t>
    </r>
  </si>
  <si>
    <r>
      <t xml:space="preserve">P2.1.2.7-8, </t>
    </r>
    <r>
      <rPr>
        <b/>
        <sz val="9"/>
        <rFont val="Times New Roman"/>
        <family val="1"/>
        <charset val="186"/>
      </rPr>
      <t>P2</t>
    </r>
  </si>
  <si>
    <r>
      <t xml:space="preserve">P2.1.2.10, </t>
    </r>
    <r>
      <rPr>
        <b/>
        <sz val="10"/>
        <rFont val="Times New Roman"/>
        <family val="1"/>
        <charset val="186"/>
      </rPr>
      <t>P2</t>
    </r>
  </si>
  <si>
    <t>Saulinos įsakymas, koreguojamas rodiklis</t>
  </si>
  <si>
    <r>
      <rPr>
        <strike/>
        <sz val="10"/>
        <color rgb="FFFF0000"/>
        <rFont val="Times New Roman"/>
        <family val="1"/>
        <charset val="186"/>
      </rPr>
      <t xml:space="preserve">60 </t>
    </r>
    <r>
      <rPr>
        <sz val="10"/>
        <color rgb="FFFF0000"/>
        <rFont val="Times New Roman"/>
        <family val="1"/>
        <charset val="186"/>
      </rPr>
      <t xml:space="preserve">  80</t>
    </r>
  </si>
  <si>
    <t>Lėšos bus padengtos iš 010107 priemonės</t>
  </si>
  <si>
    <r>
      <rPr>
        <strike/>
        <sz val="10"/>
        <color rgb="FFFF0000"/>
        <rFont val="Times New Roman"/>
        <family val="1"/>
        <charset val="186"/>
      </rPr>
      <t>50</t>
    </r>
    <r>
      <rPr>
        <sz val="10"/>
        <color rgb="FFFF0000"/>
        <rFont val="Times New Roman"/>
        <family val="1"/>
        <charset val="186"/>
      </rPr>
      <t xml:space="preserve">   40</t>
    </r>
  </si>
  <si>
    <t>Atlikta sankryžos rekonstravimo darbų. Užbaigtumas, proc.</t>
  </si>
  <si>
    <t>Finansavimo šaltinis keičiamas pagal 2018 m. liepos 26 d. savivaldybės tarybos sprendimu Nr. T2-154 patvirtintą 2018 m. savivaldybės biudžetą</t>
  </si>
  <si>
    <t xml:space="preserve">Siūloma mažinti priemonės finansavimo apimtį 2018 m. ir atitinkamai padidinti 2019 m. KVJUD lėšos buvo suplanuotos papildomiems darbams apmokėti, kurie negali būti finansuojami ES lėšomis. Keitėsi darbų įvykdymo grafikai, todėl reikalinga tikslinti ir finansinį planą. </t>
  </si>
  <si>
    <t>Siūloma sumažinti priemonės finansinę apimtį. Eismo audito tyrimo darbai nupirkti pigiau nei planuota. Nepanaudotas lėšas siūloma nukreipti kitoms priemonėms vykdyti.</t>
  </si>
  <si>
    <t>Siūloma mažinti priemonės finansavimo apimtį 2018 m. ir atitinkamai padidinti 2019 m., atitinkamai koreguoti produkto vertinimo kriterijaus reikšmę. Užsitęsus techninio projekto rengimui, vienos iš perėjų įrengimo darbus planuojama atlikti 2019 m.  Nepanaudotas lėšas siūloma nukreipti kitoms priemonėms vykdyti.</t>
  </si>
  <si>
    <t>Siūloma didinti priemonės finansavimo apimtį 2018 m. ir atitinkamai sumažinti 2019 m.  bei koreguoti produkto vertinimo kriterijaus reikšmę.  2018 m. galima atlikti daugiau rekonstravimo darbų nei numatyta anksčiau, projekto užbaigimas numatomas 2019 m.</t>
  </si>
  <si>
    <t>Siūloma sumažinti priemonės lėšų apimtį 2018 m. ir sutaupytas lėšas planuoti kitų priemonių vykdymui, nes šviesoforų rekonstrukcijos darbai bus atlikti už mažesnę kainą nei planuota</t>
  </si>
  <si>
    <t xml:space="preserve">Reikalinga patikslinti vertinimo kriterijaus reikšmę, nes 2018 m. planuojama papildomai įrengti kryptinį apšvietimą 14-oje perėjų </t>
  </si>
  <si>
    <t>30,7 poreikis</t>
  </si>
  <si>
    <t>Siūloma didinti  priemonės lėšų apimtį, kadangi iškilo poreikis atlikti  papildomus ištisinio asfalto įrengimo ir šaligatvių remonto darbus</t>
  </si>
  <si>
    <r>
      <rPr>
        <strike/>
        <sz val="9"/>
        <color rgb="FFFF0000"/>
        <rFont val="Times New Roman"/>
        <family val="1"/>
        <charset val="186"/>
      </rPr>
      <t>100</t>
    </r>
    <r>
      <rPr>
        <sz val="9"/>
        <color rgb="FFFF0000"/>
        <rFont val="Times New Roman"/>
        <family val="1"/>
        <charset val="186"/>
      </rPr>
      <t xml:space="preserve">      </t>
    </r>
  </si>
  <si>
    <t>Reikalinga koreguoti vertinimo kriterijaus reikšmes. Šiaurinio rago teritorijos aikštelės įrengimo darbai  bus atliekami vėliau, nes yra pradėtas rengti teritorijos Naujojo Uosto g. 3, Klaipėda, detalusis planas į kurį patenka ir Šiaurinio rago teritorija. Parengus detalųjį planą bus galima planuoti aikštelės įrengimo darbų pradžią ir įtraukti į strateginį veiklos planą</t>
  </si>
  <si>
    <t>Siūloma sumažinti priemonės finansinę apimtį 2018 m. ir atitinkamai padidinti 2019 m. Nutraukta projektavimo paslaugų sutartis dėl to, kad  paslaugų teikėjas nevykdė sutarties sąlygų. Vykdomas pakartotinis projektavimo paslaugų pirkimas. Nepanaudotas lėšas siūloma nukreipti kitoms priemonėms vykdyti.</t>
  </si>
  <si>
    <t>Siūloma mažinti priemonės finansavimo apimtį 2018 m. ir atitinkamai padidinti 2020 m. Projektavimo paslaugų pirkimas nepradėtas, kadangi užsitęsė Klaipėdos miesto bendrojo plano rengimas. Nepanaudotas SB lėšas siūloma naudoti kitoms priemonėms vykdyti.</t>
  </si>
  <si>
    <t>Siūloma mažinti priemonės finansavimo apimtį 2018 m. ir atitinkamai padidinti 2019 m. Užtrukus rangos darbų pirkimui (rangos darbus pavyko nupirkti po trečio pakartotino pirkimo), bus spėta panaudoti tik dalį lėšų. Nepanaudotas SB lėšas siūloma naudoti kitoms priemonėms vykdyti.</t>
  </si>
  <si>
    <t>Siūloma mažinti priemonės finansavimo apimtį 2018 m. ir atitinkamai padidinti 2019 m. Projektas vykdomas kartu su Kelių direkcija. Dėl užtrukusio bendradarbiavimo sutarties suderinimo ir vykdomos projekto korektūros, rangos darbų pirkimas atidėtas į 2019 m. Nepanaudotas SB lėšas siūloma naudoti kitoms priemonėms vykdyti.</t>
  </si>
  <si>
    <t>Siūloma mažinti priemonės finansavimo apimtį 2018 m. ir atitinkamai padidinti 2019 m. Techninis projektas (suprojektuotas kelias su viaduku) yra parengtas, tačiau negauta teigiama projekto ekspertizė. Projekto rengėjai vėluoja pateikti ekspertizės išvadas dėl viaduko laikančiųjų konstrukcijų, todėl rangos darbai bus vykdomi nuo 2019 m. Nepanaudotas SB ir KVJUD lėšas siūloma nukreipti kitoms priemonėms vykdyti.</t>
  </si>
  <si>
    <t>Siūloma padidinti priemonės finansavimo apimtį 2018 m. ir patikslinti finansavimo apimtį 2019 m. pagal pasikeitusį finansavimo planą, kadangi 2018-07-20 pasirašyta techninio projekto parengimo sutartis, pagal kurią projektuotojui reikia už suteiktas paslaugas.</t>
  </si>
  <si>
    <t xml:space="preserve">Šalia Klaipėdos Simono Dacho progimnazijos esančio Jūrininkų tako gatvės prailginimas </t>
  </si>
  <si>
    <t>nauja STR3-15</t>
  </si>
  <si>
    <t>Liepų gatvės atkarpos nuo Šiaurės pr. iki Garažų g. rekonstravimas</t>
  </si>
  <si>
    <t>Parengti priešprojektiniai pasiūlymai, vnt.</t>
  </si>
  <si>
    <t>Atlikta gatvės atkarpos rekonstravimo darbų. Užbaigtumas, proc.</t>
  </si>
  <si>
    <t xml:space="preserve">Parengtas techninis projektas (planuojama pabaiga 2022 m.), vnt. </t>
  </si>
  <si>
    <t>40</t>
  </si>
  <si>
    <t>70</t>
  </si>
  <si>
    <t>SB(VB)</t>
  </si>
  <si>
    <t>Naujo tilto su pakeliamu mechanizmu per Danę statyba ir prieigų sutvarkymas</t>
  </si>
  <si>
    <t>Atlikta senamiesčio gatvių atnaujinimo darbų. Užbaigtumas, proc.</t>
  </si>
  <si>
    <t>Žvejybos produktų iškrovimo vietos prie jūros Klaipėdos miesto teritorijoje įrengimas</t>
  </si>
  <si>
    <t>LRVB</t>
  </si>
  <si>
    <t>8</t>
  </si>
  <si>
    <t>Įrengta (I etapo) stotelių su įvažomis, vnt.</t>
  </si>
  <si>
    <t>Įrengta (II atapo) stotelių su įvažomis, vnt.</t>
  </si>
  <si>
    <r>
      <t xml:space="preserve">Valstybės biudžeto specialiosios tikslinės dotacijos lėšos </t>
    </r>
    <r>
      <rPr>
        <b/>
        <sz val="10"/>
        <rFont val="Times New Roman"/>
        <family val="1"/>
        <charset val="186"/>
      </rPr>
      <t>SB(VB)</t>
    </r>
  </si>
  <si>
    <t>Atlikta naujo tilto statybos ir Bastiono gatvės (I etapo) rekonstravimo darbų. Užbaigtumas, proc.</t>
  </si>
  <si>
    <t>nauja SPG STR3-15</t>
  </si>
  <si>
    <t>Atlikta eismo juostos įrengimo darbų. Užbaigtumas, proc.</t>
  </si>
  <si>
    <t>Maršrutas į LEZ teritoriją</t>
  </si>
  <si>
    <t>Pilotinis maršrutas, aptarnaujamas elektriniu autobusu</t>
  </si>
  <si>
    <t>Maršrutas į Ermitažą</t>
  </si>
  <si>
    <t>Naktinis maršrutas</t>
  </si>
  <si>
    <t>Integruota autobusų ir maršrutinių taksi, vnt.</t>
  </si>
  <si>
    <t>Išmokėta už 2018 m. gautą autobusų integracijos įrangą ir sistemą. Užbaigtumas, proc.</t>
  </si>
  <si>
    <t>Parengta projektų, vnt.</t>
  </si>
  <si>
    <t>Rekonstruotas šviesoforas (Tilžės g. ir Sausio 15-osios g. sankryžoje), vnt.</t>
  </si>
  <si>
    <t xml:space="preserve">Galimybių studijos parengimas dėl eismo organizavimo tvarkos gerinimo Smiltynėje </t>
  </si>
  <si>
    <t xml:space="preserve">Parengta galimybių studija, vnt. </t>
  </si>
  <si>
    <r>
      <t>Rekonstruota šviesoforų (</t>
    </r>
    <r>
      <rPr>
        <i/>
        <sz val="10"/>
        <rFont val="Times New Roman"/>
        <family val="1"/>
        <charset val="186"/>
      </rPr>
      <t>Baltijos prospekte atkarpoje tarp Šilutės pl. ir Taikos pr., Šilutės pl. prie AB „Klaipėdos energija“, Taikos pr. ties Žvejų rūmais), vnt.</t>
    </r>
  </si>
  <si>
    <t>2021 m.</t>
  </si>
  <si>
    <t>Gatvių sarašas bus sudaromas po gatvių apžiūrų 2019-2020 m.</t>
  </si>
  <si>
    <t>Gedminų g.;</t>
  </si>
  <si>
    <t>Smiltelės g. (atkarpa nuo Taikos pr. iki Minijos g.);</t>
  </si>
  <si>
    <t>Vytauto g. (atkarpa nuo S. Šimkaus g. iki Puodžių g.);</t>
  </si>
  <si>
    <t>Herkaus Manto g. (labiausiai pažeistos atkarpos, įvažos);</t>
  </si>
  <si>
    <t>Šilutės pl. (labiausiai pažeistos atkarpos, įvažos);</t>
  </si>
  <si>
    <t>Mogiliovo  g.  gyvenamojo rajono gatvės;</t>
  </si>
  <si>
    <t>S.Daukanto g.;</t>
  </si>
  <si>
    <t>Atlikta kelio atnaujinimo darbų. Užbaigtumas, proc.</t>
  </si>
  <si>
    <t>Įvažiavimo kelio į Taikos pr. 101;</t>
  </si>
  <si>
    <t>Įvažiavimo kelio ir šalia esančio skvero į Taikos pr. 109 ;</t>
  </si>
  <si>
    <t>Įvažiavimo kelio  į Debreceno g. 61</t>
  </si>
  <si>
    <t>Įvažiavimo kelių atnaujinimas:</t>
  </si>
  <si>
    <t>Prižiūrėta tiltų ir viadukų, vnt.</t>
  </si>
  <si>
    <t>Pėsčiųjų ir dviračių takų, šaligatvių (su dviračių takais) remonto bei įrengimo darbai</t>
  </si>
  <si>
    <t>IED</t>
  </si>
  <si>
    <t>Fizinių ir juridinių asmenų inicijuotas susisiekimo infrastruktūros pagerinimas</t>
  </si>
  <si>
    <t>Finansuota susisiekimo infrastruktūros pagerinimo projektų, vnt.</t>
  </si>
  <si>
    <t>Viešojo transporto infrastruktūros gerinimas:</t>
  </si>
  <si>
    <t>Keleivinio transporto stotelių su įvažomis Klaipėdos miesto gatvėse projektavimas ir įrengimas</t>
  </si>
  <si>
    <t>Įrengtas įvažos pratęsimas, vnt.</t>
  </si>
  <si>
    <r>
      <t>Įvažos pratęsimo autobusų stotelėje „Naujasis turgus“ įrengimas (</t>
    </r>
    <r>
      <rPr>
        <i/>
        <sz val="10"/>
        <rFont val="Times New Roman"/>
        <family val="1"/>
        <charset val="186"/>
      </rPr>
      <t>kryptis į pietinę miesto dalį</t>
    </r>
    <r>
      <rPr>
        <sz val="10"/>
        <rFont val="Times New Roman"/>
        <family val="1"/>
        <charset val="186"/>
      </rPr>
      <t xml:space="preserve">)  </t>
    </r>
  </si>
  <si>
    <t xml:space="preserve">Atnaujinta elektromobilių įkrovimų stotelių įranga, vnt. </t>
  </si>
  <si>
    <t>Komitetų narių siūlymas</t>
  </si>
  <si>
    <t>nauja</t>
  </si>
  <si>
    <t xml:space="preserve">*pagal Klaipėdos miesto savivaldybės tarybos 2018-10-25 sprendimą Nr. T2-221
</t>
  </si>
  <si>
    <t>Mažinti, arba planuoti iš SB(VR)</t>
  </si>
  <si>
    <t>IED    Statybos ir infrastruktūros plėtros skyrius</t>
  </si>
  <si>
    <t>IED     Statybos ir infrastruktūros plėtros skyrius</t>
  </si>
  <si>
    <t xml:space="preserve">Neeksploatuojamų požeminių perėjų Šilutės pl. kapitalinis remontas </t>
  </si>
  <si>
    <t xml:space="preserve">IED    Statybos ir infrastruktūros plėtros </t>
  </si>
  <si>
    <t>mažinti iki 5 renginių, SPG STR3-18</t>
  </si>
  <si>
    <t xml:space="preserve">SPG STR3-18 atidėtas </t>
  </si>
  <si>
    <t xml:space="preserve">SPG STR3-18 Mažinti lėšas 2018 m. lygyje </t>
  </si>
  <si>
    <t>SPG STR3-18, įterpti Žvejus ir VDA</t>
  </si>
  <si>
    <t>SPG STR3-18 palikti techniniam projektui</t>
  </si>
  <si>
    <t xml:space="preserve"> Miesto tvarkymo skyrius</t>
  </si>
  <si>
    <t>STR3-18</t>
  </si>
  <si>
    <t>SPG STR3-18 tik 13 įrengti per 2021 metus</t>
  </si>
  <si>
    <t xml:space="preserve">Parengtas techninis projektas (2019 m. - Žvejų g., Teatro g., Sukilėlių g., Daržų g., Aukštoji g., Didžioji Vandens g., Vežėjų g., 2020 m. - Tomo ir Pylimo g.), vnt. </t>
  </si>
  <si>
    <t>Atlikta gatvės rekonstravimo ir eismo juostos įrengimo darbų. Užbaigtumas, proc.</t>
  </si>
  <si>
    <t>Kelio į sodininkų bendrijos „Laistai“ teritorijos ir pravažiavimo po geležinkelio tiltu rekonstrukcija</t>
  </si>
  <si>
    <t>Tilžės g. nuo Šilutės pl. iki geležinkelio pervažos rekonstravimas, pertvarkant žiedinę Mokyklos g. ir Šilutės pl. sankryžą</t>
  </si>
  <si>
    <t>Šilutės plento ruožo nuo Tilžės g. iki geležinkelio pervažos (iki Kauno g.) rekonstravimas</t>
  </si>
  <si>
    <t>0,25</t>
  </si>
  <si>
    <t>0,19</t>
  </si>
  <si>
    <t>4,6</t>
  </si>
  <si>
    <t>1,3</t>
  </si>
  <si>
    <t>1,8</t>
  </si>
  <si>
    <t>Suremontuota asfaltbetonio dangos duobių kiemuose, ha</t>
  </si>
  <si>
    <t>Atnaujinta šaligatvių miesto gatvėse, ha</t>
  </si>
  <si>
    <t>1,44</t>
  </si>
  <si>
    <t>0,15</t>
  </si>
  <si>
    <t>Suremontuota gatvių akmens grindinio dangos  senamiesčio gatvėse, ha</t>
  </si>
  <si>
    <t>4,5</t>
  </si>
  <si>
    <t>Suremontuota šaligatvių (su dviračių takais), ha</t>
  </si>
  <si>
    <t>Atnaujinta pėsčiųjų takų ir laiptų prie Kultūros centro „Žvejų rūmai“, ha</t>
  </si>
  <si>
    <t>Atnaujinta įvažą ir automobilių stovėjimo  aikštelė Vilniaus Dailės akademijos Klaipėdos fakulteto teritorijoje, ha</t>
  </si>
  <si>
    <t>Įrengta kintamos informacijos ženklų Lideikio g. Užbaigtumas, proc.</t>
  </si>
  <si>
    <t>0,59</t>
  </si>
  <si>
    <t>Atnaujinta dekoratyvinių kelio ženklų stovų, vnt.</t>
  </si>
  <si>
    <t>Nuostolingų maršrutų subsidijavimas priemiesčio ir miesto maršrutus aptarnaujantiems vežėjams</t>
  </si>
  <si>
    <t>S. Daukanto gatvės rekonstravimas nuo H. Manto iki Naujojo Uosto g.</t>
  </si>
  <si>
    <t>Automatinės eismo priežiūros prietaisų eksploatacija</t>
  </si>
  <si>
    <t xml:space="preserve">Naujo kelio tarp Klemiškės g. ir Tilžės g. tiesimas </t>
  </si>
  <si>
    <t>KPP(VIP)</t>
  </si>
  <si>
    <r>
      <t xml:space="preserve">Vietinės reikšmės kelių (gatvių) tikslinio finansavimo lėšos  </t>
    </r>
    <r>
      <rPr>
        <b/>
        <sz val="10"/>
        <rFont val="Times New Roman"/>
        <family val="1"/>
        <charset val="186"/>
      </rPr>
      <t>KPP(VIP)</t>
    </r>
  </si>
  <si>
    <r>
      <t xml:space="preserve">Kelių priežiūros ir plėtros programos lėšos įtrauktos į savivaldybės biudžetą </t>
    </r>
    <r>
      <rPr>
        <b/>
        <sz val="10"/>
        <rFont val="Times New Roman"/>
        <family val="1"/>
        <charset val="186"/>
      </rPr>
      <t>SB(KPP)</t>
    </r>
  </si>
  <si>
    <r>
      <t xml:space="preserve">Planuojamos kelių priežiūros ir plėtros programos lėšos </t>
    </r>
    <r>
      <rPr>
        <b/>
        <sz val="10"/>
        <rFont val="Times New Roman"/>
        <family val="1"/>
        <charset val="186"/>
      </rPr>
      <t>SB(KPP)</t>
    </r>
  </si>
  <si>
    <r>
      <t>Renginių, kurių metu keleiviams bus taikomos lengvatos, vnt. (</t>
    </r>
    <r>
      <rPr>
        <sz val="10"/>
        <color rgb="FFFF0000"/>
        <rFont val="Times New Roman"/>
        <family val="1"/>
        <charset val="186"/>
      </rPr>
      <t>2019 m. renginiai: Naujieji metai, Lietuvos valstybės atkūrimo diena, Klaipėdos šviesų festivalis, Lietuvos nepriklausomybės atkūrimo diena, Diena be automobilio, Jūros šventė metu</t>
    </r>
    <r>
      <rPr>
        <sz val="10"/>
        <rFont val="Times New Roman"/>
        <family val="1"/>
        <charset val="186"/>
      </rPr>
      <t>)</t>
    </r>
  </si>
  <si>
    <t>I, P2, P6</t>
  </si>
  <si>
    <t>I, P6</t>
  </si>
  <si>
    <t>STR3-19</t>
  </si>
  <si>
    <t>mažinti pagal STR3-19</t>
  </si>
  <si>
    <t>STR3-19 atidėti vėliasniam laikotarpiui</t>
  </si>
  <si>
    <t>SPR3-19</t>
  </si>
  <si>
    <t xml:space="preserve">Renginių, kurių metu keleiviams bus taikomos lengvatos, vnt. </t>
  </si>
  <si>
    <t>09</t>
  </si>
  <si>
    <t>0,72</t>
  </si>
  <si>
    <t>Maršrutas į Ermitažą (nuo 2022 m.)</t>
  </si>
  <si>
    <t>Maršrutas, kuriais važinės ekologiški autobusai (nuo 2022 m.)</t>
  </si>
  <si>
    <t>priedas</t>
  </si>
  <si>
    <t xml:space="preserve">Klaipėdos miesto savivaldybės susisiekimo sistemos                     priežiūros ir plėtros programos (Nr. 06) aprašymo             
</t>
  </si>
  <si>
    <t xml:space="preserve">2019–2021 M. KLAIPĖDOS MIESTO SAVIVALDYBĖS </t>
  </si>
  <si>
    <t>Įrengtas įvažos pratęsimo autobusų stotelėje „Naujasis turgus“  (kryptis į pietinę miesto dalį)   pratęsimas, vnt.</t>
  </si>
  <si>
    <t>Pasirašyta koncesijos sutartis</t>
  </si>
  <si>
    <r>
      <t>Naujai įrengta šviesoforų (Baltijos prospekte atkarpoje tarp Šilutės pl. ir Taikos pr., Šilutės pl. prie AB „Klaipėdos energija“, Taikos pr. ties Žvejų rūmais), vnt.</t>
    </r>
    <r>
      <rPr>
        <sz val="10"/>
        <color theme="0"/>
        <rFont val="Times New Roman"/>
        <family val="1"/>
        <charset val="186"/>
      </rPr>
      <t xml:space="preserve">, Tilžės g. ir Sausio 15-osios g. sankryžoje), </t>
    </r>
  </si>
  <si>
    <t xml:space="preserve"> </t>
  </si>
  <si>
    <t>__________________________________</t>
  </si>
  <si>
    <t>2019-ųjų metų asignavi-mų planas</t>
  </si>
  <si>
    <t xml:space="preserve">Parengtas techninis projektas (2019 m. – Žvejų g., Teatro g., Sukilėlių g., Daržų g., Aukštoji g., Didžioji Vandens g., Vežėjų g., 2020 m. – Tomo g. ir Pylimo g.), vnt. </t>
  </si>
  <si>
    <t>Atlikta gatvės (1374 m) rekonstravimo darbų. Užbaigtumas, proc.</t>
  </si>
  <si>
    <t xml:space="preserve">Jūrininkų prospekto ruožo nuo Šilutės pl. iki Minijos g. rekonstrukcija </t>
  </si>
  <si>
    <t>Atlikta prospekto ruožo rekonstravimo darbų.  Užbaigtumas, proc.</t>
  </si>
  <si>
    <t>Maršruto Klaipėdos autobusų stotis–Palangos oro uostas kursavimas</t>
  </si>
  <si>
    <t>Sodų bendrija „Vaiteliai“–„Rasa“ kursavimas</t>
  </si>
  <si>
    <t>Įrengta kintamos informacijos ženklų Prano Lideikio g. Užbaigtumas, proc.</t>
  </si>
  <si>
    <t>Rekonstruotas šviesoforas (Tilžės g. ir Sausio       15-osios g. sankryžoje), vnt.</t>
  </si>
  <si>
    <r>
      <t>Naujai įrengta šviesoforų (Baltijos prospekto ruože tarp Šilutės pl. ir Taikos pr., Šilutės pl. prie AB „Klaipėdos energija“, Taikos pr. ties Žvejų rūmais), vnt.</t>
    </r>
    <r>
      <rPr>
        <sz val="10"/>
        <color theme="0"/>
        <rFont val="Times New Roman"/>
        <family val="1"/>
        <charset val="186"/>
      </rPr>
      <t xml:space="preserve">, Tilžės g. ir Sausio 15-osios g. sankryžoje), </t>
    </r>
  </si>
  <si>
    <t>Įrengta neregių vedimo dangos autobusų stotelėse, vnt.</t>
  </si>
  <si>
    <r>
      <t>Uostamiesčiai: darnaus judumo principų integravimas (</t>
    </r>
    <r>
      <rPr>
        <i/>
        <sz val="10"/>
        <rFont val="Times New Roman"/>
        <family val="1"/>
        <charset val="186"/>
      </rPr>
      <t xml:space="preserve">PORT Cities: Integrating Sustainability, </t>
    </r>
    <r>
      <rPr>
        <sz val="10"/>
        <rFont val="Times New Roman"/>
        <family val="1"/>
        <charset val="186"/>
      </rPr>
      <t>PORTIS)</t>
    </r>
    <r>
      <rPr>
        <sz val="10"/>
        <color rgb="FFFF0000"/>
        <rFont val="Times New Roman"/>
        <family val="1"/>
        <charset val="186"/>
      </rPr>
      <t xml:space="preserve"> </t>
    </r>
  </si>
  <si>
    <t>Kombinuotų kelionių jungčių (angl. Park&amp;Ride) įrengimas (šiaurinėje miesto dalyje)</t>
  </si>
  <si>
    <t>Smiltelės g. (ruožas nuo Taikos pr. iki Minijos g.);</t>
  </si>
  <si>
    <t>Vytauto g. (ruožas nuo S. Šimkaus g. iki Puodžių g.);</t>
  </si>
  <si>
    <t>Šilutės pl. (labiausiai pažeisti ruožai, įvažos);</t>
  </si>
  <si>
    <t>H. Manto g. (labiausiai pažeisti ruožai, įvažos);</t>
  </si>
  <si>
    <t>S. Daukanto g.</t>
  </si>
  <si>
    <t>Atnaujinta pėsčiųjų takų ir laiptų prie kultūros centro Žvejų rūmų, ha</t>
  </si>
  <si>
    <t>S. Daukanto gatvės rekonstravimas nuo H. Manto iki Naujosios Uosto g.</t>
  </si>
  <si>
    <t>Įvažiuojamųjų kelių atnaujinimas:</t>
  </si>
  <si>
    <t>Įvažiuojamojo kelio į Taikos pr. 101;</t>
  </si>
  <si>
    <t>Įvažiuojamojo kelio  į Debreceno g. 61</t>
  </si>
  <si>
    <t>Įvažiuojamojo kelio ir šalia esančio skvero į Taikos pr. 109;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</si>
</sst>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6" x14ac:knownFonts="1">
    <font>
      <sz val="10"/>
      <name val="Arial"/>
      <charset val="186"/>
    </font>
    <font>
      <sz val="8"/>
      <name val="Times New Roman"/>
      <family val="1"/>
      <charset val="186"/>
    </font>
    <font>
      <sz val="10"/>
      <name val="Times New Roman"/>
      <family val="1"/>
      <charset val="186"/>
    </font>
    <font>
      <b/>
      <sz val="10"/>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b/>
      <sz val="9"/>
      <name val="Times New Roman"/>
      <family val="1"/>
      <charset val="186"/>
    </font>
    <font>
      <sz val="8"/>
      <name val="Arial"/>
      <family val="2"/>
      <charset val="186"/>
    </font>
    <font>
      <sz val="10"/>
      <color rgb="FFFF0000"/>
      <name val="Times New Roman"/>
      <family val="1"/>
      <charset val="186"/>
    </font>
    <font>
      <sz val="7"/>
      <name val="Times New Roman"/>
      <family val="1"/>
      <charset val="186"/>
    </font>
    <font>
      <sz val="7"/>
      <name val="Arial"/>
      <family val="2"/>
      <charset val="186"/>
    </font>
    <font>
      <b/>
      <sz val="10"/>
      <color indexed="81"/>
      <name val="Tahoma"/>
      <family val="2"/>
      <charset val="186"/>
    </font>
    <font>
      <sz val="10"/>
      <color indexed="81"/>
      <name val="Tahoma"/>
      <family val="2"/>
      <charset val="186"/>
    </font>
    <font>
      <i/>
      <sz val="10"/>
      <name val="Times New Roman"/>
      <family val="1"/>
      <charset val="186"/>
    </font>
    <font>
      <sz val="11"/>
      <name val="Times New Roman"/>
      <family val="1"/>
      <charset val="186"/>
    </font>
    <font>
      <b/>
      <sz val="11"/>
      <name val="Times New Roman"/>
      <family val="1"/>
      <charset val="186"/>
    </font>
    <font>
      <sz val="11"/>
      <name val="Calibri"/>
      <family val="2"/>
      <charset val="186"/>
      <scheme val="minor"/>
    </font>
    <font>
      <sz val="10"/>
      <color theme="1"/>
      <name val="Times New Roman"/>
      <family val="1"/>
      <charset val="186"/>
    </font>
    <font>
      <b/>
      <i/>
      <sz val="10"/>
      <name val="Times New Roman"/>
      <family val="1"/>
      <charset val="186"/>
    </font>
    <font>
      <i/>
      <sz val="10"/>
      <color theme="1"/>
      <name val="Times New Roman"/>
      <family val="1"/>
      <charset val="186"/>
    </font>
    <font>
      <sz val="10"/>
      <color rgb="FF1F497D"/>
      <name val="Times New Roman"/>
      <family val="1"/>
      <charset val="186"/>
    </font>
    <font>
      <sz val="10"/>
      <color theme="1"/>
      <name val="Arial"/>
      <family val="2"/>
      <charset val="186"/>
    </font>
    <font>
      <sz val="10"/>
      <color theme="1"/>
      <name val="Times New Roman"/>
      <family val="1"/>
    </font>
    <font>
      <sz val="9"/>
      <color theme="1"/>
      <name val="Times New Roman"/>
      <family val="1"/>
      <charset val="186"/>
    </font>
    <font>
      <b/>
      <sz val="10"/>
      <color rgb="FFFF0000"/>
      <name val="Times New Roman"/>
      <family val="1"/>
      <charset val="186"/>
    </font>
    <font>
      <b/>
      <sz val="12"/>
      <name val="Times New Roman"/>
      <family val="1"/>
      <charset val="186"/>
    </font>
    <font>
      <sz val="12"/>
      <name val="Times New Roman"/>
      <family val="1"/>
      <charset val="186"/>
    </font>
    <font>
      <b/>
      <sz val="10"/>
      <color theme="1"/>
      <name val="Times New Roman"/>
      <family val="1"/>
      <charset val="186"/>
    </font>
    <font>
      <sz val="9"/>
      <color rgb="FFFF0000"/>
      <name val="Times New Roman"/>
      <family val="1"/>
      <charset val="186"/>
    </font>
    <font>
      <strike/>
      <sz val="10"/>
      <name val="Times New Roman"/>
      <family val="1"/>
      <charset val="186"/>
    </font>
    <font>
      <strike/>
      <sz val="10"/>
      <color rgb="FFFF0000"/>
      <name val="Times New Roman"/>
      <family val="1"/>
      <charset val="186"/>
    </font>
    <font>
      <strike/>
      <sz val="9"/>
      <color rgb="FFFF0000"/>
      <name val="Times New Roman"/>
      <family val="1"/>
      <charset val="186"/>
    </font>
    <font>
      <sz val="8"/>
      <color indexed="81"/>
      <name val="Tahoma"/>
      <family val="2"/>
      <charset val="186"/>
    </font>
    <font>
      <sz val="10"/>
      <name val="Times New Roman"/>
      <family val="1"/>
    </font>
    <font>
      <i/>
      <sz val="10"/>
      <name val="Arial"/>
      <family val="2"/>
      <charset val="186"/>
    </font>
    <font>
      <sz val="10"/>
      <color rgb="FF000000"/>
      <name val="Times New Roman"/>
      <family val="1"/>
      <charset val="186"/>
    </font>
    <font>
      <b/>
      <sz val="8"/>
      <color indexed="81"/>
      <name val="Tahoma"/>
      <family val="2"/>
      <charset val="186"/>
    </font>
    <font>
      <sz val="10"/>
      <color rgb="FF00B050"/>
      <name val="Times New Roman"/>
      <family val="1"/>
      <charset val="186"/>
    </font>
    <font>
      <i/>
      <sz val="9"/>
      <name val="Times New Roman"/>
      <family val="1"/>
      <charset val="186"/>
    </font>
    <font>
      <sz val="10"/>
      <color theme="0"/>
      <name val="Times New Roman"/>
      <family val="1"/>
      <charset val="186"/>
    </font>
    <font>
      <sz val="10"/>
      <color theme="3"/>
      <name val="Times New Roman"/>
      <family val="1"/>
      <charset val="186"/>
    </font>
  </fonts>
  <fills count="14">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FFFF"/>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39997558519241921"/>
        <bgColor indexed="64"/>
      </patternFill>
    </fill>
  </fills>
  <borders count="1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right/>
      <top style="medium">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s>
  <cellStyleXfs count="3">
    <xf numFmtId="0" fontId="0" fillId="0" borderId="0"/>
    <xf numFmtId="164" fontId="8" fillId="0" borderId="0" applyFont="0" applyFill="0" applyBorder="0" applyAlignment="0" applyProtection="0"/>
    <xf numFmtId="0" fontId="8" fillId="0" borderId="0"/>
  </cellStyleXfs>
  <cellXfs count="2545">
    <xf numFmtId="0" fontId="0" fillId="0" borderId="0" xfId="0"/>
    <xf numFmtId="0" fontId="2" fillId="0" borderId="0" xfId="0" applyFont="1" applyBorder="1" applyAlignment="1">
      <alignment vertical="top"/>
    </xf>
    <xf numFmtId="0" fontId="2" fillId="0" borderId="0" xfId="0" applyFont="1" applyAlignment="1">
      <alignment vertical="top"/>
    </xf>
    <xf numFmtId="0" fontId="2" fillId="0" borderId="0" xfId="0" applyFont="1" applyAlignment="1">
      <alignment horizontal="center" vertical="top"/>
    </xf>
    <xf numFmtId="0" fontId="2" fillId="0" borderId="0" xfId="0" applyFont="1" applyFill="1" applyAlignment="1">
      <alignment vertical="top"/>
    </xf>
    <xf numFmtId="0" fontId="2" fillId="3" borderId="0" xfId="0" applyFont="1" applyFill="1" applyAlignment="1">
      <alignment vertical="top"/>
    </xf>
    <xf numFmtId="166" fontId="2" fillId="0" borderId="25" xfId="0" applyNumberFormat="1" applyFont="1" applyFill="1" applyBorder="1" applyAlignment="1">
      <alignment horizontal="center" vertical="top"/>
    </xf>
    <xf numFmtId="3" fontId="2" fillId="0" borderId="28" xfId="0" applyNumberFormat="1" applyFont="1" applyFill="1" applyBorder="1" applyAlignment="1">
      <alignment horizontal="center" vertical="top" wrapText="1"/>
    </xf>
    <xf numFmtId="0" fontId="2" fillId="0" borderId="0" xfId="0" applyFont="1" applyAlignment="1">
      <alignment vertical="center"/>
    </xf>
    <xf numFmtId="164" fontId="2" fillId="0" borderId="0" xfId="1" applyFont="1" applyBorder="1" applyAlignment="1">
      <alignment vertical="top"/>
    </xf>
    <xf numFmtId="0" fontId="8" fillId="0" borderId="0" xfId="0" applyFont="1"/>
    <xf numFmtId="0" fontId="3" fillId="0" borderId="0" xfId="0" applyNumberFormat="1" applyFont="1" applyAlignment="1">
      <alignment vertical="top"/>
    </xf>
    <xf numFmtId="0" fontId="2" fillId="0" borderId="28" xfId="0" applyFont="1" applyBorder="1" applyAlignment="1">
      <alignment vertical="top"/>
    </xf>
    <xf numFmtId="49" fontId="3" fillId="2" borderId="35" xfId="0" applyNumberFormat="1" applyFont="1" applyFill="1" applyBorder="1" applyAlignment="1">
      <alignment horizontal="center" vertical="top"/>
    </xf>
    <xf numFmtId="166" fontId="2" fillId="0" borderId="0" xfId="0" applyNumberFormat="1" applyFont="1" applyAlignment="1">
      <alignment vertical="top"/>
    </xf>
    <xf numFmtId="0" fontId="2" fillId="0" borderId="32" xfId="0" applyFont="1" applyBorder="1" applyAlignment="1">
      <alignment vertical="top"/>
    </xf>
    <xf numFmtId="0" fontId="2" fillId="0" borderId="32" xfId="0" applyFont="1" applyBorder="1" applyAlignment="1">
      <alignment vertical="center"/>
    </xf>
    <xf numFmtId="0" fontId="3" fillId="0" borderId="32" xfId="0" applyNumberFormat="1" applyFont="1" applyBorder="1" applyAlignment="1">
      <alignment vertical="top"/>
    </xf>
    <xf numFmtId="49" fontId="3" fillId="9" borderId="16" xfId="0" applyNumberFormat="1" applyFont="1" applyFill="1" applyBorder="1" applyAlignment="1">
      <alignment horizontal="center" vertical="top" wrapText="1"/>
    </xf>
    <xf numFmtId="0" fontId="2" fillId="7" borderId="29" xfId="0" applyFont="1" applyFill="1" applyBorder="1" applyAlignment="1">
      <alignment vertical="top" wrapText="1"/>
    </xf>
    <xf numFmtId="3" fontId="2" fillId="7" borderId="28" xfId="0" applyNumberFormat="1" applyFont="1" applyFill="1" applyBorder="1" applyAlignment="1">
      <alignment horizontal="center" vertical="top"/>
    </xf>
    <xf numFmtId="3" fontId="2" fillId="7" borderId="27" xfId="0" applyNumberFormat="1" applyFont="1" applyFill="1" applyBorder="1" applyAlignment="1">
      <alignment horizontal="center" vertical="top"/>
    </xf>
    <xf numFmtId="0" fontId="2" fillId="0" borderId="65" xfId="0" applyFont="1" applyBorder="1" applyAlignment="1">
      <alignment vertical="top"/>
    </xf>
    <xf numFmtId="3" fontId="2" fillId="0" borderId="82" xfId="0" applyNumberFormat="1" applyFont="1" applyFill="1" applyBorder="1" applyAlignment="1">
      <alignment horizontal="center" vertical="top"/>
    </xf>
    <xf numFmtId="3" fontId="2" fillId="0" borderId="1" xfId="0" applyNumberFormat="1" applyFont="1" applyFill="1" applyBorder="1" applyAlignment="1">
      <alignment horizontal="center" vertical="top"/>
    </xf>
    <xf numFmtId="3" fontId="2" fillId="7" borderId="86" xfId="0" applyNumberFormat="1" applyFont="1" applyFill="1" applyBorder="1" applyAlignment="1">
      <alignment horizontal="center" vertical="top"/>
    </xf>
    <xf numFmtId="3" fontId="2" fillId="7" borderId="87" xfId="0" applyNumberFormat="1" applyFont="1" applyFill="1" applyBorder="1" applyAlignment="1">
      <alignment horizontal="center" vertical="top"/>
    </xf>
    <xf numFmtId="3" fontId="2" fillId="7" borderId="79" xfId="0" applyNumberFormat="1" applyFont="1" applyFill="1" applyBorder="1" applyAlignment="1">
      <alignment horizontal="center" vertical="top"/>
    </xf>
    <xf numFmtId="3" fontId="2" fillId="0" borderId="13" xfId="0" applyNumberFormat="1" applyFont="1" applyFill="1" applyBorder="1" applyAlignment="1">
      <alignment horizontal="center" vertical="top"/>
    </xf>
    <xf numFmtId="3" fontId="2" fillId="0" borderId="13" xfId="0" applyNumberFormat="1" applyFont="1" applyFill="1" applyBorder="1" applyAlignment="1">
      <alignment horizontal="center" vertical="top" wrapText="1"/>
    </xf>
    <xf numFmtId="0" fontId="2" fillId="7" borderId="85" xfId="0" applyFont="1" applyFill="1" applyBorder="1" applyAlignment="1">
      <alignment horizontal="left" vertical="top" wrapText="1"/>
    </xf>
    <xf numFmtId="3" fontId="2" fillId="7" borderId="27" xfId="0" applyNumberFormat="1" applyFont="1" applyFill="1" applyBorder="1" applyAlignment="1">
      <alignment horizontal="center" vertical="top" wrapText="1"/>
    </xf>
    <xf numFmtId="3" fontId="2" fillId="0" borderId="86" xfId="0" applyNumberFormat="1" applyFont="1" applyFill="1" applyBorder="1" applyAlignment="1">
      <alignment horizontal="center" vertical="top"/>
    </xf>
    <xf numFmtId="3" fontId="2" fillId="0" borderId="87" xfId="0" applyNumberFormat="1" applyFont="1" applyFill="1" applyBorder="1" applyAlignment="1">
      <alignment horizontal="center" vertical="top"/>
    </xf>
    <xf numFmtId="166" fontId="2" fillId="0" borderId="11" xfId="0" applyNumberFormat="1" applyFont="1" applyFill="1" applyBorder="1" applyAlignment="1">
      <alignment horizontal="center" vertical="top"/>
    </xf>
    <xf numFmtId="166" fontId="2" fillId="0" borderId="18" xfId="0" applyNumberFormat="1" applyFont="1" applyFill="1" applyBorder="1" applyAlignment="1">
      <alignment horizontal="center" vertical="top"/>
    </xf>
    <xf numFmtId="49" fontId="3" fillId="0" borderId="35" xfId="0" applyNumberFormat="1" applyFont="1" applyBorder="1" applyAlignment="1">
      <alignment horizontal="center" vertical="top"/>
    </xf>
    <xf numFmtId="0" fontId="2" fillId="7" borderId="6" xfId="0" applyFont="1" applyFill="1" applyBorder="1" applyAlignment="1">
      <alignment horizontal="center" vertical="top"/>
    </xf>
    <xf numFmtId="49" fontId="2" fillId="7" borderId="11" xfId="0" applyNumberFormat="1" applyFont="1" applyFill="1" applyBorder="1" applyAlignment="1">
      <alignment horizontal="center" vertical="top"/>
    </xf>
    <xf numFmtId="3" fontId="2" fillId="0" borderId="0" xfId="0" applyNumberFormat="1" applyFont="1" applyBorder="1" applyAlignment="1">
      <alignment vertical="top"/>
    </xf>
    <xf numFmtId="166" fontId="2" fillId="7" borderId="49" xfId="0" applyNumberFormat="1" applyFont="1" applyFill="1" applyBorder="1" applyAlignment="1">
      <alignment horizontal="center" vertical="top"/>
    </xf>
    <xf numFmtId="166" fontId="2" fillId="7" borderId="18" xfId="0" applyNumberFormat="1" applyFont="1" applyFill="1" applyBorder="1" applyAlignment="1">
      <alignment horizontal="center" vertical="top"/>
    </xf>
    <xf numFmtId="166" fontId="2" fillId="7" borderId="35" xfId="0" applyNumberFormat="1" applyFont="1" applyFill="1" applyBorder="1" applyAlignment="1">
      <alignment horizontal="center" vertical="top"/>
    </xf>
    <xf numFmtId="166" fontId="2" fillId="7" borderId="28" xfId="0" applyNumberFormat="1" applyFont="1" applyFill="1" applyBorder="1" applyAlignment="1">
      <alignment horizontal="center" vertical="top"/>
    </xf>
    <xf numFmtId="166" fontId="2" fillId="7" borderId="27" xfId="0" applyNumberFormat="1" applyFont="1" applyFill="1" applyBorder="1" applyAlignment="1">
      <alignment horizontal="center" vertical="top"/>
    </xf>
    <xf numFmtId="0" fontId="2" fillId="7" borderId="80" xfId="0" applyFont="1" applyFill="1" applyBorder="1" applyAlignment="1">
      <alignment horizontal="left" vertical="top" wrapText="1"/>
    </xf>
    <xf numFmtId="3" fontId="2" fillId="7" borderId="28" xfId="0" applyNumberFormat="1" applyFont="1" applyFill="1" applyBorder="1" applyAlignment="1">
      <alignment horizontal="center" vertical="top" wrapText="1"/>
    </xf>
    <xf numFmtId="0" fontId="2" fillId="7" borderId="65" xfId="0" applyFont="1" applyFill="1" applyBorder="1" applyAlignment="1">
      <alignment horizontal="center" vertical="top"/>
    </xf>
    <xf numFmtId="0" fontId="2" fillId="7" borderId="34" xfId="0" applyFont="1" applyFill="1" applyBorder="1" applyAlignment="1">
      <alignment horizontal="center" vertical="top"/>
    </xf>
    <xf numFmtId="3" fontId="2" fillId="7" borderId="35" xfId="0" applyNumberFormat="1" applyFont="1" applyFill="1" applyBorder="1" applyAlignment="1">
      <alignment horizontal="center" vertical="top"/>
    </xf>
    <xf numFmtId="3" fontId="2" fillId="7" borderId="86" xfId="0" applyNumberFormat="1" applyFont="1" applyFill="1" applyBorder="1" applyAlignment="1">
      <alignment horizontal="center" vertical="top" wrapText="1"/>
    </xf>
    <xf numFmtId="166" fontId="2" fillId="7" borderId="20" xfId="0" applyNumberFormat="1" applyFont="1" applyFill="1" applyBorder="1" applyAlignment="1">
      <alignment horizontal="center" vertical="top"/>
    </xf>
    <xf numFmtId="166" fontId="2" fillId="0" borderId="0" xfId="0" applyNumberFormat="1" applyFont="1" applyBorder="1" applyAlignment="1">
      <alignment vertical="top"/>
    </xf>
    <xf numFmtId="166" fontId="2" fillId="7" borderId="23" xfId="0" applyNumberFormat="1" applyFont="1" applyFill="1" applyBorder="1" applyAlignment="1">
      <alignment vertical="top"/>
    </xf>
    <xf numFmtId="49" fontId="3" fillId="7" borderId="32" xfId="0" applyNumberFormat="1" applyFont="1" applyFill="1" applyBorder="1" applyAlignment="1">
      <alignment horizontal="center" vertical="top"/>
    </xf>
    <xf numFmtId="3" fontId="2" fillId="0" borderId="35" xfId="0" applyNumberFormat="1" applyFont="1" applyFill="1" applyBorder="1" applyAlignment="1">
      <alignment horizontal="center" vertical="top" wrapText="1"/>
    </xf>
    <xf numFmtId="0" fontId="7" fillId="7" borderId="49" xfId="0" applyFont="1" applyFill="1" applyBorder="1" applyAlignment="1">
      <alignment vertical="top" wrapText="1"/>
    </xf>
    <xf numFmtId="166" fontId="2" fillId="7" borderId="8" xfId="0" applyNumberFormat="1" applyFont="1" applyFill="1" applyBorder="1" applyAlignment="1">
      <alignment horizontal="center" vertical="top"/>
    </xf>
    <xf numFmtId="166" fontId="2" fillId="0" borderId="23" xfId="0" applyNumberFormat="1" applyFont="1" applyBorder="1" applyAlignment="1">
      <alignment horizontal="center" vertical="top"/>
    </xf>
    <xf numFmtId="166" fontId="2" fillId="0" borderId="23" xfId="0" applyNumberFormat="1" applyFont="1" applyFill="1" applyBorder="1" applyAlignment="1">
      <alignment horizontal="center" vertical="top"/>
    </xf>
    <xf numFmtId="166" fontId="2" fillId="7" borderId="23" xfId="0" applyNumberFormat="1" applyFont="1" applyFill="1" applyBorder="1" applyAlignment="1">
      <alignment horizontal="center" vertical="top" wrapText="1"/>
    </xf>
    <xf numFmtId="166" fontId="2" fillId="0" borderId="6" xfId="0" applyNumberFormat="1" applyFont="1" applyFill="1" applyBorder="1" applyAlignment="1">
      <alignment horizontal="center" vertical="top"/>
    </xf>
    <xf numFmtId="166" fontId="2" fillId="7" borderId="92" xfId="0" applyNumberFormat="1" applyFont="1" applyFill="1" applyBorder="1" applyAlignment="1">
      <alignment horizontal="center" vertical="top"/>
    </xf>
    <xf numFmtId="166" fontId="2" fillId="7" borderId="44"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2" fillId="7" borderId="6" xfId="0" applyNumberFormat="1" applyFont="1" applyFill="1" applyBorder="1" applyAlignment="1">
      <alignment horizontal="center" vertical="top"/>
    </xf>
    <xf numFmtId="166" fontId="2" fillId="0" borderId="29" xfId="0" applyNumberFormat="1" applyFont="1" applyFill="1" applyBorder="1" applyAlignment="1">
      <alignment vertical="top" wrapText="1"/>
    </xf>
    <xf numFmtId="166" fontId="2" fillId="7" borderId="6" xfId="0" applyNumberFormat="1" applyFont="1" applyFill="1" applyBorder="1" applyAlignment="1">
      <alignment horizontal="center" vertical="top" wrapText="1"/>
    </xf>
    <xf numFmtId="166" fontId="2" fillId="3" borderId="10" xfId="0" applyNumberFormat="1" applyFont="1" applyFill="1" applyBorder="1" applyAlignment="1">
      <alignment horizontal="center" vertical="top"/>
    </xf>
    <xf numFmtId="166" fontId="2" fillId="0" borderId="12" xfId="0" applyNumberFormat="1" applyFont="1" applyFill="1" applyBorder="1" applyAlignment="1">
      <alignment horizontal="left" vertical="top" wrapText="1"/>
    </xf>
    <xf numFmtId="166" fontId="2" fillId="7" borderId="98" xfId="0" applyNumberFormat="1" applyFont="1" applyFill="1" applyBorder="1" applyAlignment="1">
      <alignment horizontal="center" vertical="top"/>
    </xf>
    <xf numFmtId="166" fontId="2" fillId="0" borderId="23" xfId="0" applyNumberFormat="1" applyFont="1" applyFill="1" applyBorder="1" applyAlignment="1">
      <alignment horizontal="center" vertical="top" wrapText="1"/>
    </xf>
    <xf numFmtId="166" fontId="3" fillId="9" borderId="73" xfId="0" applyNumberFormat="1" applyFont="1" applyFill="1" applyBorder="1" applyAlignment="1">
      <alignment horizontal="center" vertical="top"/>
    </xf>
    <xf numFmtId="166" fontId="3" fillId="3" borderId="10" xfId="0" applyNumberFormat="1" applyFont="1" applyFill="1" applyBorder="1" applyAlignment="1">
      <alignment horizontal="center" vertical="top"/>
    </xf>
    <xf numFmtId="166" fontId="2" fillId="0" borderId="16" xfId="0" applyNumberFormat="1" applyFont="1" applyFill="1" applyBorder="1" applyAlignment="1">
      <alignment horizontal="left" vertical="top" wrapText="1"/>
    </xf>
    <xf numFmtId="166" fontId="2" fillId="3" borderId="69" xfId="0" applyNumberFormat="1" applyFont="1" applyFill="1" applyBorder="1" applyAlignment="1">
      <alignment horizontal="center" vertical="top"/>
    </xf>
    <xf numFmtId="166" fontId="2" fillId="3" borderId="12" xfId="0" applyNumberFormat="1" applyFont="1" applyFill="1" applyBorder="1" applyAlignment="1">
      <alignment vertical="top" wrapText="1"/>
    </xf>
    <xf numFmtId="166" fontId="2" fillId="3" borderId="23" xfId="0" applyNumberFormat="1" applyFont="1" applyFill="1" applyBorder="1" applyAlignment="1">
      <alignment horizontal="center" vertical="top"/>
    </xf>
    <xf numFmtId="166" fontId="7" fillId="3" borderId="42" xfId="0" applyNumberFormat="1" applyFont="1" applyFill="1" applyBorder="1" applyAlignment="1">
      <alignment horizontal="left" vertical="top" wrapText="1"/>
    </xf>
    <xf numFmtId="166" fontId="2" fillId="7" borderId="106" xfId="0" applyNumberFormat="1" applyFont="1" applyFill="1" applyBorder="1" applyAlignment="1">
      <alignment horizontal="center" vertical="top"/>
    </xf>
    <xf numFmtId="166" fontId="3" fillId="3" borderId="23" xfId="0" applyNumberFormat="1" applyFont="1" applyFill="1" applyBorder="1" applyAlignment="1">
      <alignment horizontal="center" vertical="top"/>
    </xf>
    <xf numFmtId="166" fontId="2" fillId="7" borderId="10" xfId="0" applyNumberFormat="1" applyFont="1" applyFill="1" applyBorder="1" applyAlignment="1">
      <alignment horizontal="right" vertical="top"/>
    </xf>
    <xf numFmtId="166" fontId="3" fillId="9" borderId="55" xfId="0" applyNumberFormat="1" applyFont="1" applyFill="1" applyBorder="1" applyAlignment="1">
      <alignment horizontal="center" vertical="top"/>
    </xf>
    <xf numFmtId="166" fontId="3" fillId="2" borderId="4" xfId="0" applyNumberFormat="1" applyFont="1" applyFill="1" applyBorder="1" applyAlignment="1">
      <alignment horizontal="center" vertical="top"/>
    </xf>
    <xf numFmtId="166" fontId="2" fillId="7" borderId="69" xfId="0" applyNumberFormat="1" applyFont="1" applyFill="1" applyBorder="1" applyAlignment="1">
      <alignment horizontal="center" vertical="top"/>
    </xf>
    <xf numFmtId="166" fontId="2" fillId="0" borderId="69" xfId="0" applyNumberFormat="1" applyFont="1" applyBorder="1" applyAlignment="1">
      <alignment vertical="top"/>
    </xf>
    <xf numFmtId="166" fontId="2" fillId="0" borderId="34" xfId="0" applyNumberFormat="1" applyFont="1" applyFill="1" applyBorder="1" applyAlignment="1">
      <alignment horizontal="center" vertical="top"/>
    </xf>
    <xf numFmtId="166" fontId="2" fillId="7" borderId="34" xfId="0" applyNumberFormat="1" applyFont="1" applyFill="1" applyBorder="1" applyAlignment="1">
      <alignment horizontal="center" vertical="top"/>
    </xf>
    <xf numFmtId="166" fontId="2" fillId="0" borderId="101" xfId="0" applyNumberFormat="1" applyFont="1" applyFill="1" applyBorder="1" applyAlignment="1">
      <alignment horizontal="center" vertical="top"/>
    </xf>
    <xf numFmtId="166" fontId="2" fillId="7" borderId="85" xfId="0" applyNumberFormat="1" applyFont="1" applyFill="1" applyBorder="1" applyAlignment="1">
      <alignment horizontal="left" vertical="top" wrapText="1"/>
    </xf>
    <xf numFmtId="166" fontId="2" fillId="7" borderId="65" xfId="0" applyNumberFormat="1" applyFont="1" applyFill="1" applyBorder="1" applyAlignment="1">
      <alignment horizontal="center" vertical="top"/>
    </xf>
    <xf numFmtId="166" fontId="2" fillId="7" borderId="50" xfId="0" applyNumberFormat="1" applyFont="1" applyFill="1" applyBorder="1" applyAlignment="1">
      <alignment horizontal="center" vertical="top"/>
    </xf>
    <xf numFmtId="166" fontId="3" fillId="7" borderId="0" xfId="0" applyNumberFormat="1" applyFont="1" applyFill="1" applyBorder="1" applyAlignment="1">
      <alignment horizontal="center" vertical="top"/>
    </xf>
    <xf numFmtId="166" fontId="3" fillId="8" borderId="58" xfId="0" applyNumberFormat="1" applyFont="1" applyFill="1" applyBorder="1" applyAlignment="1">
      <alignment horizontal="center" vertical="top"/>
    </xf>
    <xf numFmtId="166" fontId="3" fillId="9" borderId="56" xfId="0" applyNumberFormat="1" applyFont="1" applyFill="1" applyBorder="1" applyAlignment="1">
      <alignment horizontal="center" vertical="top"/>
    </xf>
    <xf numFmtId="166" fontId="2" fillId="7" borderId="10" xfId="0" applyNumberFormat="1" applyFont="1" applyFill="1" applyBorder="1" applyAlignment="1">
      <alignment horizontal="center" vertical="top"/>
    </xf>
    <xf numFmtId="166" fontId="2" fillId="7" borderId="12" xfId="0" applyNumberFormat="1" applyFont="1" applyFill="1" applyBorder="1" applyAlignment="1">
      <alignment horizontal="left" vertical="top" wrapText="1"/>
    </xf>
    <xf numFmtId="166" fontId="3" fillId="7" borderId="11" xfId="0" applyNumberFormat="1" applyFont="1" applyFill="1" applyBorder="1" applyAlignment="1">
      <alignment vertical="top"/>
    </xf>
    <xf numFmtId="166" fontId="3" fillId="7" borderId="28" xfId="0" applyNumberFormat="1" applyFont="1" applyFill="1" applyBorder="1" applyAlignment="1">
      <alignment vertical="top"/>
    </xf>
    <xf numFmtId="166" fontId="3" fillId="7" borderId="32" xfId="0" applyNumberFormat="1" applyFont="1" applyFill="1" applyBorder="1" applyAlignment="1">
      <alignment horizontal="center" vertical="top"/>
    </xf>
    <xf numFmtId="166" fontId="2" fillId="0" borderId="40" xfId="0" applyNumberFormat="1" applyFont="1" applyFill="1" applyBorder="1" applyAlignment="1">
      <alignment horizontal="center" vertical="top"/>
    </xf>
    <xf numFmtId="166" fontId="3" fillId="7" borderId="13" xfId="0" applyNumberFormat="1" applyFont="1" applyFill="1" applyBorder="1" applyAlignment="1">
      <alignment horizontal="center" vertical="top"/>
    </xf>
    <xf numFmtId="166" fontId="2" fillId="0" borderId="41" xfId="0" applyNumberFormat="1" applyFont="1" applyFill="1" applyBorder="1" applyAlignment="1">
      <alignment horizontal="left" vertical="top" wrapText="1"/>
    </xf>
    <xf numFmtId="166" fontId="2" fillId="7" borderId="0" xfId="0" applyNumberFormat="1" applyFont="1" applyFill="1" applyBorder="1" applyAlignment="1">
      <alignment horizontal="center" vertical="top"/>
    </xf>
    <xf numFmtId="166" fontId="3" fillId="7" borderId="30" xfId="0" applyNumberFormat="1" applyFont="1" applyFill="1" applyBorder="1" applyAlignment="1">
      <alignment vertical="top"/>
    </xf>
    <xf numFmtId="166" fontId="3" fillId="5" borderId="55" xfId="0" applyNumberFormat="1" applyFont="1" applyFill="1" applyBorder="1" applyAlignment="1">
      <alignment horizontal="center" vertical="top"/>
    </xf>
    <xf numFmtId="166" fontId="2" fillId="0" borderId="0" xfId="0" applyNumberFormat="1" applyFont="1" applyFill="1" applyBorder="1" applyAlignment="1">
      <alignment horizontal="center" vertical="top"/>
    </xf>
    <xf numFmtId="3" fontId="2" fillId="7" borderId="87" xfId="0" applyNumberFormat="1" applyFont="1" applyFill="1" applyBorder="1" applyAlignment="1">
      <alignment horizontal="center" vertical="top" wrapText="1"/>
    </xf>
    <xf numFmtId="166" fontId="7" fillId="3" borderId="14" xfId="0" applyNumberFormat="1" applyFont="1" applyFill="1" applyBorder="1" applyAlignment="1">
      <alignment horizontal="left" vertical="top" wrapText="1"/>
    </xf>
    <xf numFmtId="166" fontId="3" fillId="7" borderId="20" xfId="0" applyNumberFormat="1" applyFont="1" applyFill="1" applyBorder="1" applyAlignment="1">
      <alignment horizontal="center" vertical="center"/>
    </xf>
    <xf numFmtId="166" fontId="3" fillId="7" borderId="11" xfId="0" applyNumberFormat="1" applyFont="1" applyFill="1" applyBorder="1" applyAlignment="1">
      <alignment horizontal="center" vertical="center"/>
    </xf>
    <xf numFmtId="166" fontId="4" fillId="0" borderId="13" xfId="0" applyNumberFormat="1" applyFont="1" applyFill="1" applyBorder="1" applyAlignment="1">
      <alignment horizontal="center" vertical="center" textRotation="90" shrinkToFit="1"/>
    </xf>
    <xf numFmtId="166" fontId="4" fillId="3" borderId="13" xfId="0" applyNumberFormat="1" applyFont="1" applyFill="1" applyBorder="1" applyAlignment="1">
      <alignment horizontal="center" vertical="center" textRotation="90" wrapText="1"/>
    </xf>
    <xf numFmtId="166" fontId="3" fillId="7" borderId="20" xfId="0" applyNumberFormat="1" applyFont="1" applyFill="1" applyBorder="1" applyAlignment="1">
      <alignment horizontal="center" vertical="center" wrapText="1"/>
    </xf>
    <xf numFmtId="166" fontId="2" fillId="7" borderId="11" xfId="0" applyNumberFormat="1" applyFont="1" applyFill="1" applyBorder="1" applyAlignment="1">
      <alignment horizontal="left" vertical="center" textRotation="90" wrapText="1"/>
    </xf>
    <xf numFmtId="166" fontId="3" fillId="3" borderId="14" xfId="0" applyNumberFormat="1" applyFont="1" applyFill="1" applyBorder="1" applyAlignment="1">
      <alignment vertical="top" wrapText="1"/>
    </xf>
    <xf numFmtId="166" fontId="6" fillId="7" borderId="14" xfId="0" applyNumberFormat="1" applyFont="1" applyFill="1" applyBorder="1" applyAlignment="1">
      <alignment horizontal="center" vertical="center" textRotation="90" wrapText="1"/>
    </xf>
    <xf numFmtId="166" fontId="11" fillId="7" borderId="25" xfId="0" applyNumberFormat="1" applyFont="1" applyFill="1" applyBorder="1" applyAlignment="1">
      <alignment horizontal="center" vertical="center" wrapText="1"/>
    </xf>
    <xf numFmtId="166" fontId="8" fillId="7" borderId="28" xfId="0" applyNumberFormat="1" applyFont="1" applyFill="1" applyBorder="1" applyAlignment="1">
      <alignment horizontal="center" vertical="center" textRotation="90" wrapText="1"/>
    </xf>
    <xf numFmtId="166" fontId="2" fillId="3" borderId="28" xfId="0" applyNumberFormat="1" applyFont="1" applyFill="1" applyBorder="1" applyAlignment="1">
      <alignment horizontal="center" vertical="top" wrapText="1"/>
    </xf>
    <xf numFmtId="166" fontId="3" fillId="7" borderId="14" xfId="0" applyNumberFormat="1" applyFont="1" applyFill="1" applyBorder="1" applyAlignment="1">
      <alignment vertical="top" wrapText="1"/>
    </xf>
    <xf numFmtId="166" fontId="3" fillId="0" borderId="42" xfId="0" applyNumberFormat="1" applyFont="1" applyBorder="1" applyAlignment="1">
      <alignment horizontal="center" vertical="top"/>
    </xf>
    <xf numFmtId="166" fontId="3" fillId="3" borderId="42" xfId="0" applyNumberFormat="1" applyFont="1" applyFill="1" applyBorder="1" applyAlignment="1">
      <alignment horizontal="center" vertical="top"/>
    </xf>
    <xf numFmtId="166" fontId="3" fillId="0" borderId="15" xfId="0" applyNumberFormat="1" applyFont="1" applyFill="1" applyBorder="1" applyAlignment="1">
      <alignment horizontal="center" vertical="top" wrapText="1"/>
    </xf>
    <xf numFmtId="166" fontId="2" fillId="7" borderId="49" xfId="0" applyNumberFormat="1" applyFont="1" applyFill="1" applyBorder="1" applyAlignment="1">
      <alignment horizontal="center" vertical="top" wrapText="1"/>
    </xf>
    <xf numFmtId="166" fontId="2" fillId="7" borderId="48" xfId="0" applyNumberFormat="1" applyFont="1" applyFill="1" applyBorder="1" applyAlignment="1">
      <alignment horizontal="center" vertical="top"/>
    </xf>
    <xf numFmtId="166" fontId="2" fillId="7" borderId="19" xfId="0" applyNumberFormat="1" applyFont="1" applyFill="1" applyBorder="1" applyAlignment="1">
      <alignment horizontal="center" vertical="top"/>
    </xf>
    <xf numFmtId="166" fontId="2" fillId="7" borderId="46" xfId="0" applyNumberFormat="1" applyFont="1" applyFill="1" applyBorder="1" applyAlignment="1">
      <alignment horizontal="center" vertical="top"/>
    </xf>
    <xf numFmtId="166" fontId="2" fillId="7" borderId="60" xfId="0" applyNumberFormat="1" applyFont="1" applyFill="1" applyBorder="1" applyAlignment="1">
      <alignment horizontal="center" vertical="top"/>
    </xf>
    <xf numFmtId="166" fontId="2" fillId="7" borderId="107" xfId="0" applyNumberFormat="1" applyFont="1" applyFill="1" applyBorder="1" applyAlignment="1">
      <alignment horizontal="center" vertical="top"/>
    </xf>
    <xf numFmtId="166" fontId="2" fillId="0" borderId="76" xfId="0" applyNumberFormat="1" applyFont="1" applyBorder="1" applyAlignment="1">
      <alignment horizontal="center" vertical="top"/>
    </xf>
    <xf numFmtId="166" fontId="2" fillId="3" borderId="65" xfId="0" applyNumberFormat="1" applyFont="1" applyFill="1" applyBorder="1" applyAlignment="1">
      <alignment horizontal="center" vertical="top"/>
    </xf>
    <xf numFmtId="166" fontId="2" fillId="7" borderId="65" xfId="0" applyNumberFormat="1" applyFont="1" applyFill="1" applyBorder="1" applyAlignment="1">
      <alignment horizontal="center" vertical="top" wrapText="1"/>
    </xf>
    <xf numFmtId="166" fontId="2" fillId="7" borderId="13" xfId="0" applyNumberFormat="1" applyFont="1" applyFill="1" applyBorder="1" applyAlignment="1">
      <alignment horizontal="center" vertical="center" textRotation="90" wrapText="1"/>
    </xf>
    <xf numFmtId="166" fontId="2" fillId="7" borderId="37" xfId="0" applyNumberFormat="1" applyFont="1" applyFill="1" applyBorder="1" applyAlignment="1">
      <alignment horizontal="center" vertical="top"/>
    </xf>
    <xf numFmtId="166" fontId="2" fillId="7" borderId="7" xfId="0" applyNumberFormat="1" applyFont="1" applyFill="1" applyBorder="1" applyAlignment="1">
      <alignment horizontal="center" vertical="top"/>
    </xf>
    <xf numFmtId="166" fontId="2" fillId="7" borderId="29" xfId="0" applyNumberFormat="1" applyFont="1" applyFill="1" applyBorder="1" applyAlignment="1">
      <alignment horizontal="center" vertical="top"/>
    </xf>
    <xf numFmtId="166" fontId="2" fillId="7" borderId="85" xfId="0" applyNumberFormat="1" applyFont="1" applyFill="1" applyBorder="1" applyAlignment="1">
      <alignment horizontal="center" vertical="top"/>
    </xf>
    <xf numFmtId="166" fontId="2" fillId="7" borderId="12" xfId="0" applyNumberFormat="1" applyFont="1" applyFill="1" applyBorder="1" applyAlignment="1">
      <alignment horizontal="center" vertical="top"/>
    </xf>
    <xf numFmtId="166" fontId="2" fillId="7" borderId="80" xfId="0" applyNumberFormat="1" applyFont="1" applyFill="1" applyBorder="1" applyAlignment="1">
      <alignment horizontal="center" vertical="top"/>
    </xf>
    <xf numFmtId="166" fontId="2" fillId="7" borderId="101" xfId="0" applyNumberFormat="1" applyFont="1" applyFill="1" applyBorder="1" applyAlignment="1">
      <alignment horizontal="center" vertical="top"/>
    </xf>
    <xf numFmtId="166" fontId="3" fillId="8" borderId="67" xfId="0" applyNumberFormat="1" applyFont="1" applyFill="1" applyBorder="1" applyAlignment="1">
      <alignment horizontal="center" vertical="top"/>
    </xf>
    <xf numFmtId="166" fontId="8" fillId="7" borderId="19" xfId="0" applyNumberFormat="1" applyFont="1" applyFill="1" applyBorder="1" applyAlignment="1">
      <alignment horizontal="center" vertical="center" textRotation="90" wrapText="1"/>
    </xf>
    <xf numFmtId="166" fontId="2" fillId="7" borderId="48" xfId="0" applyNumberFormat="1" applyFont="1" applyFill="1" applyBorder="1" applyAlignment="1">
      <alignment horizontal="center" vertical="center" textRotation="90" wrapText="1"/>
    </xf>
    <xf numFmtId="166" fontId="3" fillId="2" borderId="24" xfId="0" applyNumberFormat="1" applyFont="1" applyFill="1" applyBorder="1" applyAlignment="1">
      <alignment horizontal="center" vertical="top"/>
    </xf>
    <xf numFmtId="166" fontId="3" fillId="9" borderId="67" xfId="0" applyNumberFormat="1" applyFont="1" applyFill="1" applyBorder="1" applyAlignment="1">
      <alignment horizontal="center" vertical="top"/>
    </xf>
    <xf numFmtId="166" fontId="3" fillId="5" borderId="24" xfId="0" applyNumberFormat="1" applyFont="1" applyFill="1" applyBorder="1" applyAlignment="1">
      <alignment horizontal="center" vertical="top"/>
    </xf>
    <xf numFmtId="166" fontId="2" fillId="7" borderId="50" xfId="0" applyNumberFormat="1" applyFont="1" applyFill="1" applyBorder="1" applyAlignment="1">
      <alignment vertical="top"/>
    </xf>
    <xf numFmtId="166" fontId="2" fillId="7" borderId="102"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166" fontId="2" fillId="3" borderId="35" xfId="0" applyNumberFormat="1" applyFont="1" applyFill="1" applyBorder="1" applyAlignment="1">
      <alignment vertical="top" wrapText="1"/>
    </xf>
    <xf numFmtId="166" fontId="2" fillId="0" borderId="65" xfId="0" applyNumberFormat="1" applyFont="1" applyBorder="1" applyAlignment="1">
      <alignment horizontal="center" vertical="top"/>
    </xf>
    <xf numFmtId="166" fontId="2" fillId="7" borderId="69" xfId="0" applyNumberFormat="1" applyFont="1" applyFill="1" applyBorder="1" applyAlignment="1">
      <alignment vertical="top"/>
    </xf>
    <xf numFmtId="166" fontId="2" fillId="0" borderId="50" xfId="0" applyNumberFormat="1" applyFont="1" applyFill="1" applyBorder="1" applyAlignment="1">
      <alignment horizontal="center" vertical="top"/>
    </xf>
    <xf numFmtId="166" fontId="3" fillId="8" borderId="9" xfId="0" applyNumberFormat="1" applyFont="1" applyFill="1" applyBorder="1" applyAlignment="1">
      <alignment horizontal="center" vertical="top"/>
    </xf>
    <xf numFmtId="166" fontId="2" fillId="7" borderId="76" xfId="0" applyNumberFormat="1" applyFont="1" applyFill="1" applyBorder="1" applyAlignment="1">
      <alignment horizontal="center" vertical="top"/>
    </xf>
    <xf numFmtId="166" fontId="3" fillId="0" borderId="0" xfId="0" applyNumberFormat="1" applyFont="1" applyFill="1" applyBorder="1" applyAlignment="1">
      <alignment horizontal="center" vertical="top" wrapText="1"/>
    </xf>
    <xf numFmtId="166" fontId="2" fillId="2" borderId="32" xfId="0" applyNumberFormat="1" applyFont="1" applyFill="1" applyBorder="1" applyAlignment="1">
      <alignment horizontal="center" vertical="top" wrapText="1"/>
    </xf>
    <xf numFmtId="0" fontId="21" fillId="0" borderId="0" xfId="0" applyFont="1"/>
    <xf numFmtId="0" fontId="2" fillId="0" borderId="2" xfId="0" applyFont="1" applyBorder="1" applyAlignment="1">
      <alignment horizontal="center" vertical="center" textRotation="90" wrapText="1"/>
    </xf>
    <xf numFmtId="0" fontId="2" fillId="0" borderId="64" xfId="0" applyFont="1" applyBorder="1" applyAlignment="1">
      <alignment horizontal="center" vertical="center" textRotation="90"/>
    </xf>
    <xf numFmtId="0" fontId="2" fillId="0" borderId="3" xfId="0" applyFont="1" applyBorder="1" applyAlignment="1">
      <alignment horizontal="center" vertical="center" textRotation="90"/>
    </xf>
    <xf numFmtId="166" fontId="2" fillId="3" borderId="76" xfId="0" applyNumberFormat="1" applyFont="1" applyFill="1" applyBorder="1" applyAlignment="1">
      <alignment horizontal="center" vertical="top"/>
    </xf>
    <xf numFmtId="166" fontId="2" fillId="0" borderId="28" xfId="0" applyNumberFormat="1" applyFont="1" applyBorder="1" applyAlignment="1">
      <alignment horizontal="center" vertical="top"/>
    </xf>
    <xf numFmtId="166" fontId="2" fillId="7" borderId="81" xfId="0" applyNumberFormat="1" applyFont="1" applyFill="1" applyBorder="1" applyAlignment="1">
      <alignment horizontal="center" vertical="top"/>
    </xf>
    <xf numFmtId="166" fontId="2" fillId="3" borderId="28" xfId="0" applyNumberFormat="1" applyFont="1" applyFill="1" applyBorder="1" applyAlignment="1">
      <alignment horizontal="center" vertical="top"/>
    </xf>
    <xf numFmtId="3" fontId="2" fillId="7" borderId="49" xfId="0" applyNumberFormat="1" applyFont="1" applyFill="1" applyBorder="1" applyAlignment="1">
      <alignment horizontal="center" vertical="top"/>
    </xf>
    <xf numFmtId="3" fontId="2" fillId="7" borderId="35" xfId="0" applyNumberFormat="1" applyFont="1" applyFill="1" applyBorder="1" applyAlignment="1">
      <alignment horizontal="center" vertical="top" wrapText="1"/>
    </xf>
    <xf numFmtId="3" fontId="2" fillId="0" borderId="14" xfId="0" applyNumberFormat="1" applyFont="1" applyFill="1" applyBorder="1" applyAlignment="1">
      <alignment horizontal="center" vertical="top" wrapText="1"/>
    </xf>
    <xf numFmtId="3" fontId="6" fillId="7" borderId="28" xfId="0" applyNumberFormat="1" applyFont="1" applyFill="1" applyBorder="1" applyAlignment="1">
      <alignment horizontal="center" vertical="center" wrapText="1"/>
    </xf>
    <xf numFmtId="0" fontId="2" fillId="0" borderId="65" xfId="0" applyFont="1" applyBorder="1" applyAlignment="1">
      <alignment horizontal="center" vertical="top"/>
    </xf>
    <xf numFmtId="3" fontId="2" fillId="7" borderId="93" xfId="0" applyNumberFormat="1" applyFont="1" applyFill="1" applyBorder="1" applyAlignment="1">
      <alignment horizontal="center" vertical="top"/>
    </xf>
    <xf numFmtId="166" fontId="2" fillId="7" borderId="20" xfId="0" applyNumberFormat="1" applyFont="1" applyFill="1" applyBorder="1" applyAlignment="1">
      <alignment vertical="top"/>
    </xf>
    <xf numFmtId="166" fontId="2" fillId="7" borderId="47" xfId="0" applyNumberFormat="1" applyFont="1" applyFill="1" applyBorder="1" applyAlignment="1">
      <alignment vertical="top"/>
    </xf>
    <xf numFmtId="166" fontId="2" fillId="7" borderId="6" xfId="0" applyNumberFormat="1" applyFont="1" applyFill="1" applyBorder="1" applyAlignment="1">
      <alignment vertical="top"/>
    </xf>
    <xf numFmtId="166" fontId="2" fillId="7" borderId="11" xfId="0" applyNumberFormat="1" applyFont="1" applyFill="1" applyBorder="1" applyAlignment="1">
      <alignment vertical="top"/>
    </xf>
    <xf numFmtId="166" fontId="2" fillId="0" borderId="12" xfId="0" applyNumberFormat="1" applyFont="1" applyFill="1" applyBorder="1" applyAlignment="1">
      <alignment vertical="top" wrapText="1"/>
    </xf>
    <xf numFmtId="166" fontId="2" fillId="7" borderId="34" xfId="0" applyNumberFormat="1" applyFont="1" applyFill="1" applyBorder="1" applyAlignment="1">
      <alignment vertical="top"/>
    </xf>
    <xf numFmtId="166" fontId="2" fillId="7" borderId="34" xfId="0" applyNumberFormat="1" applyFont="1" applyFill="1" applyBorder="1" applyAlignment="1">
      <alignment vertical="top" wrapText="1"/>
    </xf>
    <xf numFmtId="166" fontId="2" fillId="7" borderId="54" xfId="0" applyNumberFormat="1" applyFont="1" applyFill="1" applyBorder="1" applyAlignment="1">
      <alignment horizontal="center" vertical="top"/>
    </xf>
    <xf numFmtId="166" fontId="2" fillId="0" borderId="23" xfId="1" applyNumberFormat="1" applyFont="1" applyFill="1" applyBorder="1" applyAlignment="1">
      <alignment horizontal="center" vertical="top" wrapText="1"/>
    </xf>
    <xf numFmtId="166" fontId="2" fillId="0" borderId="50" xfId="0" applyNumberFormat="1" applyFont="1" applyBorder="1" applyAlignment="1">
      <alignment vertical="top"/>
    </xf>
    <xf numFmtId="166" fontId="2" fillId="0" borderId="13" xfId="0" applyNumberFormat="1" applyFont="1" applyBorder="1" applyAlignment="1">
      <alignment vertical="top"/>
    </xf>
    <xf numFmtId="3" fontId="2" fillId="7" borderId="81" xfId="0" applyNumberFormat="1" applyFont="1" applyFill="1" applyBorder="1" applyAlignment="1">
      <alignment horizontal="center" vertical="top"/>
    </xf>
    <xf numFmtId="166" fontId="2" fillId="3" borderId="54" xfId="0" applyNumberFormat="1" applyFont="1" applyFill="1" applyBorder="1" applyAlignment="1">
      <alignment horizontal="center" vertical="top"/>
    </xf>
    <xf numFmtId="166" fontId="2" fillId="7" borderId="96" xfId="0" applyNumberFormat="1" applyFont="1" applyFill="1" applyBorder="1" applyAlignment="1">
      <alignment horizontal="center" vertical="top"/>
    </xf>
    <xf numFmtId="166" fontId="3" fillId="8" borderId="66" xfId="0" applyNumberFormat="1" applyFont="1" applyFill="1" applyBorder="1" applyAlignment="1">
      <alignment horizontal="center" vertical="top"/>
    </xf>
    <xf numFmtId="166" fontId="2" fillId="7" borderId="25" xfId="0" applyNumberFormat="1" applyFont="1" applyFill="1" applyBorder="1" applyAlignment="1">
      <alignment horizontal="center" vertical="top"/>
    </xf>
    <xf numFmtId="166" fontId="3" fillId="8" borderId="2" xfId="0" applyNumberFormat="1" applyFont="1" applyFill="1" applyBorder="1" applyAlignment="1">
      <alignment horizontal="center" vertical="top"/>
    </xf>
    <xf numFmtId="166" fontId="3" fillId="8" borderId="32" xfId="0" applyNumberFormat="1" applyFont="1" applyFill="1" applyBorder="1" applyAlignment="1">
      <alignment horizontal="center" vertical="top"/>
    </xf>
    <xf numFmtId="166" fontId="2" fillId="7" borderId="40" xfId="0" applyNumberFormat="1" applyFont="1" applyFill="1" applyBorder="1" applyAlignment="1">
      <alignment horizontal="center" vertical="top"/>
    </xf>
    <xf numFmtId="166" fontId="2" fillId="7" borderId="57" xfId="0" applyNumberFormat="1" applyFont="1" applyFill="1" applyBorder="1" applyAlignment="1">
      <alignment horizontal="center" vertical="top"/>
    </xf>
    <xf numFmtId="166" fontId="2" fillId="7" borderId="30" xfId="0" applyNumberFormat="1" applyFont="1" applyFill="1" applyBorder="1" applyAlignment="1">
      <alignment horizontal="center" vertical="top"/>
    </xf>
    <xf numFmtId="166" fontId="2" fillId="7" borderId="14" xfId="0" applyNumberFormat="1" applyFont="1" applyFill="1" applyBorder="1" applyAlignment="1">
      <alignment horizontal="center" vertical="top"/>
    </xf>
    <xf numFmtId="3" fontId="6" fillId="7" borderId="93" xfId="0" applyNumberFormat="1" applyFont="1" applyFill="1" applyBorder="1" applyAlignment="1">
      <alignment horizontal="center" vertical="center" wrapText="1"/>
    </xf>
    <xf numFmtId="166" fontId="2" fillId="7" borderId="13" xfId="0" applyNumberFormat="1" applyFont="1" applyFill="1" applyBorder="1" applyAlignment="1">
      <alignment horizontal="center" vertical="top"/>
    </xf>
    <xf numFmtId="166" fontId="2" fillId="7" borderId="97" xfId="0" applyNumberFormat="1" applyFont="1" applyFill="1" applyBorder="1" applyAlignment="1">
      <alignment horizontal="center" vertical="top"/>
    </xf>
    <xf numFmtId="166" fontId="2" fillId="0" borderId="86" xfId="0" applyNumberFormat="1" applyFont="1" applyFill="1" applyBorder="1" applyAlignment="1">
      <alignment horizontal="center" vertical="top"/>
    </xf>
    <xf numFmtId="49" fontId="2" fillId="7" borderId="86" xfId="0" applyNumberFormat="1" applyFont="1" applyFill="1" applyBorder="1" applyAlignment="1">
      <alignment horizontal="center" vertical="top"/>
    </xf>
    <xf numFmtId="3" fontId="6" fillId="7" borderId="49" xfId="0" applyNumberFormat="1" applyFont="1" applyFill="1" applyBorder="1" applyAlignment="1">
      <alignment horizontal="center" vertical="top" wrapText="1"/>
    </xf>
    <xf numFmtId="166" fontId="8" fillId="7" borderId="20" xfId="0" applyNumberFormat="1" applyFont="1" applyFill="1" applyBorder="1" applyAlignment="1">
      <alignment horizontal="center" vertical="center" textRotation="90" wrapText="1"/>
    </xf>
    <xf numFmtId="166" fontId="2" fillId="0" borderId="8" xfId="0" applyNumberFormat="1" applyFont="1" applyFill="1" applyBorder="1" applyAlignment="1">
      <alignment horizontal="center" vertical="top"/>
    </xf>
    <xf numFmtId="0" fontId="2" fillId="7" borderId="85" xfId="0" applyFont="1" applyFill="1" applyBorder="1" applyAlignment="1">
      <alignment vertical="top" wrapText="1"/>
    </xf>
    <xf numFmtId="166" fontId="2" fillId="7" borderId="39" xfId="0" applyNumberFormat="1" applyFont="1" applyFill="1" applyBorder="1" applyAlignment="1">
      <alignment horizontal="center" vertical="top"/>
    </xf>
    <xf numFmtId="49" fontId="2" fillId="7" borderId="49" xfId="0" applyNumberFormat="1" applyFont="1" applyFill="1" applyBorder="1" applyAlignment="1">
      <alignment horizontal="center" vertical="top"/>
    </xf>
    <xf numFmtId="166" fontId="6" fillId="7" borderId="30" xfId="0" applyNumberFormat="1" applyFont="1" applyFill="1" applyBorder="1" applyAlignment="1">
      <alignment horizontal="center" vertical="top" wrapText="1"/>
    </xf>
    <xf numFmtId="3" fontId="2" fillId="7" borderId="84" xfId="0" applyNumberFormat="1" applyFont="1" applyFill="1" applyBorder="1" applyAlignment="1">
      <alignment horizontal="center" vertical="top"/>
    </xf>
    <xf numFmtId="166" fontId="2" fillId="7" borderId="28" xfId="0" applyNumberFormat="1" applyFont="1" applyFill="1" applyBorder="1" applyAlignment="1">
      <alignment vertical="top"/>
    </xf>
    <xf numFmtId="166" fontId="2" fillId="7" borderId="65" xfId="0" applyNumberFormat="1" applyFont="1" applyFill="1" applyBorder="1" applyAlignment="1">
      <alignment vertical="top"/>
    </xf>
    <xf numFmtId="166" fontId="2" fillId="7" borderId="54" xfId="0" applyNumberFormat="1" applyFont="1" applyFill="1" applyBorder="1" applyAlignment="1">
      <alignment vertical="top"/>
    </xf>
    <xf numFmtId="0" fontId="4" fillId="0" borderId="11" xfId="0" applyFont="1" applyFill="1" applyBorder="1" applyAlignment="1">
      <alignment horizontal="center" vertical="center" textRotation="90" wrapText="1"/>
    </xf>
    <xf numFmtId="3" fontId="2" fillId="7" borderId="108" xfId="0" applyNumberFormat="1" applyFont="1" applyFill="1" applyBorder="1" applyAlignment="1">
      <alignment horizontal="center" vertical="top"/>
    </xf>
    <xf numFmtId="166" fontId="3" fillId="8" borderId="73" xfId="0" applyNumberFormat="1" applyFont="1" applyFill="1" applyBorder="1" applyAlignment="1">
      <alignment horizontal="center" vertical="top"/>
    </xf>
    <xf numFmtId="3" fontId="6" fillId="7" borderId="18" xfId="0" applyNumberFormat="1" applyFont="1" applyFill="1" applyBorder="1" applyAlignment="1">
      <alignment horizontal="center" vertical="top" wrapText="1"/>
    </xf>
    <xf numFmtId="166" fontId="2" fillId="0" borderId="26" xfId="0" applyNumberFormat="1" applyFont="1" applyBorder="1" applyAlignment="1">
      <alignment horizontal="center" vertical="center" wrapText="1"/>
    </xf>
    <xf numFmtId="166" fontId="7" fillId="3" borderId="35" xfId="0" applyNumberFormat="1" applyFont="1" applyFill="1" applyBorder="1" applyAlignment="1">
      <alignment horizontal="left" vertical="top" wrapText="1"/>
    </xf>
    <xf numFmtId="166" fontId="2" fillId="7" borderId="29" xfId="0" applyNumberFormat="1" applyFont="1" applyFill="1" applyBorder="1" applyAlignment="1">
      <alignment vertical="top" wrapText="1"/>
    </xf>
    <xf numFmtId="166" fontId="3" fillId="2" borderId="9" xfId="0" applyNumberFormat="1" applyFont="1" applyFill="1" applyBorder="1" applyAlignment="1">
      <alignment horizontal="center" vertical="top"/>
    </xf>
    <xf numFmtId="166" fontId="2" fillId="7" borderId="44" xfId="0" applyNumberFormat="1" applyFont="1" applyFill="1" applyBorder="1" applyAlignment="1">
      <alignment vertical="top"/>
    </xf>
    <xf numFmtId="3" fontId="13" fillId="7" borderId="81" xfId="0" applyNumberFormat="1" applyFont="1" applyFill="1" applyBorder="1" applyAlignment="1">
      <alignment horizontal="center" vertical="top"/>
    </xf>
    <xf numFmtId="166" fontId="3" fillId="8" borderId="62" xfId="0" applyNumberFormat="1" applyFont="1" applyFill="1" applyBorder="1" applyAlignment="1">
      <alignment horizontal="center" vertical="top"/>
    </xf>
    <xf numFmtId="166" fontId="2" fillId="7" borderId="85" xfId="0" applyNumberFormat="1" applyFont="1" applyFill="1" applyBorder="1" applyAlignment="1">
      <alignment vertical="top" wrapText="1"/>
    </xf>
    <xf numFmtId="166" fontId="3" fillId="8" borderId="3" xfId="0" applyNumberFormat="1" applyFont="1" applyFill="1" applyBorder="1" applyAlignment="1">
      <alignment horizontal="center" vertical="top"/>
    </xf>
    <xf numFmtId="166" fontId="2" fillId="7" borderId="45" xfId="0" applyNumberFormat="1" applyFont="1" applyFill="1" applyBorder="1" applyAlignment="1">
      <alignment horizontal="center" vertical="top"/>
    </xf>
    <xf numFmtId="166" fontId="2" fillId="7" borderId="52" xfId="0" applyNumberFormat="1" applyFont="1" applyFill="1" applyBorder="1" applyAlignment="1">
      <alignment horizontal="center" vertical="top"/>
    </xf>
    <xf numFmtId="49" fontId="3" fillId="7" borderId="11" xfId="0" applyNumberFormat="1" applyFont="1" applyFill="1" applyBorder="1" applyAlignment="1">
      <alignment vertical="top"/>
    </xf>
    <xf numFmtId="166" fontId="3" fillId="7" borderId="49" xfId="0" applyNumberFormat="1" applyFont="1" applyFill="1" applyBorder="1" applyAlignment="1">
      <alignment vertical="top"/>
    </xf>
    <xf numFmtId="166" fontId="3" fillId="7" borderId="42" xfId="0" applyNumberFormat="1" applyFont="1" applyFill="1" applyBorder="1" applyAlignment="1">
      <alignment vertical="top" wrapText="1"/>
    </xf>
    <xf numFmtId="166" fontId="3" fillId="7" borderId="20" xfId="0" applyNumberFormat="1" applyFont="1" applyFill="1" applyBorder="1" applyAlignment="1">
      <alignment vertical="top"/>
    </xf>
    <xf numFmtId="166" fontId="2" fillId="7" borderId="93" xfId="0" applyNumberFormat="1" applyFont="1" applyFill="1" applyBorder="1" applyAlignment="1">
      <alignment vertical="top" wrapText="1"/>
    </xf>
    <xf numFmtId="166" fontId="2" fillId="7" borderId="42" xfId="0" applyNumberFormat="1" applyFont="1" applyFill="1" applyBorder="1" applyAlignment="1">
      <alignment horizontal="center" vertical="top"/>
    </xf>
    <xf numFmtId="166" fontId="2" fillId="7" borderId="26" xfId="0" applyNumberFormat="1" applyFont="1" applyFill="1" applyBorder="1" applyAlignment="1">
      <alignment horizontal="center" vertical="top"/>
    </xf>
    <xf numFmtId="166" fontId="2" fillId="7" borderId="11" xfId="0" applyNumberFormat="1" applyFont="1" applyFill="1" applyBorder="1" applyAlignment="1">
      <alignment horizontal="center" vertical="top"/>
    </xf>
    <xf numFmtId="166" fontId="3" fillId="7" borderId="76" xfId="0" applyNumberFormat="1" applyFont="1" applyFill="1" applyBorder="1" applyAlignment="1">
      <alignment horizontal="center" vertical="top"/>
    </xf>
    <xf numFmtId="166" fontId="7" fillId="0" borderId="49" xfId="0" applyNumberFormat="1" applyFont="1" applyFill="1" applyBorder="1" applyAlignment="1">
      <alignment horizontal="left" vertical="top" wrapText="1"/>
    </xf>
    <xf numFmtId="166" fontId="2" fillId="7" borderId="27" xfId="0" applyNumberFormat="1" applyFont="1" applyFill="1" applyBorder="1" applyAlignment="1">
      <alignment horizontal="center" vertical="center" wrapText="1"/>
    </xf>
    <xf numFmtId="166" fontId="2" fillId="3" borderId="15" xfId="0" applyNumberFormat="1" applyFont="1" applyFill="1" applyBorder="1" applyAlignment="1">
      <alignment horizontal="center" vertical="center" wrapText="1"/>
    </xf>
    <xf numFmtId="166" fontId="2" fillId="7" borderId="80" xfId="0" applyNumberFormat="1" applyFont="1" applyFill="1" applyBorder="1" applyAlignment="1">
      <alignment vertical="top" wrapText="1"/>
    </xf>
    <xf numFmtId="166" fontId="2" fillId="0" borderId="15" xfId="0" applyNumberFormat="1" applyFont="1" applyBorder="1" applyAlignment="1">
      <alignment horizontal="center" vertical="top" wrapText="1"/>
    </xf>
    <xf numFmtId="166" fontId="2" fillId="7" borderId="86" xfId="0" applyNumberFormat="1" applyFont="1" applyFill="1" applyBorder="1" applyAlignment="1">
      <alignment vertical="top" wrapText="1"/>
    </xf>
    <xf numFmtId="166" fontId="2" fillId="7" borderId="9" xfId="0" applyNumberFormat="1" applyFont="1" applyFill="1" applyBorder="1" applyAlignment="1">
      <alignment vertical="top" wrapText="1"/>
    </xf>
    <xf numFmtId="166" fontId="2" fillId="7" borderId="30" xfId="0" applyNumberFormat="1" applyFont="1" applyFill="1" applyBorder="1" applyAlignment="1">
      <alignment vertical="top" wrapText="1"/>
    </xf>
    <xf numFmtId="166" fontId="2" fillId="3" borderId="6" xfId="0" applyNumberFormat="1" applyFont="1" applyFill="1" applyBorder="1" applyAlignment="1">
      <alignment horizontal="center" vertical="top"/>
    </xf>
    <xf numFmtId="166" fontId="2" fillId="7" borderId="5" xfId="0" applyNumberFormat="1" applyFont="1" applyFill="1" applyBorder="1" applyAlignment="1">
      <alignment vertical="top" wrapText="1"/>
    </xf>
    <xf numFmtId="166" fontId="2" fillId="7" borderId="78" xfId="0" applyNumberFormat="1" applyFont="1" applyFill="1" applyBorder="1" applyAlignment="1">
      <alignment horizontal="left" vertical="top" wrapText="1"/>
    </xf>
    <xf numFmtId="166" fontId="2" fillId="3" borderId="0"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49" fontId="3" fillId="9" borderId="16" xfId="0" applyNumberFormat="1" applyFont="1" applyFill="1" applyBorder="1" applyAlignment="1">
      <alignment horizontal="center" vertical="top"/>
    </xf>
    <xf numFmtId="0" fontId="2" fillId="0" borderId="32" xfId="0" applyFont="1" applyBorder="1" applyAlignment="1">
      <alignment horizontal="center" vertical="top"/>
    </xf>
    <xf numFmtId="166" fontId="3" fillId="9" borderId="7"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3" borderId="11" xfId="0" applyNumberFormat="1" applyFont="1" applyFill="1" applyBorder="1" applyAlignment="1">
      <alignment horizontal="center" vertical="center" textRotation="90" wrapText="1"/>
    </xf>
    <xf numFmtId="166" fontId="3" fillId="7" borderId="25" xfId="0" applyNumberFormat="1" applyFont="1" applyFill="1" applyBorder="1" applyAlignment="1">
      <alignment vertical="top"/>
    </xf>
    <xf numFmtId="166" fontId="2" fillId="0" borderId="90" xfId="0" applyNumberFormat="1" applyFont="1" applyFill="1" applyBorder="1" applyAlignment="1">
      <alignment horizontal="center" vertical="top"/>
    </xf>
    <xf numFmtId="166" fontId="18" fillId="7" borderId="29" xfId="0" applyNumberFormat="1" applyFont="1" applyFill="1" applyBorder="1" applyAlignment="1">
      <alignment vertical="top" wrapText="1"/>
    </xf>
    <xf numFmtId="166" fontId="18" fillId="7" borderId="6" xfId="0" applyNumberFormat="1" applyFont="1" applyFill="1" applyBorder="1" applyAlignment="1">
      <alignment horizontal="center" vertical="top"/>
    </xf>
    <xf numFmtId="3" fontId="2" fillId="0"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3" fillId="0" borderId="35" xfId="0" applyNumberFormat="1" applyFont="1" applyFill="1" applyBorder="1" applyAlignment="1">
      <alignment horizontal="center" vertical="top" wrapText="1"/>
    </xf>
    <xf numFmtId="166" fontId="2" fillId="7" borderId="8" xfId="0" applyNumberFormat="1" applyFont="1" applyFill="1" applyBorder="1" applyAlignment="1">
      <alignment horizontal="center" vertical="top" wrapText="1"/>
    </xf>
    <xf numFmtId="166" fontId="3" fillId="0" borderId="49" xfId="0" applyNumberFormat="1" applyFont="1" applyBorder="1" applyAlignment="1">
      <alignment horizontal="center" vertical="top"/>
    </xf>
    <xf numFmtId="166" fontId="3" fillId="7" borderId="49" xfId="0" applyNumberFormat="1" applyFont="1" applyFill="1" applyBorder="1" applyAlignment="1">
      <alignment horizontal="center" vertical="top" wrapText="1"/>
    </xf>
    <xf numFmtId="166" fontId="3" fillId="7" borderId="25" xfId="0" applyNumberFormat="1" applyFont="1" applyFill="1" applyBorder="1" applyAlignment="1">
      <alignment horizontal="center" vertical="top"/>
    </xf>
    <xf numFmtId="166" fontId="3" fillId="7" borderId="42" xfId="0" applyNumberFormat="1" applyFont="1" applyFill="1" applyBorder="1" applyAlignment="1">
      <alignment horizontal="center" vertical="top"/>
    </xf>
    <xf numFmtId="166" fontId="3" fillId="3" borderId="35" xfId="0" applyNumberFormat="1" applyFont="1" applyFill="1" applyBorder="1" applyAlignment="1">
      <alignment horizontal="center" vertical="top" wrapText="1"/>
    </xf>
    <xf numFmtId="3" fontId="2" fillId="0" borderId="25"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3" fillId="2" borderId="57" xfId="0" applyNumberFormat="1" applyFont="1" applyFill="1" applyBorder="1" applyAlignment="1">
      <alignment horizontal="center" vertical="top"/>
    </xf>
    <xf numFmtId="166" fontId="3" fillId="2" borderId="42" xfId="0" applyNumberFormat="1" applyFont="1" applyFill="1" applyBorder="1" applyAlignment="1">
      <alignment horizontal="center" vertical="top"/>
    </xf>
    <xf numFmtId="166" fontId="3" fillId="2" borderId="75"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5" xfId="0" applyNumberFormat="1" applyFont="1" applyFill="1" applyBorder="1" applyAlignment="1">
      <alignment horizontal="center" vertical="top"/>
    </xf>
    <xf numFmtId="166" fontId="3" fillId="8" borderId="59" xfId="0" applyNumberFormat="1" applyFont="1" applyFill="1" applyBorder="1" applyAlignment="1">
      <alignment horizontal="center" vertical="top"/>
    </xf>
    <xf numFmtId="166" fontId="4" fillId="3" borderId="11" xfId="0" applyNumberFormat="1" applyFont="1" applyFill="1" applyBorder="1" applyAlignment="1">
      <alignment horizontal="center" vertical="center" textRotation="90" wrapText="1"/>
    </xf>
    <xf numFmtId="166" fontId="3" fillId="0" borderId="35" xfId="0" applyNumberFormat="1" applyFont="1" applyBorder="1" applyAlignment="1">
      <alignment horizontal="center" vertical="top"/>
    </xf>
    <xf numFmtId="166" fontId="2" fillId="8" borderId="23" xfId="0" applyNumberFormat="1" applyFont="1" applyFill="1" applyBorder="1" applyAlignment="1">
      <alignment horizontal="center" vertical="top"/>
    </xf>
    <xf numFmtId="166" fontId="3" fillId="5" borderId="23" xfId="0" applyNumberFormat="1" applyFont="1" applyFill="1" applyBorder="1" applyAlignment="1">
      <alignment horizontal="center" vertical="top"/>
    </xf>
    <xf numFmtId="166" fontId="3" fillId="4" borderId="67" xfId="0" applyNumberFormat="1" applyFont="1" applyFill="1" applyBorder="1" applyAlignment="1">
      <alignment horizontal="center" vertical="top"/>
    </xf>
    <xf numFmtId="166" fontId="2" fillId="3" borderId="44" xfId="0" applyNumberFormat="1" applyFont="1" applyFill="1" applyBorder="1" applyAlignment="1">
      <alignment horizontal="center" vertical="top"/>
    </xf>
    <xf numFmtId="49" fontId="2" fillId="0" borderId="86" xfId="0" applyNumberFormat="1" applyFont="1" applyFill="1" applyBorder="1" applyAlignment="1">
      <alignment horizontal="center" vertical="top"/>
    </xf>
    <xf numFmtId="49" fontId="2" fillId="7" borderId="20" xfId="0" applyNumberFormat="1" applyFont="1" applyFill="1" applyBorder="1" applyAlignment="1">
      <alignment horizontal="left" vertical="top" wrapText="1"/>
    </xf>
    <xf numFmtId="0" fontId="2" fillId="7" borderId="86" xfId="0" applyNumberFormat="1" applyFont="1" applyFill="1" applyBorder="1" applyAlignment="1">
      <alignment horizontal="left" vertical="top" wrapText="1"/>
    </xf>
    <xf numFmtId="0" fontId="2" fillId="7" borderId="7" xfId="0" applyFont="1" applyFill="1" applyBorder="1" applyAlignment="1">
      <alignment vertical="top" wrapText="1"/>
    </xf>
    <xf numFmtId="166" fontId="3" fillId="9" borderId="7"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166" fontId="3" fillId="7" borderId="49" xfId="0" applyNumberFormat="1" applyFont="1" applyFill="1" applyBorder="1" applyAlignment="1">
      <alignment horizontal="center" vertical="top"/>
    </xf>
    <xf numFmtId="166" fontId="3" fillId="0" borderId="49" xfId="0" applyNumberFormat="1" applyFont="1" applyBorder="1" applyAlignment="1">
      <alignment horizontal="center" vertical="top"/>
    </xf>
    <xf numFmtId="166" fontId="3" fillId="7" borderId="49" xfId="0" applyNumberFormat="1" applyFont="1" applyFill="1" applyBorder="1" applyAlignment="1">
      <alignment horizontal="center" vertical="top" wrapText="1"/>
    </xf>
    <xf numFmtId="166" fontId="8" fillId="7" borderId="11" xfId="0" applyNumberFormat="1" applyFont="1" applyFill="1" applyBorder="1" applyAlignment="1">
      <alignment horizontal="center" vertical="center" textRotation="90" wrapText="1"/>
    </xf>
    <xf numFmtId="166" fontId="2" fillId="7" borderId="37" xfId="0" applyNumberFormat="1" applyFont="1" applyFill="1" applyBorder="1" applyAlignment="1">
      <alignment vertical="top" wrapText="1"/>
    </xf>
    <xf numFmtId="166" fontId="2" fillId="7" borderId="7" xfId="0" applyNumberFormat="1" applyFont="1" applyFill="1" applyBorder="1" applyAlignment="1">
      <alignment vertical="top" wrapText="1"/>
    </xf>
    <xf numFmtId="166" fontId="3" fillId="9" borderId="5"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2" fillId="7" borderId="28" xfId="0" applyNumberFormat="1" applyFont="1" applyFill="1" applyBorder="1" applyAlignment="1">
      <alignment horizontal="left" vertical="top" wrapText="1"/>
    </xf>
    <xf numFmtId="166" fontId="2" fillId="7" borderId="99" xfId="0" applyNumberFormat="1" applyFont="1" applyFill="1" applyBorder="1" applyAlignment="1">
      <alignment horizontal="left" vertical="top" wrapText="1"/>
    </xf>
    <xf numFmtId="166" fontId="2" fillId="7" borderId="18" xfId="0" applyNumberFormat="1" applyFont="1" applyFill="1" applyBorder="1" applyAlignment="1">
      <alignment horizontal="center" vertical="top" wrapText="1"/>
    </xf>
    <xf numFmtId="166" fontId="3" fillId="7" borderId="20"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3" fillId="7" borderId="1" xfId="0" applyNumberFormat="1" applyFont="1" applyFill="1" applyBorder="1" applyAlignment="1">
      <alignment horizontal="center" vertical="top" wrapText="1"/>
    </xf>
    <xf numFmtId="166" fontId="8" fillId="7" borderId="27" xfId="0" applyNumberFormat="1" applyFont="1" applyFill="1" applyBorder="1" applyAlignment="1">
      <alignment horizontal="center" vertical="center" wrapText="1"/>
    </xf>
    <xf numFmtId="166" fontId="2" fillId="0" borderId="18" xfId="0" applyNumberFormat="1" applyFont="1" applyBorder="1" applyAlignment="1">
      <alignment horizontal="center" vertical="top" wrapText="1"/>
    </xf>
    <xf numFmtId="166" fontId="8" fillId="7" borderId="49" xfId="0" applyNumberFormat="1" applyFont="1" applyFill="1" applyBorder="1" applyAlignment="1">
      <alignment vertical="top" wrapText="1"/>
    </xf>
    <xf numFmtId="166" fontId="8" fillId="7" borderId="18" xfId="0" applyNumberFormat="1" applyFont="1" applyFill="1" applyBorder="1" applyAlignment="1">
      <alignment horizontal="center" wrapText="1"/>
    </xf>
    <xf numFmtId="0" fontId="2" fillId="7" borderId="50" xfId="0" applyFont="1" applyFill="1" applyBorder="1" applyAlignment="1">
      <alignment horizontal="center" vertical="top"/>
    </xf>
    <xf numFmtId="3" fontId="6" fillId="7" borderId="76" xfId="0" applyNumberFormat="1" applyFont="1" applyFill="1" applyBorder="1" applyAlignment="1">
      <alignment horizontal="center" vertical="center" wrapText="1"/>
    </xf>
    <xf numFmtId="3" fontId="6" fillId="7" borderId="27" xfId="0" applyNumberFormat="1" applyFont="1" applyFill="1" applyBorder="1" applyAlignment="1">
      <alignment horizontal="center" vertical="center" wrapText="1"/>
    </xf>
    <xf numFmtId="3" fontId="2" fillId="0" borderId="15" xfId="0" applyNumberFormat="1" applyFont="1" applyFill="1" applyBorder="1" applyAlignment="1">
      <alignment horizontal="center" vertical="top" wrapText="1"/>
    </xf>
    <xf numFmtId="3" fontId="2" fillId="7" borderId="0" xfId="0" applyNumberFormat="1" applyFont="1" applyFill="1" applyBorder="1" applyAlignment="1">
      <alignment horizontal="center" vertical="top"/>
    </xf>
    <xf numFmtId="3" fontId="2" fillId="7" borderId="76" xfId="0" applyNumberFormat="1" applyFont="1" applyFill="1" applyBorder="1" applyAlignment="1">
      <alignment horizontal="center" vertical="top"/>
    </xf>
    <xf numFmtId="166" fontId="6" fillId="0" borderId="18" xfId="0" applyNumberFormat="1" applyFont="1" applyFill="1" applyBorder="1" applyAlignment="1">
      <alignment horizontal="center" vertical="top" wrapText="1"/>
    </xf>
    <xf numFmtId="166" fontId="2" fillId="7" borderId="37" xfId="0" applyNumberFormat="1" applyFont="1" applyFill="1" applyBorder="1" applyAlignment="1">
      <alignment vertical="top"/>
    </xf>
    <xf numFmtId="49" fontId="2" fillId="7" borderId="28" xfId="0" applyNumberFormat="1" applyFont="1" applyFill="1" applyBorder="1" applyAlignment="1">
      <alignment horizontal="center" vertical="top"/>
    </xf>
    <xf numFmtId="49" fontId="2" fillId="7" borderId="35" xfId="0" applyNumberFormat="1" applyFont="1" applyFill="1" applyBorder="1" applyAlignment="1">
      <alignment horizontal="center" vertical="top"/>
    </xf>
    <xf numFmtId="166" fontId="2" fillId="7" borderId="21" xfId="0" applyNumberFormat="1" applyFont="1" applyFill="1" applyBorder="1" applyAlignment="1">
      <alignment vertical="top"/>
    </xf>
    <xf numFmtId="0" fontId="2" fillId="7" borderId="49" xfId="0" applyNumberFormat="1" applyFont="1" applyFill="1" applyBorder="1" applyAlignment="1">
      <alignment horizontal="center" vertical="top" wrapText="1"/>
    </xf>
    <xf numFmtId="0" fontId="2" fillId="7" borderId="99" xfId="0" applyNumberFormat="1" applyFont="1" applyFill="1" applyBorder="1" applyAlignment="1">
      <alignment horizontal="center" vertical="top" wrapText="1"/>
    </xf>
    <xf numFmtId="3" fontId="2" fillId="7" borderId="97" xfId="0" applyNumberFormat="1" applyFont="1" applyFill="1" applyBorder="1" applyAlignment="1">
      <alignment horizontal="center" vertical="top"/>
    </xf>
    <xf numFmtId="3" fontId="2" fillId="7" borderId="107" xfId="0" applyNumberFormat="1" applyFont="1" applyFill="1" applyBorder="1" applyAlignment="1">
      <alignment horizontal="center" vertical="top"/>
    </xf>
    <xf numFmtId="3" fontId="2" fillId="7" borderId="115" xfId="0" applyNumberFormat="1" applyFont="1" applyFill="1" applyBorder="1" applyAlignment="1">
      <alignment horizontal="center" vertical="top"/>
    </xf>
    <xf numFmtId="3" fontId="2" fillId="7" borderId="114" xfId="0" applyNumberFormat="1" applyFont="1" applyFill="1" applyBorder="1" applyAlignment="1">
      <alignment horizontal="center" vertical="top"/>
    </xf>
    <xf numFmtId="166" fontId="2" fillId="7" borderId="88" xfId="0" applyNumberFormat="1" applyFont="1" applyFill="1" applyBorder="1" applyAlignment="1">
      <alignment horizontal="center" vertical="top"/>
    </xf>
    <xf numFmtId="166" fontId="2" fillId="7" borderId="15" xfId="0" applyNumberFormat="1" applyFont="1" applyFill="1" applyBorder="1" applyAlignment="1">
      <alignment horizontal="center" vertical="top"/>
    </xf>
    <xf numFmtId="3" fontId="2" fillId="0" borderId="47" xfId="0" applyNumberFormat="1" applyFont="1" applyFill="1" applyBorder="1" applyAlignment="1">
      <alignment horizontal="center" vertical="top"/>
    </xf>
    <xf numFmtId="166" fontId="8" fillId="7" borderId="46" xfId="0" applyNumberFormat="1" applyFont="1" applyFill="1" applyBorder="1" applyAlignment="1">
      <alignment horizontal="center" vertical="center" textRotation="90" wrapText="1"/>
    </xf>
    <xf numFmtId="166" fontId="2" fillId="0" borderId="20"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49" fontId="3" fillId="9" borderId="34" xfId="0" applyNumberFormat="1" applyFont="1" applyFill="1" applyBorder="1" applyAlignment="1">
      <alignment horizontal="center" vertical="top"/>
    </xf>
    <xf numFmtId="3" fontId="2" fillId="3" borderId="0" xfId="0" applyNumberFormat="1" applyFont="1" applyFill="1" applyBorder="1" applyAlignment="1">
      <alignment horizontal="left" vertical="top" wrapText="1"/>
    </xf>
    <xf numFmtId="3" fontId="2" fillId="7" borderId="18" xfId="0" applyNumberFormat="1" applyFont="1" applyFill="1" applyBorder="1" applyAlignment="1">
      <alignment horizontal="center" vertical="top" wrapText="1"/>
    </xf>
    <xf numFmtId="0" fontId="2" fillId="7" borderId="34" xfId="0" applyFont="1" applyFill="1" applyBorder="1" applyAlignment="1">
      <alignment vertical="top"/>
    </xf>
    <xf numFmtId="0" fontId="2" fillId="7" borderId="11" xfId="0" applyFont="1" applyFill="1" applyBorder="1" applyAlignment="1">
      <alignment vertical="top"/>
    </xf>
    <xf numFmtId="0" fontId="2" fillId="7" borderId="49" xfId="0" applyFont="1" applyFill="1" applyBorder="1" applyAlignment="1">
      <alignment vertical="top"/>
    </xf>
    <xf numFmtId="0" fontId="2" fillId="7" borderId="21" xfId="0" applyFont="1" applyFill="1" applyBorder="1" applyAlignment="1">
      <alignment vertical="top"/>
    </xf>
    <xf numFmtId="0" fontId="2" fillId="7" borderId="18" xfId="0" applyFont="1" applyFill="1" applyBorder="1" applyAlignment="1">
      <alignment vertical="top"/>
    </xf>
    <xf numFmtId="0" fontId="2" fillId="7" borderId="28" xfId="0" applyFont="1" applyFill="1" applyBorder="1" applyAlignment="1">
      <alignment vertical="top"/>
    </xf>
    <xf numFmtId="0" fontId="2" fillId="7" borderId="35" xfId="0" applyFont="1" applyFill="1" applyBorder="1" applyAlignment="1">
      <alignment vertical="top"/>
    </xf>
    <xf numFmtId="166" fontId="2" fillId="7" borderId="34" xfId="0" applyNumberFormat="1" applyFont="1" applyFill="1" applyBorder="1" applyAlignment="1">
      <alignment horizontal="center" vertical="top" wrapText="1"/>
    </xf>
    <xf numFmtId="166" fontId="2" fillId="7" borderId="44" xfId="0" applyNumberFormat="1" applyFont="1" applyFill="1" applyBorder="1" applyAlignment="1">
      <alignment horizontal="center" vertical="top" wrapText="1"/>
    </xf>
    <xf numFmtId="166" fontId="3" fillId="7" borderId="44" xfId="0" applyNumberFormat="1" applyFont="1" applyFill="1" applyBorder="1" applyAlignment="1">
      <alignment horizontal="center" vertical="top"/>
    </xf>
    <xf numFmtId="166" fontId="2" fillId="3" borderId="40" xfId="0" applyNumberFormat="1" applyFont="1" applyFill="1" applyBorder="1" applyAlignment="1">
      <alignment horizontal="center" vertical="top"/>
    </xf>
    <xf numFmtId="166" fontId="2" fillId="7" borderId="5" xfId="0" applyNumberFormat="1" applyFont="1" applyFill="1" applyBorder="1" applyAlignment="1">
      <alignment horizontal="left" vertical="top" wrapText="1"/>
    </xf>
    <xf numFmtId="166" fontId="2" fillId="7" borderId="0" xfId="0" applyNumberFormat="1" applyFont="1" applyFill="1" applyBorder="1" applyAlignment="1">
      <alignment horizontal="center" vertical="top" wrapText="1"/>
    </xf>
    <xf numFmtId="3" fontId="2" fillId="7" borderId="25" xfId="0" applyNumberFormat="1" applyFont="1" applyFill="1" applyBorder="1" applyAlignment="1">
      <alignment horizontal="center" vertical="top" wrapText="1"/>
    </xf>
    <xf numFmtId="3" fontId="2" fillId="0" borderId="79" xfId="0" applyNumberFormat="1" applyFont="1" applyFill="1" applyBorder="1" applyAlignment="1">
      <alignment horizontal="center" vertical="top"/>
    </xf>
    <xf numFmtId="166" fontId="3" fillId="3" borderId="74" xfId="0" applyNumberFormat="1" applyFont="1" applyFill="1" applyBorder="1" applyAlignment="1">
      <alignment horizontal="center" vertical="top"/>
    </xf>
    <xf numFmtId="166" fontId="2" fillId="7" borderId="76" xfId="1" applyNumberFormat="1" applyFont="1" applyFill="1" applyBorder="1" applyAlignment="1">
      <alignment horizontal="center" vertical="top"/>
    </xf>
    <xf numFmtId="166" fontId="2" fillId="7" borderId="23" xfId="1" applyNumberFormat="1" applyFont="1" applyFill="1" applyBorder="1" applyAlignment="1">
      <alignment horizontal="center" vertical="top"/>
    </xf>
    <xf numFmtId="166" fontId="3" fillId="2" borderId="56" xfId="0" applyNumberFormat="1" applyFont="1" applyFill="1" applyBorder="1" applyAlignment="1">
      <alignment horizontal="center" vertical="top"/>
    </xf>
    <xf numFmtId="49" fontId="2" fillId="7" borderId="18" xfId="0" applyNumberFormat="1" applyFont="1" applyFill="1" applyBorder="1" applyAlignment="1">
      <alignment horizontal="center" vertical="top"/>
    </xf>
    <xf numFmtId="0" fontId="2" fillId="7" borderId="0" xfId="0" applyFont="1" applyFill="1" applyBorder="1" applyAlignment="1">
      <alignment vertical="top"/>
    </xf>
    <xf numFmtId="166" fontId="2" fillId="3" borderId="52" xfId="0" applyNumberFormat="1" applyFont="1" applyFill="1" applyBorder="1" applyAlignment="1">
      <alignment horizontal="center" vertical="top"/>
    </xf>
    <xf numFmtId="166" fontId="2" fillId="7" borderId="5" xfId="0" applyNumberFormat="1" applyFont="1" applyFill="1" applyBorder="1" applyAlignment="1">
      <alignment horizontal="center" vertical="top"/>
    </xf>
    <xf numFmtId="166" fontId="2" fillId="7" borderId="51" xfId="0" applyNumberFormat="1" applyFont="1" applyFill="1" applyBorder="1" applyAlignment="1">
      <alignment horizontal="center" vertical="top"/>
    </xf>
    <xf numFmtId="166" fontId="3" fillId="8" borderId="33" xfId="0" applyNumberFormat="1" applyFont="1" applyFill="1" applyBorder="1" applyAlignment="1">
      <alignment horizontal="center" vertical="top"/>
    </xf>
    <xf numFmtId="3" fontId="2" fillId="7" borderId="99" xfId="0" applyNumberFormat="1" applyFont="1" applyFill="1" applyBorder="1" applyAlignment="1">
      <alignment horizontal="center" vertical="top"/>
    </xf>
    <xf numFmtId="166" fontId="2" fillId="7" borderId="25" xfId="0" applyNumberFormat="1" applyFont="1" applyFill="1" applyBorder="1" applyAlignment="1">
      <alignment horizontal="center" vertical="center" textRotation="90" wrapText="1"/>
    </xf>
    <xf numFmtId="166" fontId="3" fillId="7" borderId="49" xfId="0" applyNumberFormat="1" applyFont="1" applyFill="1" applyBorder="1" applyAlignment="1">
      <alignment vertical="top" wrapText="1"/>
    </xf>
    <xf numFmtId="166" fontId="3" fillId="7" borderId="35" xfId="0" applyNumberFormat="1" applyFont="1" applyFill="1" applyBorder="1" applyAlignment="1">
      <alignment vertical="top" wrapText="1"/>
    </xf>
    <xf numFmtId="49" fontId="2" fillId="7" borderId="20" xfId="0" applyNumberFormat="1" applyFont="1" applyFill="1" applyBorder="1" applyAlignment="1">
      <alignment horizontal="center" vertical="top"/>
    </xf>
    <xf numFmtId="166" fontId="2" fillId="0" borderId="81" xfId="0" applyNumberFormat="1" applyFont="1" applyFill="1" applyBorder="1" applyAlignment="1">
      <alignment horizontal="center" vertical="top"/>
    </xf>
    <xf numFmtId="166" fontId="2" fillId="3" borderId="28" xfId="0" applyNumberFormat="1" applyFont="1" applyFill="1" applyBorder="1" applyAlignment="1">
      <alignment vertical="top" wrapText="1"/>
    </xf>
    <xf numFmtId="166" fontId="3" fillId="7" borderId="1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166" fontId="3" fillId="8" borderId="57"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166" fontId="8" fillId="8" borderId="59" xfId="0" applyNumberFormat="1" applyFont="1" applyFill="1" applyBorder="1" applyAlignment="1">
      <alignment vertical="top" wrapText="1"/>
    </xf>
    <xf numFmtId="166" fontId="11" fillId="8" borderId="59" xfId="0" applyNumberFormat="1" applyFont="1" applyFill="1" applyBorder="1" applyAlignment="1">
      <alignment horizontal="center" vertical="center" textRotation="90" wrapText="1"/>
    </xf>
    <xf numFmtId="166" fontId="3" fillId="8" borderId="11" xfId="0" applyNumberFormat="1" applyFont="1" applyFill="1" applyBorder="1" applyAlignment="1">
      <alignment horizontal="center" vertical="top"/>
    </xf>
    <xf numFmtId="166" fontId="3" fillId="8" borderId="25" xfId="0" applyNumberFormat="1" applyFont="1" applyFill="1" applyBorder="1" applyAlignment="1">
      <alignment horizontal="center" vertical="top"/>
    </xf>
    <xf numFmtId="166" fontId="18" fillId="8" borderId="66" xfId="0" applyNumberFormat="1" applyFont="1" applyFill="1" applyBorder="1" applyAlignment="1">
      <alignment horizontal="left" vertical="top" wrapText="1"/>
    </xf>
    <xf numFmtId="3" fontId="2" fillId="8" borderId="59" xfId="0" applyNumberFormat="1" applyFont="1" applyFill="1" applyBorder="1" applyAlignment="1">
      <alignment horizontal="center" vertical="top"/>
    </xf>
    <xf numFmtId="3" fontId="6" fillId="8" borderId="59" xfId="0" applyNumberFormat="1" applyFont="1" applyFill="1" applyBorder="1" applyAlignment="1">
      <alignment horizontal="center" vertical="top" wrapText="1"/>
    </xf>
    <xf numFmtId="3" fontId="6" fillId="8" borderId="62" xfId="0" applyNumberFormat="1" applyFont="1" applyFill="1" applyBorder="1" applyAlignment="1">
      <alignment horizontal="center" vertical="top" wrapText="1"/>
    </xf>
    <xf numFmtId="166" fontId="3" fillId="8" borderId="11" xfId="0" applyNumberFormat="1" applyFont="1" applyFill="1" applyBorder="1" applyAlignment="1">
      <alignment vertical="top"/>
    </xf>
    <xf numFmtId="166" fontId="3" fillId="8" borderId="49" xfId="0" applyNumberFormat="1" applyFont="1" applyFill="1" applyBorder="1" applyAlignment="1">
      <alignment vertical="top"/>
    </xf>
    <xf numFmtId="49" fontId="3" fillId="7" borderId="11" xfId="0" applyNumberFormat="1" applyFont="1" applyFill="1" applyBorder="1" applyAlignment="1">
      <alignment horizontal="center" vertical="top" wrapText="1"/>
    </xf>
    <xf numFmtId="49" fontId="3" fillId="7" borderId="28" xfId="0" applyNumberFormat="1" applyFont="1" applyFill="1" applyBorder="1" applyAlignment="1">
      <alignment horizontal="center" vertical="top" wrapText="1"/>
    </xf>
    <xf numFmtId="166" fontId="3" fillId="8" borderId="0" xfId="0" applyNumberFormat="1" applyFont="1" applyFill="1" applyBorder="1" applyAlignment="1">
      <alignment horizontal="center" vertical="top"/>
    </xf>
    <xf numFmtId="166" fontId="3" fillId="8" borderId="49" xfId="0" applyNumberFormat="1" applyFont="1" applyFill="1" applyBorder="1" applyAlignment="1">
      <alignment horizontal="center" vertical="top"/>
    </xf>
    <xf numFmtId="166" fontId="3" fillId="8" borderId="25" xfId="0" applyNumberFormat="1" applyFont="1" applyFill="1" applyBorder="1" applyAlignment="1">
      <alignment vertical="top"/>
    </xf>
    <xf numFmtId="166" fontId="8" fillId="8" borderId="32" xfId="0" applyNumberFormat="1" applyFont="1" applyFill="1" applyBorder="1" applyAlignment="1">
      <alignment vertical="top" wrapText="1"/>
    </xf>
    <xf numFmtId="166" fontId="11" fillId="8" borderId="32" xfId="0" applyNumberFormat="1" applyFont="1" applyFill="1" applyBorder="1" applyAlignment="1">
      <alignment horizontal="center" vertical="center" textRotation="90" wrapText="1"/>
    </xf>
    <xf numFmtId="166" fontId="18" fillId="8" borderId="73" xfId="0" applyNumberFormat="1" applyFont="1" applyFill="1" applyBorder="1" applyAlignment="1">
      <alignment horizontal="left" vertical="top" wrapText="1"/>
    </xf>
    <xf numFmtId="49" fontId="2" fillId="7" borderId="105" xfId="0" applyNumberFormat="1" applyFont="1" applyFill="1" applyBorder="1" applyAlignment="1">
      <alignment horizontal="center" vertical="top"/>
    </xf>
    <xf numFmtId="166" fontId="2" fillId="7" borderId="60" xfId="0" applyNumberFormat="1" applyFont="1" applyFill="1" applyBorder="1" applyAlignment="1">
      <alignment horizontal="center" vertical="top" wrapText="1"/>
    </xf>
    <xf numFmtId="166" fontId="2" fillId="7" borderId="47" xfId="0" applyNumberFormat="1" applyFont="1" applyFill="1" applyBorder="1" applyAlignment="1">
      <alignment horizontal="center" vertical="top"/>
    </xf>
    <xf numFmtId="166" fontId="2" fillId="7" borderId="11" xfId="0" applyNumberFormat="1" applyFont="1" applyFill="1" applyBorder="1" applyAlignment="1">
      <alignment horizontal="center" vertical="top" wrapText="1"/>
    </xf>
    <xf numFmtId="166" fontId="3" fillId="3" borderId="76" xfId="0" applyNumberFormat="1" applyFont="1" applyFill="1" applyBorder="1" applyAlignment="1">
      <alignment horizontal="center" vertical="top"/>
    </xf>
    <xf numFmtId="166" fontId="3" fillId="3" borderId="28" xfId="0" applyNumberFormat="1" applyFont="1" applyFill="1" applyBorder="1" applyAlignment="1">
      <alignment horizontal="center" vertical="top"/>
    </xf>
    <xf numFmtId="166" fontId="3" fillId="3" borderId="69" xfId="0" applyNumberFormat="1" applyFont="1" applyFill="1" applyBorder="1" applyAlignment="1">
      <alignment horizontal="center" vertical="top"/>
    </xf>
    <xf numFmtId="166" fontId="3" fillId="3" borderId="13" xfId="0" applyNumberFormat="1" applyFont="1" applyFill="1" applyBorder="1" applyAlignment="1">
      <alignment horizontal="center" vertical="top"/>
    </xf>
    <xf numFmtId="166" fontId="2" fillId="7" borderId="50" xfId="0" applyNumberFormat="1" applyFont="1" applyFill="1" applyBorder="1" applyAlignment="1">
      <alignment horizontal="center" vertical="top" wrapText="1"/>
    </xf>
    <xf numFmtId="166" fontId="2" fillId="0" borderId="10" xfId="0" applyNumberFormat="1" applyFont="1" applyBorder="1" applyAlignment="1">
      <alignment horizontal="center" vertical="top"/>
    </xf>
    <xf numFmtId="166" fontId="2" fillId="0" borderId="54" xfId="0" applyNumberFormat="1" applyFont="1" applyBorder="1" applyAlignment="1">
      <alignment horizontal="center" vertical="top"/>
    </xf>
    <xf numFmtId="166" fontId="2" fillId="7" borderId="54" xfId="1" applyNumberFormat="1" applyFont="1" applyFill="1" applyBorder="1" applyAlignment="1">
      <alignment horizontal="center" vertical="top"/>
    </xf>
    <xf numFmtId="166" fontId="2" fillId="7" borderId="28" xfId="1" applyNumberFormat="1" applyFont="1" applyFill="1" applyBorder="1" applyAlignment="1">
      <alignment horizontal="center" vertical="top"/>
    </xf>
    <xf numFmtId="3" fontId="2" fillId="7" borderId="11" xfId="0" applyNumberFormat="1" applyFont="1" applyFill="1" applyBorder="1" applyAlignment="1">
      <alignment horizontal="center" vertical="top" wrapText="1"/>
    </xf>
    <xf numFmtId="3" fontId="2" fillId="7" borderId="49" xfId="0" applyNumberFormat="1" applyFont="1" applyFill="1" applyBorder="1" applyAlignment="1">
      <alignment horizontal="center" vertical="top" wrapText="1"/>
    </xf>
    <xf numFmtId="49" fontId="3" fillId="8" borderId="0" xfId="0" applyNumberFormat="1" applyFont="1" applyFill="1" applyBorder="1" applyAlignment="1">
      <alignment horizontal="center" vertical="top"/>
    </xf>
    <xf numFmtId="49" fontId="3" fillId="8" borderId="32" xfId="0" applyNumberFormat="1" applyFont="1" applyFill="1" applyBorder="1" applyAlignment="1">
      <alignment horizontal="center" vertical="top"/>
    </xf>
    <xf numFmtId="0" fontId="0" fillId="8" borderId="32" xfId="0" applyFill="1" applyBorder="1" applyAlignment="1">
      <alignment vertical="top" wrapText="1"/>
    </xf>
    <xf numFmtId="0" fontId="0" fillId="8" borderId="32" xfId="0" applyFill="1" applyBorder="1" applyAlignment="1">
      <alignment horizontal="center" textRotation="90" wrapText="1"/>
    </xf>
    <xf numFmtId="0" fontId="0" fillId="8" borderId="32" xfId="0" applyFont="1" applyFill="1" applyBorder="1" applyAlignment="1">
      <alignment horizontal="center" vertical="top"/>
    </xf>
    <xf numFmtId="166" fontId="8" fillId="8" borderId="73" xfId="0" applyNumberFormat="1" applyFont="1" applyFill="1" applyBorder="1" applyAlignment="1">
      <alignment vertical="top" wrapText="1"/>
    </xf>
    <xf numFmtId="166" fontId="2" fillId="8" borderId="59" xfId="0" applyNumberFormat="1" applyFont="1" applyFill="1" applyBorder="1" applyAlignment="1">
      <alignment horizontal="center" vertical="top"/>
    </xf>
    <xf numFmtId="166" fontId="18" fillId="7" borderId="7" xfId="0" applyNumberFormat="1" applyFont="1" applyFill="1" applyBorder="1" applyAlignment="1">
      <alignment horizontal="center" vertical="top"/>
    </xf>
    <xf numFmtId="166" fontId="4" fillId="3" borderId="35"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7"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3" fillId="2" borderId="49"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166" fontId="2" fillId="7" borderId="60" xfId="0" applyNumberFormat="1" applyFont="1" applyFill="1" applyBorder="1" applyAlignment="1">
      <alignment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166" fontId="3" fillId="8" borderId="49"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2" fillId="7" borderId="20" xfId="0" applyNumberFormat="1" applyFont="1" applyFill="1" applyBorder="1" applyAlignment="1">
      <alignment horizontal="center" vertical="center" textRotation="90" wrapText="1"/>
    </xf>
    <xf numFmtId="166" fontId="2" fillId="7" borderId="11" xfId="0" applyNumberFormat="1" applyFont="1" applyFill="1" applyBorder="1" applyAlignment="1">
      <alignment horizontal="center" vertical="center" textRotation="90" wrapText="1"/>
    </xf>
    <xf numFmtId="166" fontId="2" fillId="3" borderId="49" xfId="0" applyNumberFormat="1" applyFont="1" applyFill="1" applyBorder="1" applyAlignment="1">
      <alignment vertical="top" wrapText="1"/>
    </xf>
    <xf numFmtId="49" fontId="3" fillId="7"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8" fillId="7" borderId="18" xfId="0" applyNumberFormat="1" applyFont="1" applyFill="1" applyBorder="1" applyAlignment="1">
      <alignment horizontal="center" vertical="center" wrapText="1"/>
    </xf>
    <xf numFmtId="166" fontId="8" fillId="7" borderId="18"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166" fontId="2" fillId="0" borderId="37" xfId="0" applyNumberFormat="1" applyFont="1" applyFill="1" applyBorder="1" applyAlignment="1">
      <alignment horizontal="left" vertical="top" wrapText="1"/>
    </xf>
    <xf numFmtId="49" fontId="3" fillId="7" borderId="49" xfId="0" applyNumberFormat="1" applyFont="1" applyFill="1" applyBorder="1" applyAlignment="1">
      <alignment horizontal="center" vertical="top"/>
    </xf>
    <xf numFmtId="3" fontId="2" fillId="0" borderId="97" xfId="0" applyNumberFormat="1" applyFont="1" applyFill="1" applyBorder="1" applyAlignment="1">
      <alignment horizontal="center" vertical="top"/>
    </xf>
    <xf numFmtId="166" fontId="18" fillId="7" borderId="29" xfId="0" applyNumberFormat="1" applyFont="1" applyFill="1" applyBorder="1" applyAlignment="1">
      <alignment horizontal="left" vertical="top" wrapText="1"/>
    </xf>
    <xf numFmtId="166" fontId="2" fillId="7" borderId="104" xfId="0" applyNumberFormat="1" applyFont="1" applyFill="1" applyBorder="1" applyAlignment="1">
      <alignment horizontal="center" vertical="top"/>
    </xf>
    <xf numFmtId="166" fontId="3" fillId="0" borderId="14" xfId="0" applyNumberFormat="1" applyFont="1" applyBorder="1" applyAlignment="1">
      <alignment horizontal="center" vertical="top"/>
    </xf>
    <xf numFmtId="166" fontId="2" fillId="7" borderId="15" xfId="0" applyNumberFormat="1" applyFont="1" applyFill="1" applyBorder="1" applyAlignment="1">
      <alignment horizontal="center" vertical="top" wrapText="1"/>
    </xf>
    <xf numFmtId="166" fontId="6" fillId="7" borderId="107" xfId="0" applyNumberFormat="1" applyFont="1" applyFill="1" applyBorder="1" applyAlignment="1">
      <alignment horizontal="center" vertical="top"/>
    </xf>
    <xf numFmtId="166" fontId="2" fillId="7" borderId="82" xfId="0" applyNumberFormat="1" applyFont="1" applyFill="1" applyBorder="1" applyAlignment="1">
      <alignment horizontal="center" vertical="top"/>
    </xf>
    <xf numFmtId="166" fontId="2" fillId="0" borderId="97" xfId="0" applyNumberFormat="1" applyFont="1" applyFill="1" applyBorder="1" applyAlignment="1">
      <alignment horizontal="center" vertical="top"/>
    </xf>
    <xf numFmtId="166" fontId="2" fillId="0" borderId="28" xfId="0" applyNumberFormat="1" applyFont="1" applyFill="1" applyBorder="1" applyAlignment="1">
      <alignment vertical="top" wrapText="1"/>
    </xf>
    <xf numFmtId="166" fontId="2" fillId="7" borderId="1" xfId="0" applyNumberFormat="1" applyFont="1" applyFill="1" applyBorder="1" applyAlignment="1">
      <alignment vertical="top" wrapText="1"/>
    </xf>
    <xf numFmtId="0" fontId="2" fillId="0" borderId="86" xfId="0" applyFont="1" applyBorder="1" applyAlignment="1">
      <alignment vertical="top" wrapText="1"/>
    </xf>
    <xf numFmtId="166" fontId="2" fillId="7" borderId="79" xfId="0" applyNumberFormat="1" applyFont="1" applyFill="1" applyBorder="1" applyAlignment="1">
      <alignment vertical="top" wrapText="1"/>
    </xf>
    <xf numFmtId="0" fontId="2" fillId="0" borderId="86" xfId="0" applyFont="1" applyBorder="1" applyAlignment="1">
      <alignment vertical="top"/>
    </xf>
    <xf numFmtId="166" fontId="2" fillId="7" borderId="69" xfId="0" applyNumberFormat="1" applyFont="1" applyFill="1" applyBorder="1" applyAlignment="1">
      <alignment horizontal="right" vertical="top"/>
    </xf>
    <xf numFmtId="166" fontId="2" fillId="7" borderId="21" xfId="0" applyNumberFormat="1" applyFont="1" applyFill="1" applyBorder="1" applyAlignment="1">
      <alignment horizontal="center" vertical="top"/>
    </xf>
    <xf numFmtId="3" fontId="2" fillId="0" borderId="0" xfId="0" applyNumberFormat="1" applyFont="1" applyFill="1" applyBorder="1" applyAlignment="1">
      <alignment horizontal="center" vertical="top"/>
    </xf>
    <xf numFmtId="3" fontId="2" fillId="0" borderId="93" xfId="0" applyNumberFormat="1" applyFont="1" applyFill="1" applyBorder="1" applyAlignment="1">
      <alignment horizontal="center" vertical="top"/>
    </xf>
    <xf numFmtId="3" fontId="22" fillId="7" borderId="20" xfId="0" applyNumberFormat="1" applyFont="1" applyFill="1" applyBorder="1" applyAlignment="1">
      <alignment horizontal="center" vertical="top"/>
    </xf>
    <xf numFmtId="3" fontId="22" fillId="7" borderId="11" xfId="1"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3" fillId="3" borderId="47" xfId="0" applyNumberFormat="1" applyFont="1" applyFill="1" applyBorder="1" applyAlignment="1">
      <alignment horizontal="center" vertical="top" wrapText="1"/>
    </xf>
    <xf numFmtId="49" fontId="2" fillId="7" borderId="47" xfId="0" applyNumberFormat="1" applyFont="1" applyFill="1" applyBorder="1" applyAlignment="1">
      <alignment horizontal="center" vertical="top"/>
    </xf>
    <xf numFmtId="49" fontId="2" fillId="7" borderId="21" xfId="0" applyNumberFormat="1" applyFont="1" applyFill="1" applyBorder="1" applyAlignment="1">
      <alignment horizontal="center" vertical="top"/>
    </xf>
    <xf numFmtId="49" fontId="2" fillId="7" borderId="111" xfId="0" applyNumberFormat="1" applyFont="1" applyFill="1" applyBorder="1" applyAlignment="1">
      <alignment horizontal="center" vertical="top"/>
    </xf>
    <xf numFmtId="49" fontId="2" fillId="7" borderId="108" xfId="0" applyNumberFormat="1" applyFont="1" applyFill="1" applyBorder="1" applyAlignment="1">
      <alignment horizontal="center" vertical="top"/>
    </xf>
    <xf numFmtId="49" fontId="2" fillId="7" borderId="27" xfId="0" applyNumberFormat="1" applyFont="1" applyFill="1" applyBorder="1" applyAlignment="1">
      <alignment horizontal="center" vertical="top"/>
    </xf>
    <xf numFmtId="0" fontId="27" fillId="7" borderId="11" xfId="0" applyFont="1" applyFill="1" applyBorder="1" applyAlignment="1">
      <alignment horizontal="center" vertical="top" wrapText="1"/>
    </xf>
    <xf numFmtId="3" fontId="28" fillId="7" borderId="86" xfId="0" applyNumberFormat="1" applyFont="1" applyFill="1" applyBorder="1" applyAlignment="1">
      <alignment horizontal="center" vertical="center" wrapText="1"/>
    </xf>
    <xf numFmtId="3" fontId="22" fillId="7" borderId="11" xfId="0" applyNumberFormat="1" applyFont="1" applyFill="1" applyBorder="1" applyAlignment="1">
      <alignment horizontal="center" vertical="top"/>
    </xf>
    <xf numFmtId="3" fontId="22" fillId="7" borderId="49" xfId="0" applyNumberFormat="1" applyFont="1" applyFill="1" applyBorder="1" applyAlignment="1">
      <alignment horizontal="center" vertical="top"/>
    </xf>
    <xf numFmtId="3" fontId="22" fillId="7" borderId="20" xfId="0" applyNumberFormat="1" applyFont="1" applyFill="1" applyBorder="1" applyAlignment="1">
      <alignment horizontal="center" vertical="top" wrapText="1"/>
    </xf>
    <xf numFmtId="3" fontId="22" fillId="7" borderId="11" xfId="0" applyNumberFormat="1" applyFont="1" applyFill="1" applyBorder="1" applyAlignment="1">
      <alignment horizontal="center" vertical="top" wrapText="1"/>
    </xf>
    <xf numFmtId="3" fontId="22" fillId="7" borderId="28" xfId="0" applyNumberFormat="1" applyFont="1" applyFill="1" applyBorder="1" applyAlignment="1">
      <alignment horizontal="center" vertical="top" wrapText="1"/>
    </xf>
    <xf numFmtId="0" fontId="27" fillId="7" borderId="20" xfId="0" applyFont="1" applyFill="1" applyBorder="1" applyAlignment="1">
      <alignment horizontal="center" vertical="top" wrapText="1"/>
    </xf>
    <xf numFmtId="3" fontId="22" fillId="7" borderId="28" xfId="0" applyNumberFormat="1" applyFont="1" applyFill="1" applyBorder="1" applyAlignment="1">
      <alignment horizontal="center" vertical="top"/>
    </xf>
    <xf numFmtId="3" fontId="22" fillId="7" borderId="0" xfId="0" applyNumberFormat="1" applyFont="1" applyFill="1" applyBorder="1" applyAlignment="1">
      <alignment horizontal="center" vertical="top"/>
    </xf>
    <xf numFmtId="166" fontId="18" fillId="3" borderId="29" xfId="0" applyNumberFormat="1" applyFont="1" applyFill="1" applyBorder="1" applyAlignment="1">
      <alignment horizontal="left" vertical="top" wrapText="1"/>
    </xf>
    <xf numFmtId="165" fontId="2" fillId="0" borderId="23" xfId="0" applyNumberFormat="1" applyFont="1" applyBorder="1" applyAlignment="1">
      <alignment horizontal="center"/>
    </xf>
    <xf numFmtId="165" fontId="2" fillId="0" borderId="76" xfId="0" applyNumberFormat="1" applyFont="1" applyBorder="1" applyAlignment="1">
      <alignment horizontal="center"/>
    </xf>
    <xf numFmtId="166" fontId="2" fillId="7" borderId="6" xfId="0" applyNumberFormat="1" applyFont="1" applyFill="1" applyBorder="1" applyAlignment="1">
      <alignment horizontal="center"/>
    </xf>
    <xf numFmtId="166" fontId="2" fillId="7" borderId="11" xfId="0" applyNumberFormat="1" applyFont="1" applyFill="1" applyBorder="1" applyAlignment="1">
      <alignment horizontal="center"/>
    </xf>
    <xf numFmtId="166" fontId="2" fillId="7" borderId="0" xfId="0" applyNumberFormat="1" applyFont="1" applyFill="1" applyBorder="1" applyAlignment="1">
      <alignment horizontal="center"/>
    </xf>
    <xf numFmtId="166" fontId="2" fillId="7" borderId="23" xfId="0" applyNumberFormat="1" applyFont="1" applyFill="1" applyBorder="1" applyAlignment="1">
      <alignment horizontal="center"/>
    </xf>
    <xf numFmtId="166" fontId="2" fillId="7" borderId="28" xfId="0" applyNumberFormat="1" applyFont="1" applyFill="1" applyBorder="1" applyAlignment="1">
      <alignment horizontal="center"/>
    </xf>
    <xf numFmtId="166" fontId="2" fillId="7" borderId="76" xfId="0" applyNumberFormat="1" applyFont="1" applyFill="1" applyBorder="1" applyAlignment="1">
      <alignment horizontal="center"/>
    </xf>
    <xf numFmtId="166" fontId="3" fillId="7" borderId="74" xfId="0" applyNumberFormat="1" applyFont="1" applyFill="1" applyBorder="1" applyAlignment="1">
      <alignment horizontal="center"/>
    </xf>
    <xf numFmtId="166" fontId="3" fillId="7" borderId="10" xfId="0" applyNumberFormat="1" applyFont="1" applyFill="1" applyBorder="1" applyAlignment="1">
      <alignment horizontal="center"/>
    </xf>
    <xf numFmtId="166" fontId="23" fillId="7" borderId="49" xfId="0" applyNumberFormat="1" applyFont="1" applyFill="1" applyBorder="1" applyAlignment="1">
      <alignment horizontal="center" vertical="top"/>
    </xf>
    <xf numFmtId="3" fontId="13" fillId="7" borderId="60" xfId="0" applyNumberFormat="1" applyFont="1" applyFill="1" applyBorder="1" applyAlignment="1">
      <alignment horizontal="center" vertical="top"/>
    </xf>
    <xf numFmtId="3" fontId="13" fillId="7" borderId="18" xfId="0" applyNumberFormat="1" applyFont="1" applyFill="1" applyBorder="1" applyAlignment="1">
      <alignment horizontal="center" vertical="top"/>
    </xf>
    <xf numFmtId="166" fontId="22" fillId="7" borderId="29" xfId="0" applyNumberFormat="1" applyFont="1" applyFill="1" applyBorder="1" applyAlignment="1">
      <alignment vertical="top" wrapText="1"/>
    </xf>
    <xf numFmtId="3" fontId="22" fillId="7" borderId="27" xfId="0" applyNumberFormat="1" applyFont="1" applyFill="1" applyBorder="1" applyAlignment="1">
      <alignment horizontal="center" vertical="top"/>
    </xf>
    <xf numFmtId="3" fontId="6" fillId="7" borderId="11" xfId="0" applyNumberFormat="1" applyFont="1" applyFill="1" applyBorder="1" applyAlignment="1">
      <alignment horizontal="center" vertical="top" wrapText="1"/>
    </xf>
    <xf numFmtId="3" fontId="6" fillId="7" borderId="28" xfId="0" applyNumberFormat="1" applyFont="1" applyFill="1" applyBorder="1" applyAlignment="1">
      <alignment horizontal="center" vertical="top" wrapText="1"/>
    </xf>
    <xf numFmtId="3" fontId="2" fillId="7" borderId="117" xfId="0" applyNumberFormat="1" applyFont="1" applyFill="1" applyBorder="1" applyAlignment="1">
      <alignment horizontal="center" vertical="top"/>
    </xf>
    <xf numFmtId="3" fontId="2" fillId="7" borderId="113"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0" fontId="0" fillId="7" borderId="11" xfId="0" applyFill="1" applyBorder="1" applyAlignment="1">
      <alignment horizontal="left" vertical="top" wrapText="1"/>
    </xf>
    <xf numFmtId="166" fontId="3" fillId="7" borderId="49" xfId="0" applyNumberFormat="1" applyFont="1" applyFill="1" applyBorder="1" applyAlignment="1">
      <alignment horizontal="center" vertical="top"/>
    </xf>
    <xf numFmtId="166" fontId="8" fillId="7" borderId="18" xfId="0" applyNumberFormat="1" applyFont="1" applyFill="1" applyBorder="1" applyAlignment="1">
      <alignment horizontal="center" vertical="top" wrapText="1"/>
    </xf>
    <xf numFmtId="3" fontId="2" fillId="7" borderId="20" xfId="0" applyNumberFormat="1" applyFont="1" applyFill="1" applyBorder="1" applyAlignment="1">
      <alignment horizontal="center" vertical="top"/>
    </xf>
    <xf numFmtId="166" fontId="2" fillId="7" borderId="35" xfId="0" applyNumberFormat="1" applyFont="1" applyFill="1" applyBorder="1" applyAlignment="1">
      <alignment horizontal="left" vertical="top" wrapText="1"/>
    </xf>
    <xf numFmtId="166" fontId="3" fillId="7" borderId="28" xfId="0" applyNumberFormat="1" applyFont="1" applyFill="1" applyBorder="1" applyAlignment="1">
      <alignment horizontal="center" vertical="top"/>
    </xf>
    <xf numFmtId="3" fontId="2" fillId="7" borderId="47"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2" fillId="7" borderId="28" xfId="0" applyNumberFormat="1" applyFont="1" applyFill="1" applyBorder="1" applyAlignment="1">
      <alignment horizontal="center" vertical="center" textRotation="90" wrapText="1"/>
    </xf>
    <xf numFmtId="0" fontId="22" fillId="7" borderId="7" xfId="0" applyFont="1" applyFill="1" applyBorder="1" applyAlignment="1">
      <alignment vertical="top" wrapText="1"/>
    </xf>
    <xf numFmtId="0" fontId="22" fillId="7" borderId="20" xfId="0" applyFont="1" applyFill="1" applyBorder="1" applyAlignment="1">
      <alignment horizontal="center" vertical="top" wrapText="1"/>
    </xf>
    <xf numFmtId="0" fontId="22" fillId="7" borderId="29" xfId="0" applyFont="1" applyFill="1" applyBorder="1" applyAlignment="1">
      <alignment vertical="top" wrapText="1"/>
    </xf>
    <xf numFmtId="0" fontId="22" fillId="7" borderId="28" xfId="0"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6" fillId="7" borderId="21" xfId="0" applyNumberFormat="1" applyFont="1" applyFill="1" applyBorder="1" applyAlignment="1">
      <alignment horizontal="center" vertical="top" wrapText="1"/>
    </xf>
    <xf numFmtId="166" fontId="2" fillId="7" borderId="86" xfId="0" applyNumberFormat="1" applyFont="1" applyFill="1" applyBorder="1" applyAlignment="1">
      <alignment horizontal="left" vertical="top" wrapText="1"/>
    </xf>
    <xf numFmtId="0" fontId="2" fillId="7" borderId="29" xfId="0" applyFont="1" applyFill="1" applyBorder="1" applyAlignment="1">
      <alignment horizontal="left" vertical="top" wrapText="1"/>
    </xf>
    <xf numFmtId="166" fontId="2" fillId="3" borderId="11" xfId="0" applyNumberFormat="1" applyFont="1" applyFill="1" applyBorder="1" applyAlignment="1">
      <alignment horizontal="left" vertical="top" wrapText="1"/>
    </xf>
    <xf numFmtId="166" fontId="3" fillId="7" borderId="23" xfId="0" applyNumberFormat="1" applyFont="1" applyFill="1" applyBorder="1" applyAlignment="1">
      <alignment horizontal="center" vertical="top"/>
    </xf>
    <xf numFmtId="166" fontId="3" fillId="7" borderId="65" xfId="0" applyNumberFormat="1" applyFont="1" applyFill="1" applyBorder="1" applyAlignment="1">
      <alignment horizontal="center" vertical="top"/>
    </xf>
    <xf numFmtId="166" fontId="6" fillId="7" borderId="28" xfId="0" applyNumberFormat="1" applyFont="1" applyFill="1" applyBorder="1" applyAlignment="1">
      <alignment horizontal="left" textRotation="90" wrapText="1"/>
    </xf>
    <xf numFmtId="0" fontId="0" fillId="7" borderId="27" xfId="0" applyFont="1" applyFill="1" applyBorder="1" applyAlignment="1">
      <alignment horizontal="center" vertical="top"/>
    </xf>
    <xf numFmtId="166" fontId="2" fillId="7" borderId="119" xfId="0" applyNumberFormat="1" applyFont="1" applyFill="1" applyBorder="1" applyAlignment="1">
      <alignment horizontal="center" vertical="top"/>
    </xf>
    <xf numFmtId="166" fontId="3" fillId="7" borderId="79" xfId="0" applyNumberFormat="1" applyFont="1" applyFill="1" applyBorder="1" applyAlignment="1">
      <alignment horizontal="center" vertical="top"/>
    </xf>
    <xf numFmtId="166" fontId="11" fillId="7" borderId="11" xfId="0" applyNumberFormat="1" applyFont="1" applyFill="1" applyBorder="1" applyAlignment="1">
      <alignment horizontal="center" vertical="center" wrapText="1"/>
    </xf>
    <xf numFmtId="166" fontId="3" fillId="7" borderId="49" xfId="0" applyNumberFormat="1" applyFont="1" applyFill="1" applyBorder="1" applyAlignment="1">
      <alignment horizontal="center" vertical="top"/>
    </xf>
    <xf numFmtId="166" fontId="2" fillId="7" borderId="18" xfId="0" applyNumberFormat="1" applyFont="1" applyFill="1" applyBorder="1" applyAlignment="1">
      <alignment horizontal="center" vertical="center" wrapText="1"/>
    </xf>
    <xf numFmtId="166" fontId="8" fillId="7" borderId="18" xfId="0" applyNumberFormat="1" applyFont="1" applyFill="1" applyBorder="1" applyAlignment="1">
      <alignment horizontal="center" vertical="center" wrapText="1"/>
    </xf>
    <xf numFmtId="166" fontId="2" fillId="7" borderId="49" xfId="0" applyNumberFormat="1" applyFont="1" applyFill="1" applyBorder="1" applyAlignment="1">
      <alignment vertical="top"/>
    </xf>
    <xf numFmtId="3" fontId="2" fillId="0" borderId="48" xfId="0" applyNumberFormat="1" applyFont="1" applyFill="1" applyBorder="1" applyAlignment="1">
      <alignment horizontal="center" vertical="top"/>
    </xf>
    <xf numFmtId="166" fontId="2" fillId="7" borderId="78" xfId="0" applyNumberFormat="1" applyFont="1" applyFill="1" applyBorder="1" applyAlignment="1">
      <alignment vertical="top" wrapText="1"/>
    </xf>
    <xf numFmtId="49" fontId="29" fillId="7" borderId="28" xfId="0" applyNumberFormat="1" applyFont="1" applyFill="1" applyBorder="1" applyAlignment="1">
      <alignment horizontal="center" vertical="top"/>
    </xf>
    <xf numFmtId="166" fontId="13" fillId="7" borderId="6"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0" fontId="2" fillId="7" borderId="37" xfId="0" applyFont="1" applyFill="1" applyBorder="1" applyAlignment="1">
      <alignment horizontal="left" vertical="top" wrapText="1"/>
    </xf>
    <xf numFmtId="166" fontId="3" fillId="7" borderId="76" xfId="0" applyNumberFormat="1" applyFont="1" applyFill="1" applyBorder="1" applyAlignment="1">
      <alignment horizontal="center" vertical="top" textRotation="90" wrapText="1"/>
    </xf>
    <xf numFmtId="166" fontId="2" fillId="7" borderId="18" xfId="0" applyNumberFormat="1" applyFont="1" applyFill="1" applyBorder="1" applyAlignment="1">
      <alignment horizontal="center" vertical="top" wrapText="1"/>
    </xf>
    <xf numFmtId="166" fontId="3" fillId="2" borderId="11"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83" xfId="0" applyNumberFormat="1" applyFont="1" applyFill="1" applyBorder="1" applyAlignment="1">
      <alignment horizontal="left" vertical="top" wrapText="1"/>
    </xf>
    <xf numFmtId="166" fontId="3" fillId="7" borderId="0" xfId="0" applyNumberFormat="1" applyFont="1" applyFill="1" applyBorder="1" applyAlignment="1">
      <alignment horizontal="center" vertical="top" wrapText="1"/>
    </xf>
    <xf numFmtId="0" fontId="2" fillId="7" borderId="20" xfId="0" applyFont="1" applyFill="1" applyBorder="1" applyAlignment="1">
      <alignment horizontal="center" vertical="center"/>
    </xf>
    <xf numFmtId="0" fontId="2" fillId="7" borderId="20" xfId="0" applyFont="1" applyFill="1" applyBorder="1" applyAlignment="1">
      <alignment horizontal="right" vertical="center"/>
    </xf>
    <xf numFmtId="0" fontId="2" fillId="7" borderId="28" xfId="0" applyFont="1" applyFill="1" applyBorder="1" applyAlignment="1">
      <alignment horizontal="center" vertical="center"/>
    </xf>
    <xf numFmtId="0" fontId="2" fillId="7" borderId="28" xfId="0" applyFont="1" applyFill="1" applyBorder="1" applyAlignment="1">
      <alignment horizontal="right" vertical="center"/>
    </xf>
    <xf numFmtId="49" fontId="2" fillId="7" borderId="0" xfId="0" applyNumberFormat="1" applyFont="1" applyFill="1" applyBorder="1" applyAlignment="1">
      <alignment horizontal="center" vertical="top"/>
    </xf>
    <xf numFmtId="49" fontId="2" fillId="7" borderId="76" xfId="0" applyNumberFormat="1" applyFont="1" applyFill="1" applyBorder="1" applyAlignment="1">
      <alignment horizontal="center" vertical="top"/>
    </xf>
    <xf numFmtId="166" fontId="2" fillId="3" borderId="11" xfId="0" applyNumberFormat="1" applyFont="1" applyFill="1" applyBorder="1" applyAlignment="1">
      <alignment horizontal="center" vertical="top"/>
    </xf>
    <xf numFmtId="166" fontId="3" fillId="7" borderId="1" xfId="0" applyNumberFormat="1" applyFont="1" applyFill="1" applyBorder="1" applyAlignment="1">
      <alignment horizontal="center" vertical="top"/>
    </xf>
    <xf numFmtId="166" fontId="2" fillId="7" borderId="76" xfId="0" applyNumberFormat="1" applyFont="1" applyFill="1" applyBorder="1" applyAlignment="1">
      <alignment horizontal="center" vertical="top" wrapText="1"/>
    </xf>
    <xf numFmtId="166" fontId="3" fillId="7" borderId="40" xfId="0" applyNumberFormat="1" applyFont="1" applyFill="1" applyBorder="1" applyAlignment="1">
      <alignment horizontal="center" vertical="top"/>
    </xf>
    <xf numFmtId="3" fontId="2" fillId="7" borderId="105" xfId="0" applyNumberFormat="1" applyFont="1" applyFill="1" applyBorder="1" applyAlignment="1">
      <alignment horizontal="center" vertical="top"/>
    </xf>
    <xf numFmtId="3" fontId="2" fillId="7" borderId="111" xfId="0" applyNumberFormat="1" applyFont="1" applyFill="1" applyBorder="1" applyAlignment="1">
      <alignment horizontal="center" vertical="top"/>
    </xf>
    <xf numFmtId="3" fontId="28" fillId="7" borderId="20" xfId="0" applyNumberFormat="1" applyFont="1" applyFill="1" applyBorder="1" applyAlignment="1">
      <alignment horizontal="center" vertical="center" wrapText="1"/>
    </xf>
    <xf numFmtId="3" fontId="6" fillId="7" borderId="47" xfId="0" applyNumberFormat="1" applyFont="1" applyFill="1" applyBorder="1" applyAlignment="1">
      <alignment horizontal="center" vertical="center" wrapText="1"/>
    </xf>
    <xf numFmtId="3" fontId="6" fillId="7" borderId="21" xfId="0" applyNumberFormat="1" applyFont="1" applyFill="1" applyBorder="1" applyAlignment="1">
      <alignment horizontal="center" vertical="center" wrapText="1"/>
    </xf>
    <xf numFmtId="166" fontId="3" fillId="7" borderId="10" xfId="0" applyNumberFormat="1" applyFont="1" applyFill="1" applyBorder="1" applyAlignment="1">
      <alignment horizontal="center" vertical="top"/>
    </xf>
    <xf numFmtId="49" fontId="2" fillId="7" borderId="93" xfId="0" applyNumberFormat="1" applyFont="1" applyFill="1" applyBorder="1" applyAlignment="1">
      <alignment horizontal="center" vertical="top"/>
    </xf>
    <xf numFmtId="166" fontId="2" fillId="7" borderId="0" xfId="0" applyNumberFormat="1" applyFont="1" applyFill="1" applyBorder="1" applyAlignment="1">
      <alignment vertical="top"/>
    </xf>
    <xf numFmtId="166" fontId="2" fillId="7" borderId="76" xfId="0" applyNumberFormat="1" applyFont="1" applyFill="1" applyBorder="1" applyAlignment="1">
      <alignment vertical="top"/>
    </xf>
    <xf numFmtId="166" fontId="3" fillId="3" borderId="54" xfId="0" applyNumberFormat="1" applyFont="1" applyFill="1" applyBorder="1" applyAlignment="1">
      <alignment horizontal="center" vertical="top"/>
    </xf>
    <xf numFmtId="3" fontId="22" fillId="7" borderId="76" xfId="0" applyNumberFormat="1" applyFont="1" applyFill="1" applyBorder="1" applyAlignment="1">
      <alignment horizontal="center" vertical="top"/>
    </xf>
    <xf numFmtId="166" fontId="2" fillId="7" borderId="48" xfId="0" applyNumberFormat="1" applyFont="1" applyFill="1" applyBorder="1" applyAlignment="1">
      <alignment horizontal="left" vertical="top" wrapText="1"/>
    </xf>
    <xf numFmtId="0" fontId="0" fillId="7" borderId="30" xfId="0" applyFill="1" applyBorder="1" applyAlignment="1">
      <alignment vertical="top" wrapText="1"/>
    </xf>
    <xf numFmtId="166" fontId="8" fillId="7" borderId="9" xfId="0" applyNumberFormat="1" applyFont="1" applyFill="1" applyBorder="1" applyAlignment="1">
      <alignment vertical="top" wrapText="1"/>
    </xf>
    <xf numFmtId="166" fontId="3" fillId="3" borderId="49" xfId="0" applyNumberFormat="1" applyFont="1" applyFill="1" applyBorder="1" applyAlignment="1">
      <alignment horizontal="center" vertical="top" wrapText="1"/>
    </xf>
    <xf numFmtId="166" fontId="2" fillId="7" borderId="29" xfId="0" applyNumberFormat="1" applyFont="1" applyFill="1" applyBorder="1" applyAlignment="1">
      <alignment horizontal="left" vertical="top" wrapText="1"/>
    </xf>
    <xf numFmtId="0" fontId="2" fillId="7" borderId="32" xfId="0" applyFont="1" applyFill="1" applyBorder="1" applyAlignment="1">
      <alignment vertical="top"/>
    </xf>
    <xf numFmtId="0" fontId="2" fillId="7" borderId="0" xfId="0" applyFont="1" applyFill="1" applyAlignment="1">
      <alignment vertical="top"/>
    </xf>
    <xf numFmtId="0" fontId="2" fillId="7" borderId="23" xfId="0" applyFont="1" applyFill="1" applyBorder="1" applyAlignment="1">
      <alignment horizontal="center" vertical="top"/>
    </xf>
    <xf numFmtId="0" fontId="21" fillId="0" borderId="0" xfId="0" applyFont="1" applyFill="1"/>
    <xf numFmtId="165" fontId="2" fillId="7" borderId="0" xfId="0" applyNumberFormat="1" applyFont="1" applyFill="1" applyBorder="1" applyAlignment="1">
      <alignment horizontal="center" vertical="top"/>
    </xf>
    <xf numFmtId="165" fontId="2" fillId="7" borderId="6" xfId="0" applyNumberFormat="1" applyFont="1" applyFill="1" applyBorder="1" applyAlignment="1">
      <alignment horizontal="center" vertical="top"/>
    </xf>
    <xf numFmtId="165" fontId="2" fillId="7" borderId="76" xfId="0" applyNumberFormat="1" applyFont="1" applyFill="1" applyBorder="1" applyAlignment="1">
      <alignment horizontal="center" vertical="top"/>
    </xf>
    <xf numFmtId="49" fontId="2" fillId="7" borderId="82" xfId="0" applyNumberFormat="1" applyFont="1" applyFill="1" applyBorder="1" applyAlignment="1">
      <alignment horizontal="center" vertical="top"/>
    </xf>
    <xf numFmtId="166" fontId="7" fillId="3" borderId="49" xfId="0" applyNumberFormat="1" applyFont="1" applyFill="1" applyBorder="1" applyAlignment="1">
      <alignment horizontal="left" vertical="top" wrapText="1"/>
    </xf>
    <xf numFmtId="3" fontId="2" fillId="7" borderId="42" xfId="0" applyNumberFormat="1" applyFont="1" applyFill="1" applyBorder="1" applyAlignment="1">
      <alignment horizontal="center" vertical="top" wrapText="1"/>
    </xf>
    <xf numFmtId="3" fontId="2" fillId="7" borderId="26" xfId="0" applyNumberFormat="1" applyFont="1" applyFill="1" applyBorder="1" applyAlignment="1">
      <alignment horizontal="center" vertical="top" wrapText="1"/>
    </xf>
    <xf numFmtId="166" fontId="3" fillId="3" borderId="15" xfId="0" applyNumberFormat="1" applyFont="1" applyFill="1" applyBorder="1" applyAlignment="1">
      <alignment horizontal="center" vertical="top"/>
    </xf>
    <xf numFmtId="166" fontId="2" fillId="0" borderId="28" xfId="0" applyNumberFormat="1" applyFont="1" applyFill="1" applyBorder="1" applyAlignment="1">
      <alignment horizontal="center" vertical="top"/>
    </xf>
    <xf numFmtId="166" fontId="2" fillId="0" borderId="34" xfId="0" applyNumberFormat="1" applyFont="1" applyBorder="1" applyAlignment="1">
      <alignment vertical="top"/>
    </xf>
    <xf numFmtId="166" fontId="2" fillId="0" borderId="45" xfId="0" applyNumberFormat="1" applyFont="1" applyBorder="1" applyAlignment="1">
      <alignment vertical="top"/>
    </xf>
    <xf numFmtId="166" fontId="2" fillId="0" borderId="25" xfId="0" applyNumberFormat="1" applyFont="1" applyBorder="1" applyAlignment="1">
      <alignment vertical="top"/>
    </xf>
    <xf numFmtId="166" fontId="6" fillId="7" borderId="35" xfId="0" applyNumberFormat="1" applyFont="1" applyFill="1" applyBorder="1" applyAlignment="1">
      <alignment horizontal="center" vertical="center" textRotation="90" wrapText="1"/>
    </xf>
    <xf numFmtId="0" fontId="0" fillId="0" borderId="49" xfId="0" applyBorder="1" applyAlignment="1">
      <alignment vertical="top" wrapText="1"/>
    </xf>
    <xf numFmtId="49" fontId="6" fillId="7" borderId="100" xfId="0" applyNumberFormat="1" applyFont="1" applyFill="1" applyBorder="1" applyAlignment="1">
      <alignment horizontal="center" vertical="top" wrapText="1"/>
    </xf>
    <xf numFmtId="49" fontId="2" fillId="0" borderId="47" xfId="0" applyNumberFormat="1" applyFont="1" applyFill="1" applyBorder="1" applyAlignment="1">
      <alignment horizontal="center" vertical="top"/>
    </xf>
    <xf numFmtId="49" fontId="2" fillId="0" borderId="91" xfId="0" applyNumberFormat="1" applyFont="1" applyFill="1" applyBorder="1" applyAlignment="1">
      <alignment horizontal="center" vertical="top"/>
    </xf>
    <xf numFmtId="3" fontId="2" fillId="0" borderId="91" xfId="0" applyNumberFormat="1" applyFont="1" applyFill="1" applyBorder="1" applyAlignment="1">
      <alignment horizontal="center" vertical="top"/>
    </xf>
    <xf numFmtId="0" fontId="0" fillId="7" borderId="30" xfId="0" applyFill="1" applyBorder="1" applyAlignment="1">
      <alignment horizontal="center" textRotation="90" wrapText="1"/>
    </xf>
    <xf numFmtId="166" fontId="2" fillId="7" borderId="31" xfId="0" applyNumberFormat="1" applyFont="1" applyFill="1" applyBorder="1" applyAlignment="1">
      <alignment horizontal="center" vertical="top"/>
    </xf>
    <xf numFmtId="166" fontId="2" fillId="0" borderId="19" xfId="0" applyNumberFormat="1" applyFont="1" applyFill="1" applyBorder="1" applyAlignment="1">
      <alignment horizontal="left" vertical="top" wrapText="1"/>
    </xf>
    <xf numFmtId="3" fontId="2" fillId="0" borderId="52" xfId="0" applyNumberFormat="1" applyFont="1" applyFill="1" applyBorder="1" applyAlignment="1">
      <alignment horizontal="left" vertical="top" wrapText="1"/>
    </xf>
    <xf numFmtId="49" fontId="2" fillId="7" borderId="49" xfId="0" applyNumberFormat="1" applyFont="1" applyFill="1" applyBorder="1" applyAlignment="1">
      <alignment vertical="top" wrapText="1"/>
    </xf>
    <xf numFmtId="166" fontId="13" fillId="7" borderId="34" xfId="0" applyNumberFormat="1" applyFont="1" applyFill="1" applyBorder="1" applyAlignment="1">
      <alignment horizontal="center" vertical="top"/>
    </xf>
    <xf numFmtId="166" fontId="13" fillId="7" borderId="11" xfId="0" applyNumberFormat="1" applyFont="1" applyFill="1" applyBorder="1" applyAlignment="1">
      <alignment horizontal="center" vertical="top"/>
    </xf>
    <xf numFmtId="166" fontId="2" fillId="7" borderId="18" xfId="0" applyNumberFormat="1" applyFont="1" applyFill="1" applyBorder="1" applyAlignment="1">
      <alignment vertical="top"/>
    </xf>
    <xf numFmtId="166" fontId="2" fillId="7" borderId="18" xfId="0" applyNumberFormat="1" applyFont="1" applyFill="1" applyBorder="1" applyAlignment="1">
      <alignment horizontal="center" vertical="top" wrapText="1"/>
    </xf>
    <xf numFmtId="166" fontId="3" fillId="8" borderId="31" xfId="0" applyNumberFormat="1" applyFont="1" applyFill="1" applyBorder="1" applyAlignment="1">
      <alignment horizontal="center" vertical="top"/>
    </xf>
    <xf numFmtId="0" fontId="2" fillId="10" borderId="23" xfId="0" applyFont="1" applyFill="1" applyBorder="1" applyAlignment="1">
      <alignment horizontal="center" vertical="center"/>
    </xf>
    <xf numFmtId="166" fontId="2" fillId="10" borderId="6" xfId="0" applyNumberFormat="1" applyFont="1" applyFill="1" applyBorder="1" applyAlignment="1">
      <alignment horizontal="center" vertical="center"/>
    </xf>
    <xf numFmtId="0" fontId="2" fillId="10" borderId="65" xfId="0" applyFont="1" applyFill="1" applyBorder="1" applyAlignment="1">
      <alignment horizontal="center" vertical="center" wrapText="1"/>
    </xf>
    <xf numFmtId="166" fontId="15" fillId="7" borderId="28" xfId="0" applyNumberFormat="1" applyFont="1" applyFill="1" applyBorder="1" applyAlignment="1">
      <alignment horizontal="center" vertical="center" wrapText="1"/>
    </xf>
    <xf numFmtId="3" fontId="2" fillId="3" borderId="20"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xf>
    <xf numFmtId="166" fontId="2" fillId="7" borderId="49" xfId="0" applyNumberFormat="1" applyFont="1" applyFill="1" applyBorder="1" applyAlignment="1">
      <alignment vertical="top" wrapText="1"/>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49" fontId="3" fillId="8"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3" fillId="7" borderId="42"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166" fontId="8" fillId="7" borderId="29" xfId="0" applyNumberFormat="1" applyFont="1" applyFill="1" applyBorder="1" applyAlignment="1">
      <alignment vertical="top" wrapText="1"/>
    </xf>
    <xf numFmtId="3" fontId="2" fillId="7" borderId="47" xfId="0" applyNumberFormat="1" applyFont="1" applyFill="1" applyBorder="1" applyAlignment="1">
      <alignment horizontal="center" vertical="top" wrapText="1"/>
    </xf>
    <xf numFmtId="49" fontId="3" fillId="7" borderId="25" xfId="0" applyNumberFormat="1" applyFont="1" applyFill="1" applyBorder="1" applyAlignment="1">
      <alignment horizontal="center" vertical="top"/>
    </xf>
    <xf numFmtId="49" fontId="3" fillId="9" borderId="5"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3" fillId="2" borderId="49" xfId="0" applyNumberFormat="1" applyFont="1" applyFill="1" applyBorder="1" applyAlignment="1">
      <alignment horizontal="center" vertical="top"/>
    </xf>
    <xf numFmtId="166" fontId="3" fillId="7" borderId="35" xfId="0" applyNumberFormat="1" applyFont="1" applyFill="1" applyBorder="1" applyAlignment="1">
      <alignment horizontal="center" vertical="top"/>
    </xf>
    <xf numFmtId="166" fontId="3" fillId="7" borderId="49"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0" fontId="0" fillId="7" borderId="18" xfId="0" applyFont="1" applyFill="1" applyBorder="1" applyAlignment="1">
      <alignment horizontal="center" vertical="top" wrapText="1"/>
    </xf>
    <xf numFmtId="166" fontId="8" fillId="0" borderId="30" xfId="0" applyNumberFormat="1" applyFont="1" applyFill="1" applyBorder="1" applyAlignment="1">
      <alignment vertical="top" wrapText="1"/>
    </xf>
    <xf numFmtId="166" fontId="11" fillId="7" borderId="30" xfId="0" applyNumberFormat="1" applyFont="1" applyFill="1" applyBorder="1" applyAlignment="1">
      <alignment horizontal="center" vertical="center" textRotation="90" wrapText="1"/>
    </xf>
    <xf numFmtId="166" fontId="3" fillId="7" borderId="31" xfId="0" applyNumberFormat="1" applyFont="1" applyFill="1" applyBorder="1" applyAlignment="1">
      <alignment horizontal="center" vertical="top"/>
    </xf>
    <xf numFmtId="166" fontId="18" fillId="7" borderId="9" xfId="0" applyNumberFormat="1" applyFont="1" applyFill="1" applyBorder="1" applyAlignment="1">
      <alignment horizontal="left" vertical="top" wrapText="1"/>
    </xf>
    <xf numFmtId="3" fontId="2" fillId="7" borderId="30" xfId="0" applyNumberFormat="1" applyFont="1" applyFill="1" applyBorder="1" applyAlignment="1">
      <alignment horizontal="center" vertical="top"/>
    </xf>
    <xf numFmtId="3" fontId="6" fillId="7" borderId="30" xfId="0" applyNumberFormat="1" applyFont="1" applyFill="1" applyBorder="1" applyAlignment="1">
      <alignment horizontal="center" vertical="top" wrapText="1"/>
    </xf>
    <xf numFmtId="3" fontId="6" fillId="7" borderId="31" xfId="0" applyNumberFormat="1" applyFont="1" applyFill="1" applyBorder="1" applyAlignment="1">
      <alignment horizontal="center" vertical="top" wrapText="1"/>
    </xf>
    <xf numFmtId="3" fontId="28" fillId="7" borderId="11" xfId="0" applyNumberFormat="1" applyFont="1" applyFill="1" applyBorder="1" applyAlignment="1">
      <alignment horizontal="center" vertical="center" wrapText="1"/>
    </xf>
    <xf numFmtId="3" fontId="6" fillId="7" borderId="49" xfId="0" applyNumberFormat="1" applyFont="1" applyFill="1" applyBorder="1" applyAlignment="1">
      <alignment horizontal="center" vertical="center" wrapText="1"/>
    </xf>
    <xf numFmtId="3" fontId="6" fillId="7" borderId="18" xfId="0" applyNumberFormat="1" applyFont="1" applyFill="1" applyBorder="1" applyAlignment="1">
      <alignment horizontal="center" vertical="center" wrapText="1"/>
    </xf>
    <xf numFmtId="166" fontId="2" fillId="7" borderId="44" xfId="0" applyNumberFormat="1" applyFont="1" applyFill="1" applyBorder="1" applyAlignment="1">
      <alignment horizontal="center"/>
    </xf>
    <xf numFmtId="166" fontId="3" fillId="7" borderId="18" xfId="0" applyNumberFormat="1" applyFont="1" applyFill="1" applyBorder="1" applyAlignment="1">
      <alignment horizontal="center" vertical="top"/>
    </xf>
    <xf numFmtId="3" fontId="22" fillId="7" borderId="18" xfId="0" applyNumberFormat="1" applyFont="1" applyFill="1" applyBorder="1" applyAlignment="1">
      <alignment horizontal="center" vertical="top"/>
    </xf>
    <xf numFmtId="166" fontId="8" fillId="7" borderId="30" xfId="0" applyNumberFormat="1" applyFont="1" applyFill="1" applyBorder="1" applyAlignment="1">
      <alignment vertical="top" wrapText="1"/>
    </xf>
    <xf numFmtId="3" fontId="2" fillId="7" borderId="26" xfId="0" applyNumberFormat="1" applyFont="1" applyFill="1" applyBorder="1" applyAlignment="1">
      <alignment horizontal="center" vertical="top"/>
    </xf>
    <xf numFmtId="166" fontId="8" fillId="7" borderId="53" xfId="0" applyNumberFormat="1" applyFont="1" applyFill="1" applyBorder="1" applyAlignment="1">
      <alignment vertical="top" wrapText="1"/>
    </xf>
    <xf numFmtId="49" fontId="2" fillId="7" borderId="97" xfId="0" applyNumberFormat="1" applyFont="1" applyFill="1" applyBorder="1" applyAlignment="1">
      <alignment horizontal="center" vertical="top"/>
    </xf>
    <xf numFmtId="166" fontId="2" fillId="7" borderId="1" xfId="0" applyNumberFormat="1" applyFont="1" applyFill="1" applyBorder="1" applyAlignment="1">
      <alignment horizontal="left" vertical="top" wrapText="1"/>
    </xf>
    <xf numFmtId="49" fontId="3" fillId="7" borderId="42"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166" fontId="6" fillId="7" borderId="11" xfId="0" applyNumberFormat="1" applyFont="1" applyFill="1" applyBorder="1" applyAlignment="1">
      <alignment horizontal="center" vertical="top"/>
    </xf>
    <xf numFmtId="166" fontId="6" fillId="7" borderId="0" xfId="0" applyNumberFormat="1" applyFont="1" applyFill="1" applyBorder="1" applyAlignment="1">
      <alignment horizontal="center" vertical="top"/>
    </xf>
    <xf numFmtId="3" fontId="6" fillId="7" borderId="18" xfId="0" applyNumberFormat="1" applyFont="1" applyFill="1" applyBorder="1" applyAlignment="1">
      <alignment horizontal="center" vertical="top"/>
    </xf>
    <xf numFmtId="166" fontId="2" fillId="7" borderId="78" xfId="0" applyNumberFormat="1" applyFont="1" applyFill="1" applyBorder="1" applyAlignment="1">
      <alignment vertical="top"/>
    </xf>
    <xf numFmtId="166" fontId="2" fillId="7" borderId="79" xfId="0" applyNumberFormat="1" applyFont="1" applyFill="1" applyBorder="1" applyAlignment="1">
      <alignment vertical="top"/>
    </xf>
    <xf numFmtId="0" fontId="2" fillId="7" borderId="21" xfId="0" applyFont="1" applyFill="1" applyBorder="1" applyAlignment="1">
      <alignment horizontal="right" vertical="center"/>
    </xf>
    <xf numFmtId="0" fontId="25" fillId="7" borderId="27" xfId="0" applyFont="1" applyFill="1" applyBorder="1" applyAlignment="1">
      <alignment horizontal="right" vertical="center"/>
    </xf>
    <xf numFmtId="49" fontId="3" fillId="2" borderId="25" xfId="0" applyNumberFormat="1" applyFont="1" applyFill="1" applyBorder="1" applyAlignment="1">
      <alignment horizontal="center" vertical="top"/>
    </xf>
    <xf numFmtId="49" fontId="3" fillId="8" borderId="25" xfId="0" applyNumberFormat="1" applyFont="1" applyFill="1" applyBorder="1" applyAlignment="1">
      <alignment horizontal="center" vertical="top"/>
    </xf>
    <xf numFmtId="0" fontId="0" fillId="7" borderId="26" xfId="0" applyFont="1" applyFill="1" applyBorder="1" applyAlignment="1">
      <alignment horizontal="center" vertical="top"/>
    </xf>
    <xf numFmtId="166" fontId="3" fillId="7" borderId="45" xfId="0" applyNumberFormat="1" applyFont="1" applyFill="1" applyBorder="1" applyAlignment="1">
      <alignment horizontal="center" vertical="top"/>
    </xf>
    <xf numFmtId="166" fontId="8" fillId="7" borderId="5" xfId="0" applyNumberFormat="1" applyFont="1" applyFill="1" applyBorder="1" applyAlignment="1">
      <alignment vertical="top" wrapText="1"/>
    </xf>
    <xf numFmtId="49" fontId="3" fillId="7" borderId="31" xfId="0" applyNumberFormat="1" applyFont="1" applyFill="1" applyBorder="1" applyAlignment="1">
      <alignment horizontal="center" vertical="top"/>
    </xf>
    <xf numFmtId="166" fontId="8" fillId="7" borderId="48" xfId="0" applyNumberFormat="1" applyFont="1" applyFill="1" applyBorder="1" applyAlignment="1">
      <alignment vertical="top" wrapText="1"/>
    </xf>
    <xf numFmtId="166" fontId="8" fillId="7" borderId="19" xfId="0" applyNumberFormat="1" applyFont="1" applyFill="1" applyBorder="1" applyAlignment="1">
      <alignment vertical="top" wrapText="1"/>
    </xf>
    <xf numFmtId="0" fontId="2" fillId="0" borderId="46" xfId="0" applyFont="1" applyFill="1" applyBorder="1" applyAlignment="1">
      <alignment vertical="top" wrapText="1"/>
    </xf>
    <xf numFmtId="0" fontId="2" fillId="7" borderId="94" xfId="0" applyFont="1" applyFill="1" applyBorder="1" applyAlignment="1">
      <alignment vertical="top" wrapText="1"/>
    </xf>
    <xf numFmtId="0" fontId="2" fillId="0" borderId="120" xfId="0" applyFont="1" applyFill="1" applyBorder="1" applyAlignment="1">
      <alignment vertical="top" wrapText="1"/>
    </xf>
    <xf numFmtId="0" fontId="2" fillId="7" borderId="46" xfId="0" applyFont="1" applyFill="1" applyBorder="1" applyAlignment="1">
      <alignment vertical="top" wrapText="1"/>
    </xf>
    <xf numFmtId="49" fontId="3" fillId="7" borderId="18"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3" fontId="2" fillId="0" borderId="93" xfId="0" applyNumberFormat="1" applyFont="1" applyFill="1" applyBorder="1" applyAlignment="1">
      <alignment horizontal="center" vertical="top" wrapText="1"/>
    </xf>
    <xf numFmtId="3" fontId="2" fillId="0" borderId="87" xfId="0" applyNumberFormat="1" applyFont="1" applyFill="1" applyBorder="1" applyAlignment="1">
      <alignment horizontal="center" vertical="top" wrapText="1"/>
    </xf>
    <xf numFmtId="166" fontId="2" fillId="3" borderId="34" xfId="0" applyNumberFormat="1" applyFont="1" applyFill="1" applyBorder="1" applyAlignment="1">
      <alignment horizontal="center" vertical="top"/>
    </xf>
    <xf numFmtId="166" fontId="18" fillId="7" borderId="48" xfId="0" applyNumberFormat="1" applyFont="1" applyFill="1" applyBorder="1" applyAlignment="1">
      <alignment horizontal="center" vertical="center" textRotation="90" wrapText="1"/>
    </xf>
    <xf numFmtId="166" fontId="18" fillId="7" borderId="19" xfId="0" applyNumberFormat="1" applyFont="1" applyFill="1" applyBorder="1" applyAlignment="1">
      <alignment horizontal="center" vertical="center" textRotation="90" wrapText="1"/>
    </xf>
    <xf numFmtId="3" fontId="2" fillId="0" borderId="99" xfId="0"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42" xfId="0" applyNumberFormat="1" applyFont="1" applyFill="1" applyBorder="1" applyAlignment="1">
      <alignment horizontal="center" vertical="top"/>
    </xf>
    <xf numFmtId="3" fontId="2" fillId="0" borderId="118" xfId="0" applyNumberFormat="1" applyFont="1" applyFill="1" applyBorder="1" applyAlignment="1">
      <alignment horizontal="center" vertical="top"/>
    </xf>
    <xf numFmtId="3" fontId="2" fillId="0" borderId="114" xfId="0" applyNumberFormat="1" applyFont="1" applyFill="1" applyBorder="1" applyAlignment="1">
      <alignment horizontal="center" vertical="top"/>
    </xf>
    <xf numFmtId="166" fontId="2" fillId="7" borderId="38" xfId="0" applyNumberFormat="1" applyFont="1" applyFill="1" applyBorder="1" applyAlignment="1">
      <alignment vertical="top" wrapText="1"/>
    </xf>
    <xf numFmtId="166" fontId="1" fillId="7" borderId="1" xfId="0" applyNumberFormat="1" applyFont="1" applyFill="1" applyBorder="1" applyAlignment="1">
      <alignment horizontal="center" vertical="top" textRotation="90" wrapText="1"/>
    </xf>
    <xf numFmtId="166" fontId="3" fillId="7" borderId="21" xfId="0" applyNumberFormat="1" applyFont="1" applyFill="1" applyBorder="1" applyAlignment="1">
      <alignment horizontal="center" vertical="top"/>
    </xf>
    <xf numFmtId="166" fontId="2" fillId="7" borderId="16" xfId="0" applyNumberFormat="1" applyFont="1" applyFill="1" applyBorder="1" applyAlignment="1">
      <alignment horizontal="left" vertical="top" wrapText="1"/>
    </xf>
    <xf numFmtId="166" fontId="2" fillId="7" borderId="22" xfId="0" applyNumberFormat="1" applyFont="1" applyFill="1" applyBorder="1" applyAlignment="1">
      <alignment horizontal="center" vertical="top"/>
    </xf>
    <xf numFmtId="166" fontId="2" fillId="7" borderId="68" xfId="0" applyNumberFormat="1" applyFont="1" applyFill="1" applyBorder="1" applyAlignment="1">
      <alignment horizontal="center" vertical="top"/>
    </xf>
    <xf numFmtId="166" fontId="2" fillId="7" borderId="1" xfId="0" applyNumberFormat="1" applyFont="1" applyFill="1" applyBorder="1" applyAlignment="1">
      <alignment horizontal="center" vertical="top"/>
    </xf>
    <xf numFmtId="3" fontId="2" fillId="0" borderId="17"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2" borderId="67"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6" fillId="7" borderId="11" xfId="0" applyNumberFormat="1" applyFont="1" applyFill="1" applyBorder="1" applyAlignment="1">
      <alignment horizontal="left" textRotation="90" wrapText="1"/>
    </xf>
    <xf numFmtId="0" fontId="31" fillId="0" borderId="0" xfId="0" applyFont="1" applyAlignment="1">
      <alignment horizontal="justify" vertical="center"/>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0" fontId="2" fillId="7" borderId="0" xfId="0" applyFont="1" applyFill="1" applyBorder="1" applyAlignment="1">
      <alignment horizontal="center" vertical="center"/>
    </xf>
    <xf numFmtId="166" fontId="2" fillId="7" borderId="99" xfId="0" applyNumberFormat="1" applyFont="1" applyFill="1" applyBorder="1" applyAlignment="1">
      <alignment horizontal="center" vertical="top"/>
    </xf>
    <xf numFmtId="3" fontId="6" fillId="7" borderId="82" xfId="0" applyNumberFormat="1" applyFont="1" applyFill="1" applyBorder="1" applyAlignment="1">
      <alignment horizontal="center" vertical="top"/>
    </xf>
    <xf numFmtId="165" fontId="2" fillId="0" borderId="0" xfId="0" applyNumberFormat="1" applyFont="1" applyBorder="1" applyAlignment="1">
      <alignment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166" fontId="3" fillId="7" borderId="49" xfId="0" applyNumberFormat="1" applyFont="1" applyFill="1" applyBorder="1" applyAlignment="1">
      <alignment horizontal="center" vertical="top"/>
    </xf>
    <xf numFmtId="166" fontId="2" fillId="7" borderId="20" xfId="0" applyNumberFormat="1" applyFont="1" applyFill="1" applyBorder="1" applyAlignment="1">
      <alignment vertical="top" wrapText="1"/>
    </xf>
    <xf numFmtId="166" fontId="2" fillId="7" borderId="28" xfId="0" applyNumberFormat="1" applyFont="1" applyFill="1" applyBorder="1" applyAlignment="1">
      <alignment vertical="top" wrapText="1"/>
    </xf>
    <xf numFmtId="166" fontId="2" fillId="7" borderId="11" xfId="0" applyNumberFormat="1" applyFont="1" applyFill="1" applyBorder="1" applyAlignment="1">
      <alignment vertical="top" wrapText="1"/>
    </xf>
    <xf numFmtId="166" fontId="3" fillId="9" borderId="34"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3" fillId="3" borderId="49"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3" fillId="7" borderId="20"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3" fillId="3" borderId="47" xfId="0" applyNumberFormat="1" applyFont="1" applyFill="1" applyBorder="1" applyAlignment="1">
      <alignment horizontal="center" vertical="top" wrapText="1"/>
    </xf>
    <xf numFmtId="166" fontId="3" fillId="0" borderId="11" xfId="0" applyNumberFormat="1" applyFont="1" applyFill="1" applyBorder="1" applyAlignment="1">
      <alignment horizontal="center" vertical="top" wrapText="1"/>
    </xf>
    <xf numFmtId="166" fontId="3" fillId="7" borderId="49" xfId="0" applyNumberFormat="1" applyFont="1" applyFill="1" applyBorder="1" applyAlignment="1">
      <alignment horizontal="center" vertical="top" wrapText="1"/>
    </xf>
    <xf numFmtId="49" fontId="2" fillId="7" borderId="7" xfId="0" applyNumberFormat="1" applyFont="1" applyFill="1" applyBorder="1" applyAlignment="1">
      <alignment horizontal="left" vertical="top" wrapText="1"/>
    </xf>
    <xf numFmtId="166" fontId="3" fillId="0" borderId="49" xfId="0" applyNumberFormat="1" applyFont="1" applyBorder="1" applyAlignment="1">
      <alignment horizontal="center" vertical="top"/>
    </xf>
    <xf numFmtId="166" fontId="2" fillId="7" borderId="49" xfId="0" applyNumberFormat="1" applyFont="1" applyFill="1" applyBorder="1" applyAlignment="1">
      <alignment vertical="top" wrapText="1"/>
    </xf>
    <xf numFmtId="166" fontId="2" fillId="7" borderId="7" xfId="0" applyNumberFormat="1" applyFont="1" applyFill="1" applyBorder="1" applyAlignment="1">
      <alignment horizontal="left" vertical="top" wrapText="1"/>
    </xf>
    <xf numFmtId="0" fontId="2" fillId="7" borderId="11" xfId="0" applyFont="1" applyFill="1" applyBorder="1" applyAlignment="1">
      <alignment vertical="top" wrapText="1"/>
    </xf>
    <xf numFmtId="49" fontId="3" fillId="9" borderId="5"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49"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166" fontId="3" fillId="7" borderId="30" xfId="0" applyNumberFormat="1" applyFont="1" applyFill="1" applyBorder="1" applyAlignment="1">
      <alignment horizontal="center" vertical="top"/>
    </xf>
    <xf numFmtId="166" fontId="2" fillId="7" borderId="25" xfId="0" applyNumberFormat="1" applyFont="1" applyFill="1" applyBorder="1" applyAlignment="1">
      <alignment vertical="top" wrapText="1"/>
    </xf>
    <xf numFmtId="166" fontId="8" fillId="7" borderId="11" xfId="0" applyNumberFormat="1" applyFont="1" applyFill="1" applyBorder="1" applyAlignment="1">
      <alignment horizontal="center" vertical="center" textRotation="90" wrapText="1"/>
    </xf>
    <xf numFmtId="166" fontId="2" fillId="2" borderId="71" xfId="0" applyNumberFormat="1" applyFont="1" applyFill="1" applyBorder="1" applyAlignment="1">
      <alignment horizontal="center" vertical="top" wrapText="1"/>
    </xf>
    <xf numFmtId="166" fontId="2" fillId="2" borderId="72" xfId="0" applyNumberFormat="1" applyFont="1" applyFill="1" applyBorder="1" applyAlignment="1">
      <alignment horizontal="center" vertical="top" wrapText="1"/>
    </xf>
    <xf numFmtId="166" fontId="2" fillId="7" borderId="7" xfId="0" applyNumberFormat="1" applyFont="1" applyFill="1" applyBorder="1" applyAlignment="1">
      <alignment vertical="top" wrapText="1"/>
    </xf>
    <xf numFmtId="3" fontId="2" fillId="7" borderId="20" xfId="0" applyNumberFormat="1" applyFont="1" applyFill="1" applyBorder="1" applyAlignment="1">
      <alignment horizontal="center" vertical="top"/>
    </xf>
    <xf numFmtId="166" fontId="2" fillId="7" borderId="80" xfId="0" applyNumberFormat="1" applyFont="1" applyFill="1" applyBorder="1" applyAlignment="1">
      <alignment horizontal="left" vertical="top" wrapText="1"/>
    </xf>
    <xf numFmtId="3" fontId="2" fillId="7" borderId="20" xfId="0" applyNumberFormat="1" applyFont="1" applyFill="1" applyBorder="1" applyAlignment="1">
      <alignment horizontal="center" vertical="top" wrapText="1"/>
    </xf>
    <xf numFmtId="3" fontId="2" fillId="7" borderId="81" xfId="0" applyNumberFormat="1" applyFont="1" applyFill="1" applyBorder="1" applyAlignment="1">
      <alignment horizontal="center" vertical="top" wrapText="1"/>
    </xf>
    <xf numFmtId="3" fontId="2" fillId="7" borderId="47"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3" fillId="7" borderId="42" xfId="0" applyNumberFormat="1" applyFont="1" applyFill="1" applyBorder="1" applyAlignment="1">
      <alignment horizontal="center" vertical="top"/>
    </xf>
    <xf numFmtId="166" fontId="3" fillId="7" borderId="57"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166" fontId="1" fillId="7" borderId="20" xfId="0" applyNumberFormat="1" applyFont="1" applyFill="1" applyBorder="1" applyAlignment="1">
      <alignment horizontal="center" vertical="top" textRotation="90" wrapText="1"/>
    </xf>
    <xf numFmtId="166" fontId="2" fillId="7" borderId="11" xfId="0" applyNumberFormat="1" applyFont="1" applyFill="1" applyBorder="1" applyAlignment="1">
      <alignment horizontal="center" vertical="center" textRotation="90" wrapText="1"/>
    </xf>
    <xf numFmtId="166" fontId="2" fillId="7" borderId="48" xfId="0" applyNumberFormat="1" applyFont="1" applyFill="1" applyBorder="1" applyAlignment="1">
      <alignment vertical="top" wrapText="1"/>
    </xf>
    <xf numFmtId="166" fontId="3" fillId="8" borderId="68" xfId="0" applyNumberFormat="1" applyFont="1" applyFill="1" applyBorder="1" applyAlignment="1">
      <alignment horizontal="center" vertical="top" wrapText="1"/>
    </xf>
    <xf numFmtId="166" fontId="2" fillId="7" borderId="68" xfId="0" applyNumberFormat="1" applyFont="1" applyFill="1" applyBorder="1" applyAlignment="1">
      <alignment horizontal="center" vertical="top" wrapText="1"/>
    </xf>
    <xf numFmtId="0" fontId="0" fillId="0" borderId="52" xfId="0" applyBorder="1" applyAlignment="1">
      <alignment horizontal="left" vertical="top" wrapText="1"/>
    </xf>
    <xf numFmtId="3" fontId="2" fillId="0" borderId="0" xfId="0" applyNumberFormat="1" applyFont="1" applyFill="1" applyBorder="1" applyAlignment="1">
      <alignment horizontal="left" vertical="top" wrapText="1"/>
    </xf>
    <xf numFmtId="0" fontId="0" fillId="0" borderId="0" xfId="0" applyAlignment="1">
      <alignment horizontal="left" vertical="top" wrapText="1"/>
    </xf>
    <xf numFmtId="166" fontId="2" fillId="0" borderId="68" xfId="0" applyNumberFormat="1" applyFont="1" applyBorder="1" applyAlignment="1">
      <alignment horizontal="center" vertical="top" wrapText="1"/>
    </xf>
    <xf numFmtId="166" fontId="2" fillId="8" borderId="68" xfId="0" applyNumberFormat="1" applyFont="1" applyFill="1" applyBorder="1" applyAlignment="1">
      <alignment horizontal="center" vertical="top" wrapText="1"/>
    </xf>
    <xf numFmtId="166" fontId="3" fillId="5" borderId="68" xfId="0" applyNumberFormat="1" applyFont="1" applyFill="1" applyBorder="1" applyAlignment="1">
      <alignment horizontal="center" vertical="top" wrapText="1"/>
    </xf>
    <xf numFmtId="3" fontId="2" fillId="0" borderId="0" xfId="0" applyNumberFormat="1" applyFont="1" applyAlignment="1">
      <alignment horizontal="left" vertical="top" wrapText="1"/>
    </xf>
    <xf numFmtId="0" fontId="0" fillId="7" borderId="28" xfId="0" applyFont="1" applyFill="1" applyBorder="1" applyAlignment="1">
      <alignment horizontal="center" vertical="top" textRotation="90" wrapText="1"/>
    </xf>
    <xf numFmtId="166" fontId="3" fillId="7" borderId="18" xfId="0" applyNumberFormat="1" applyFont="1" applyFill="1" applyBorder="1" applyAlignment="1">
      <alignment horizontal="center" vertical="top"/>
    </xf>
    <xf numFmtId="3" fontId="2" fillId="0" borderId="20" xfId="0" applyNumberFormat="1" applyFont="1" applyFill="1" applyBorder="1" applyAlignment="1">
      <alignment horizontal="center" vertical="top"/>
    </xf>
    <xf numFmtId="3" fontId="2" fillId="7" borderId="81" xfId="0" applyNumberFormat="1" applyFont="1" applyFill="1" applyBorder="1" applyAlignment="1">
      <alignment horizontal="center" vertical="top"/>
    </xf>
    <xf numFmtId="166" fontId="2" fillId="2" borderId="32" xfId="0" applyNumberFormat="1" applyFont="1" applyFill="1" applyBorder="1" applyAlignment="1">
      <alignment horizontal="center" vertical="top" wrapText="1"/>
    </xf>
    <xf numFmtId="0" fontId="2" fillId="7" borderId="5" xfId="0" applyFont="1" applyFill="1" applyBorder="1" applyAlignment="1">
      <alignment vertical="top" wrapText="1"/>
    </xf>
    <xf numFmtId="166" fontId="3" fillId="8" borderId="53" xfId="0" applyNumberFormat="1" applyFont="1" applyFill="1" applyBorder="1" applyAlignment="1">
      <alignment horizontal="center" vertical="top"/>
    </xf>
    <xf numFmtId="3" fontId="22" fillId="7" borderId="60" xfId="0" applyNumberFormat="1" applyFont="1" applyFill="1" applyBorder="1" applyAlignment="1">
      <alignment horizontal="center" vertical="top" wrapText="1"/>
    </xf>
    <xf numFmtId="3" fontId="22" fillId="7" borderId="76" xfId="0" applyNumberFormat="1" applyFont="1" applyFill="1" applyBorder="1" applyAlignment="1">
      <alignment horizontal="center" vertical="top" wrapText="1"/>
    </xf>
    <xf numFmtId="3" fontId="22" fillId="7" borderId="0" xfId="0" applyNumberFormat="1" applyFont="1" applyFill="1" applyBorder="1" applyAlignment="1">
      <alignment horizontal="center" vertical="top" wrapText="1"/>
    </xf>
    <xf numFmtId="3" fontId="6" fillId="7" borderId="57" xfId="0" applyNumberFormat="1" applyFont="1" applyFill="1" applyBorder="1" applyAlignment="1">
      <alignment horizontal="center" vertical="top" wrapText="1"/>
    </xf>
    <xf numFmtId="3" fontId="2" fillId="0" borderId="52" xfId="0" applyNumberFormat="1" applyFont="1" applyFill="1" applyBorder="1" applyAlignment="1">
      <alignment horizontal="center" vertical="top"/>
    </xf>
    <xf numFmtId="3" fontId="2" fillId="7" borderId="107" xfId="0" applyNumberFormat="1" applyFont="1" applyFill="1" applyBorder="1" applyAlignment="1">
      <alignment horizontal="center" vertical="top" wrapText="1"/>
    </xf>
    <xf numFmtId="3" fontId="2" fillId="7" borderId="97" xfId="0" applyNumberFormat="1" applyFont="1" applyFill="1" applyBorder="1" applyAlignment="1">
      <alignment horizontal="center" vertical="top" wrapText="1"/>
    </xf>
    <xf numFmtId="3" fontId="2" fillId="7" borderId="60" xfId="0" applyNumberFormat="1" applyFont="1" applyFill="1" applyBorder="1" applyAlignment="1">
      <alignment horizontal="center" vertical="top" wrapText="1"/>
    </xf>
    <xf numFmtId="3" fontId="2" fillId="7" borderId="76" xfId="0" applyNumberFormat="1" applyFont="1" applyFill="1" applyBorder="1" applyAlignment="1">
      <alignment horizontal="center" vertical="top" wrapText="1"/>
    </xf>
    <xf numFmtId="3" fontId="22" fillId="7" borderId="60" xfId="0" applyNumberFormat="1" applyFont="1" applyFill="1" applyBorder="1" applyAlignment="1">
      <alignment horizontal="center" vertical="top"/>
    </xf>
    <xf numFmtId="3" fontId="2" fillId="7" borderId="60" xfId="0" applyNumberFormat="1" applyFont="1" applyFill="1" applyBorder="1" applyAlignment="1">
      <alignment horizontal="center" vertical="top"/>
    </xf>
    <xf numFmtId="3" fontId="2" fillId="0" borderId="76" xfId="0" applyNumberFormat="1" applyFont="1" applyFill="1" applyBorder="1" applyAlignment="1">
      <alignment horizontal="center" vertical="top"/>
    </xf>
    <xf numFmtId="3" fontId="2" fillId="0" borderId="74" xfId="0" applyNumberFormat="1" applyFont="1" applyFill="1" applyBorder="1" applyAlignment="1">
      <alignment horizontal="center" vertical="top"/>
    </xf>
    <xf numFmtId="3" fontId="2" fillId="7" borderId="52" xfId="0" applyNumberFormat="1" applyFont="1" applyFill="1" applyBorder="1" applyAlignment="1">
      <alignment horizontal="center" vertical="top" wrapText="1"/>
    </xf>
    <xf numFmtId="3" fontId="2" fillId="7" borderId="0" xfId="0" applyNumberFormat="1" applyFont="1" applyFill="1" applyBorder="1" applyAlignment="1">
      <alignment horizontal="center" vertical="top" wrapText="1"/>
    </xf>
    <xf numFmtId="3" fontId="22" fillId="7" borderId="0" xfId="1" applyNumberFormat="1" applyFont="1" applyFill="1" applyBorder="1" applyAlignment="1">
      <alignment horizontal="center" vertical="top" wrapText="1"/>
    </xf>
    <xf numFmtId="166" fontId="2" fillId="0" borderId="52" xfId="0" applyNumberFormat="1" applyFont="1" applyBorder="1" applyAlignment="1">
      <alignment vertical="top"/>
    </xf>
    <xf numFmtId="166" fontId="2" fillId="7" borderId="115" xfId="0" applyNumberFormat="1" applyFont="1" applyFill="1" applyBorder="1" applyAlignment="1">
      <alignment vertical="top"/>
    </xf>
    <xf numFmtId="166" fontId="2" fillId="0" borderId="49" xfId="0" applyNumberFormat="1" applyFont="1" applyFill="1" applyBorder="1" applyAlignment="1">
      <alignment horizontal="center" vertical="top"/>
    </xf>
    <xf numFmtId="3" fontId="2" fillId="0" borderId="115" xfId="0" applyNumberFormat="1" applyFont="1" applyFill="1" applyBorder="1" applyAlignment="1">
      <alignment horizontal="center" vertical="top"/>
    </xf>
    <xf numFmtId="166" fontId="2" fillId="7" borderId="32" xfId="0" applyNumberFormat="1" applyFont="1" applyFill="1" applyBorder="1" applyAlignment="1">
      <alignment horizontal="center" vertical="top"/>
    </xf>
    <xf numFmtId="3" fontId="2" fillId="0" borderId="63"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166" fontId="2" fillId="0" borderId="52" xfId="0" applyNumberFormat="1" applyFont="1" applyFill="1" applyBorder="1" applyAlignment="1">
      <alignment horizontal="center" vertical="top"/>
    </xf>
    <xf numFmtId="166" fontId="2" fillId="0" borderId="76" xfId="0" applyNumberFormat="1" applyFont="1" applyFill="1" applyBorder="1" applyAlignment="1">
      <alignment horizontal="center" vertical="top"/>
    </xf>
    <xf numFmtId="166" fontId="2" fillId="0" borderId="60" xfId="0" applyNumberFormat="1" applyFont="1" applyFill="1" applyBorder="1" applyAlignment="1">
      <alignment horizontal="center" vertical="top"/>
    </xf>
    <xf numFmtId="49" fontId="2" fillId="0" borderId="97" xfId="0" applyNumberFormat="1" applyFont="1" applyFill="1" applyBorder="1" applyAlignment="1">
      <alignment horizontal="center" vertical="top"/>
    </xf>
    <xf numFmtId="166" fontId="2" fillId="0" borderId="116" xfId="0" applyNumberFormat="1" applyFont="1" applyFill="1" applyBorder="1" applyAlignment="1">
      <alignment horizontal="center" vertical="top"/>
    </xf>
    <xf numFmtId="166" fontId="6" fillId="7" borderId="32" xfId="0" applyNumberFormat="1" applyFont="1" applyFill="1" applyBorder="1" applyAlignment="1">
      <alignment horizontal="center" vertical="top" wrapText="1"/>
    </xf>
    <xf numFmtId="0" fontId="31" fillId="0" borderId="0" xfId="0" applyFont="1" applyAlignment="1">
      <alignment horizontal="left" vertical="top" wrapText="1"/>
    </xf>
    <xf numFmtId="0" fontId="0" fillId="0" borderId="0" xfId="0" applyAlignment="1">
      <alignment horizontal="left" vertical="top"/>
    </xf>
    <xf numFmtId="0" fontId="3" fillId="0" borderId="0" xfId="0" applyFont="1" applyBorder="1" applyAlignment="1">
      <alignment horizontal="right" vertical="top"/>
    </xf>
    <xf numFmtId="3" fontId="22" fillId="0" borderId="26" xfId="0" applyNumberFormat="1" applyFont="1" applyBorder="1" applyAlignment="1">
      <alignment vertical="top"/>
    </xf>
    <xf numFmtId="0" fontId="2" fillId="0" borderId="64" xfId="0" applyFont="1" applyBorder="1" applyAlignment="1">
      <alignment horizontal="center" vertical="center" textRotation="90" wrapText="1"/>
    </xf>
    <xf numFmtId="3" fontId="22" fillId="0" borderId="31" xfId="0" applyNumberFormat="1" applyFont="1" applyBorder="1" applyAlignment="1">
      <alignment vertical="top"/>
    </xf>
    <xf numFmtId="49" fontId="2" fillId="7" borderId="99" xfId="0" applyNumberFormat="1" applyFont="1" applyFill="1" applyBorder="1" applyAlignment="1">
      <alignment horizontal="center" vertical="top"/>
    </xf>
    <xf numFmtId="3" fontId="2" fillId="7" borderId="91" xfId="0" applyNumberFormat="1" applyFont="1" applyFill="1" applyBorder="1" applyAlignment="1">
      <alignment horizontal="center" vertical="top" wrapText="1"/>
    </xf>
    <xf numFmtId="3" fontId="6" fillId="7" borderId="47" xfId="0" applyNumberFormat="1" applyFont="1" applyFill="1" applyBorder="1" applyAlignment="1">
      <alignment horizontal="center" vertical="top" wrapText="1"/>
    </xf>
    <xf numFmtId="3" fontId="6" fillId="7" borderId="35" xfId="0" applyNumberFormat="1" applyFont="1" applyFill="1" applyBorder="1" applyAlignment="1">
      <alignment horizontal="center" vertical="center" wrapText="1"/>
    </xf>
    <xf numFmtId="3" fontId="13" fillId="7" borderId="47" xfId="0" applyNumberFormat="1" applyFont="1" applyFill="1" applyBorder="1" applyAlignment="1">
      <alignment horizontal="center" vertical="top"/>
    </xf>
    <xf numFmtId="3" fontId="13" fillId="7" borderId="49" xfId="0" applyNumberFormat="1" applyFont="1" applyFill="1" applyBorder="1" applyAlignment="1">
      <alignment horizontal="center" vertical="top"/>
    </xf>
    <xf numFmtId="3" fontId="22" fillId="7" borderId="18" xfId="0" applyNumberFormat="1" applyFont="1" applyFill="1" applyBorder="1" applyAlignment="1">
      <alignment horizontal="center" vertical="top" wrapText="1"/>
    </xf>
    <xf numFmtId="3" fontId="2" fillId="0" borderId="26" xfId="0" applyNumberFormat="1" applyFont="1" applyFill="1" applyBorder="1" applyAlignment="1">
      <alignment horizontal="center" vertical="top"/>
    </xf>
    <xf numFmtId="3" fontId="22" fillId="7" borderId="18" xfId="1" applyNumberFormat="1" applyFont="1" applyFill="1" applyBorder="1" applyAlignment="1">
      <alignment horizontal="center" vertical="top" wrapText="1"/>
    </xf>
    <xf numFmtId="165" fontId="2" fillId="7" borderId="11" xfId="0" applyNumberFormat="1" applyFont="1" applyFill="1" applyBorder="1" applyAlignment="1">
      <alignment horizontal="center" vertical="top"/>
    </xf>
    <xf numFmtId="165" fontId="2" fillId="7" borderId="28" xfId="0" applyNumberFormat="1" applyFont="1" applyFill="1" applyBorder="1" applyAlignment="1">
      <alignment horizontal="center" vertical="top"/>
    </xf>
    <xf numFmtId="166" fontId="3" fillId="8" borderId="30" xfId="0" applyNumberFormat="1" applyFont="1" applyFill="1" applyBorder="1" applyAlignment="1">
      <alignment horizontal="center" vertical="top"/>
    </xf>
    <xf numFmtId="166" fontId="3" fillId="3" borderId="70" xfId="0" applyNumberFormat="1" applyFont="1" applyFill="1" applyBorder="1" applyAlignment="1">
      <alignment horizontal="center" vertical="top"/>
    </xf>
    <xf numFmtId="166" fontId="3" fillId="2" borderId="55" xfId="0" applyNumberFormat="1" applyFont="1" applyFill="1" applyBorder="1" applyAlignment="1">
      <alignment horizontal="center" vertical="top"/>
    </xf>
    <xf numFmtId="165" fontId="2" fillId="7" borderId="34" xfId="0" applyNumberFormat="1" applyFont="1" applyFill="1" applyBorder="1" applyAlignment="1">
      <alignment horizontal="center" vertical="top"/>
    </xf>
    <xf numFmtId="166" fontId="2" fillId="7" borderId="34" xfId="0" applyNumberFormat="1" applyFont="1" applyFill="1" applyBorder="1" applyAlignment="1">
      <alignment horizontal="center"/>
    </xf>
    <xf numFmtId="166" fontId="2" fillId="7" borderId="65" xfId="0" applyNumberFormat="1" applyFont="1" applyFill="1" applyBorder="1" applyAlignment="1">
      <alignment horizontal="center"/>
    </xf>
    <xf numFmtId="166" fontId="2" fillId="7" borderId="65" xfId="1" applyNumberFormat="1" applyFont="1" applyFill="1" applyBorder="1" applyAlignment="1">
      <alignment horizontal="center" vertical="top"/>
    </xf>
    <xf numFmtId="0" fontId="2" fillId="7" borderId="76" xfId="0" applyFont="1" applyFill="1" applyBorder="1" applyAlignment="1">
      <alignment vertical="top"/>
    </xf>
    <xf numFmtId="0" fontId="2" fillId="7" borderId="48" xfId="0" applyFont="1" applyFill="1" applyBorder="1" applyAlignment="1">
      <alignment horizontal="left" vertical="top" wrapText="1"/>
    </xf>
    <xf numFmtId="166" fontId="22" fillId="7" borderId="46" xfId="0" applyNumberFormat="1" applyFont="1" applyFill="1" applyBorder="1" applyAlignment="1">
      <alignment horizontal="left" vertical="top" wrapText="1"/>
    </xf>
    <xf numFmtId="0" fontId="24" fillId="7" borderId="19" xfId="0" applyFont="1" applyFill="1" applyBorder="1" applyAlignment="1">
      <alignment vertical="top" wrapText="1"/>
    </xf>
    <xf numFmtId="166" fontId="22" fillId="7" borderId="94" xfId="0" applyNumberFormat="1" applyFont="1" applyFill="1" applyBorder="1" applyAlignment="1">
      <alignment horizontal="left" vertical="top" wrapText="1"/>
    </xf>
    <xf numFmtId="0" fontId="22" fillId="7" borderId="19" xfId="0" applyFont="1" applyFill="1" applyBorder="1" applyAlignment="1">
      <alignment horizontal="left" vertical="top" wrapText="1"/>
    </xf>
    <xf numFmtId="166" fontId="22" fillId="7" borderId="48" xfId="0" applyNumberFormat="1" applyFont="1" applyFill="1" applyBorder="1" applyAlignment="1">
      <alignment horizontal="left" vertical="top" wrapText="1"/>
    </xf>
    <xf numFmtId="166" fontId="24" fillId="7" borderId="19" xfId="0" applyNumberFormat="1" applyFont="1" applyFill="1" applyBorder="1" applyAlignment="1">
      <alignment horizontal="left" vertical="top" wrapText="1"/>
    </xf>
    <xf numFmtId="166" fontId="2" fillId="7" borderId="19" xfId="0" applyNumberFormat="1" applyFont="1" applyFill="1" applyBorder="1" applyAlignment="1">
      <alignment vertical="top" wrapText="1"/>
    </xf>
    <xf numFmtId="166" fontId="18" fillId="7" borderId="53" xfId="0" applyNumberFormat="1" applyFont="1" applyFill="1" applyBorder="1" applyAlignment="1">
      <alignment horizontal="left" vertical="top" wrapText="1"/>
    </xf>
    <xf numFmtId="166" fontId="2" fillId="7" borderId="19" xfId="0" applyNumberFormat="1" applyFont="1" applyFill="1" applyBorder="1" applyAlignment="1">
      <alignment horizontal="left" vertical="top" wrapText="1"/>
    </xf>
    <xf numFmtId="0" fontId="2" fillId="7" borderId="96" xfId="0" applyFont="1" applyFill="1" applyBorder="1" applyAlignment="1">
      <alignment horizontal="left" vertical="top" wrapText="1"/>
    </xf>
    <xf numFmtId="0" fontId="2" fillId="7" borderId="94" xfId="0" applyFont="1" applyFill="1" applyBorder="1" applyAlignment="1">
      <alignment horizontal="left" vertical="top" wrapText="1"/>
    </xf>
    <xf numFmtId="166" fontId="18" fillId="7" borderId="19" xfId="0" applyNumberFormat="1" applyFont="1" applyFill="1" applyBorder="1" applyAlignment="1">
      <alignment vertical="top" wrapText="1"/>
    </xf>
    <xf numFmtId="0" fontId="27" fillId="7" borderId="48" xfId="0" applyFont="1" applyFill="1" applyBorder="1" applyAlignment="1">
      <alignment vertical="top" wrapText="1"/>
    </xf>
    <xf numFmtId="0" fontId="22" fillId="7" borderId="19" xfId="0" applyFont="1" applyFill="1" applyBorder="1" applyAlignment="1">
      <alignment vertical="top" wrapText="1"/>
    </xf>
    <xf numFmtId="0" fontId="22" fillId="7" borderId="48" xfId="0" applyFont="1" applyFill="1" applyBorder="1" applyAlignment="1">
      <alignment vertical="top" wrapText="1"/>
    </xf>
    <xf numFmtId="166" fontId="2" fillId="7" borderId="41" xfId="0" applyNumberFormat="1" applyFont="1" applyFill="1" applyBorder="1" applyAlignment="1">
      <alignment horizontal="left" vertical="top" wrapText="1"/>
    </xf>
    <xf numFmtId="166" fontId="2" fillId="7" borderId="46" xfId="0" applyNumberFormat="1" applyFont="1" applyFill="1" applyBorder="1" applyAlignment="1">
      <alignment horizontal="left" vertical="top" wrapText="1"/>
    </xf>
    <xf numFmtId="166" fontId="2" fillId="3" borderId="61" xfId="0" applyNumberFormat="1" applyFont="1" applyFill="1" applyBorder="1" applyAlignment="1">
      <alignment vertical="top" wrapText="1"/>
    </xf>
    <xf numFmtId="166" fontId="2" fillId="7" borderId="41" xfId="0" applyNumberFormat="1" applyFont="1" applyFill="1" applyBorder="1" applyAlignment="1">
      <alignment vertical="top" wrapText="1"/>
    </xf>
    <xf numFmtId="166" fontId="2" fillId="0" borderId="19" xfId="0" applyNumberFormat="1" applyFont="1" applyFill="1" applyBorder="1" applyAlignment="1">
      <alignment vertical="top" wrapText="1"/>
    </xf>
    <xf numFmtId="166" fontId="22" fillId="7" borderId="48" xfId="0" applyNumberFormat="1" applyFont="1" applyFill="1" applyBorder="1" applyAlignment="1">
      <alignment vertical="top" wrapText="1"/>
    </xf>
    <xf numFmtId="166" fontId="22" fillId="7" borderId="46" xfId="0" applyNumberFormat="1" applyFont="1" applyFill="1" applyBorder="1" applyAlignment="1">
      <alignment vertical="top" wrapText="1"/>
    </xf>
    <xf numFmtId="165" fontId="2" fillId="7" borderId="44" xfId="0" applyNumberFormat="1" applyFont="1" applyFill="1" applyBorder="1" applyAlignment="1">
      <alignment horizontal="center" vertical="top"/>
    </xf>
    <xf numFmtId="165" fontId="2" fillId="7" borderId="54" xfId="0" applyNumberFormat="1" applyFont="1" applyFill="1" applyBorder="1" applyAlignment="1">
      <alignment horizontal="center" vertical="top"/>
    </xf>
    <xf numFmtId="166" fontId="2" fillId="7" borderId="54" xfId="0" applyNumberFormat="1" applyFont="1" applyFill="1" applyBorder="1" applyAlignment="1">
      <alignment horizontal="center"/>
    </xf>
    <xf numFmtId="166" fontId="2" fillId="0" borderId="44" xfId="0" applyNumberFormat="1" applyFont="1" applyBorder="1" applyAlignment="1">
      <alignment vertical="top"/>
    </xf>
    <xf numFmtId="3" fontId="2" fillId="7" borderId="118" xfId="0" applyNumberFormat="1" applyFont="1" applyFill="1" applyBorder="1" applyAlignment="1">
      <alignment horizontal="center" vertical="top"/>
    </xf>
    <xf numFmtId="0" fontId="2" fillId="7" borderId="47" xfId="0" applyFont="1" applyFill="1" applyBorder="1" applyAlignment="1">
      <alignment horizontal="right" vertical="center"/>
    </xf>
    <xf numFmtId="0" fontId="25" fillId="7" borderId="35" xfId="0" applyFont="1" applyFill="1" applyBorder="1" applyAlignment="1">
      <alignment horizontal="right" vertical="center"/>
    </xf>
    <xf numFmtId="3" fontId="2" fillId="7" borderId="112" xfId="0" applyNumberFormat="1" applyFont="1" applyFill="1" applyBorder="1" applyAlignment="1">
      <alignment horizontal="center" vertical="top"/>
    </xf>
    <xf numFmtId="3" fontId="2" fillId="0" borderId="26" xfId="0" applyNumberFormat="1" applyFont="1" applyFill="1" applyBorder="1" applyAlignment="1">
      <alignment horizontal="center" vertical="top" wrapText="1"/>
    </xf>
    <xf numFmtId="166" fontId="2" fillId="0" borderId="11" xfId="0" applyNumberFormat="1" applyFont="1" applyBorder="1" applyAlignment="1">
      <alignment vertical="top"/>
    </xf>
    <xf numFmtId="166" fontId="2" fillId="3" borderId="18" xfId="0" applyNumberFormat="1" applyFont="1" applyFill="1" applyBorder="1" applyAlignment="1">
      <alignment horizontal="center" vertical="top"/>
    </xf>
    <xf numFmtId="166" fontId="2" fillId="3" borderId="25" xfId="0" applyNumberFormat="1" applyFont="1" applyFill="1" applyBorder="1" applyAlignment="1">
      <alignment horizontal="center" vertical="top"/>
    </xf>
    <xf numFmtId="3" fontId="6" fillId="7" borderId="49" xfId="0" applyNumberFormat="1" applyFont="1" applyFill="1" applyBorder="1" applyAlignment="1">
      <alignment horizontal="center" vertical="top"/>
    </xf>
    <xf numFmtId="3" fontId="6" fillId="0" borderId="49" xfId="0" applyNumberFormat="1" applyFont="1" applyFill="1" applyBorder="1" applyAlignment="1">
      <alignment horizontal="center" vertical="top"/>
    </xf>
    <xf numFmtId="166" fontId="3" fillId="2" borderId="73" xfId="0" applyNumberFormat="1" applyFont="1" applyFill="1" applyBorder="1" applyAlignment="1">
      <alignment horizontal="center" vertical="top"/>
    </xf>
    <xf numFmtId="166" fontId="2" fillId="7" borderId="41" xfId="0" applyNumberFormat="1" applyFont="1" applyFill="1" applyBorder="1" applyAlignment="1">
      <alignment horizontal="center" vertical="top"/>
    </xf>
    <xf numFmtId="166" fontId="2" fillId="7" borderId="36" xfId="0" applyNumberFormat="1" applyFont="1" applyFill="1" applyBorder="1" applyAlignment="1">
      <alignment vertical="top" wrapText="1"/>
    </xf>
    <xf numFmtId="166" fontId="2" fillId="7" borderId="96" xfId="0" applyNumberFormat="1" applyFont="1" applyFill="1" applyBorder="1" applyAlignment="1">
      <alignment vertical="top" wrapText="1"/>
    </xf>
    <xf numFmtId="0" fontId="2" fillId="7" borderId="120" xfId="0" applyFont="1" applyFill="1" applyBorder="1" applyAlignment="1">
      <alignment horizontal="left" vertical="top" wrapText="1"/>
    </xf>
    <xf numFmtId="166" fontId="2" fillId="0" borderId="41" xfId="0" applyNumberFormat="1" applyFont="1" applyFill="1" applyBorder="1" applyAlignment="1">
      <alignment vertical="top" wrapText="1"/>
    </xf>
    <xf numFmtId="0" fontId="2" fillId="7" borderId="19" xfId="0" applyFont="1" applyFill="1" applyBorder="1" applyAlignment="1">
      <alignment vertical="top" wrapText="1"/>
    </xf>
    <xf numFmtId="166" fontId="3" fillId="8" borderId="44" xfId="0" applyNumberFormat="1" applyFont="1" applyFill="1" applyBorder="1" applyAlignment="1">
      <alignment horizontal="center" vertical="top"/>
    </xf>
    <xf numFmtId="166" fontId="3" fillId="5" borderId="56" xfId="0" applyNumberFormat="1" applyFont="1" applyFill="1" applyBorder="1" applyAlignment="1">
      <alignment horizontal="center" vertical="top"/>
    </xf>
    <xf numFmtId="166" fontId="3" fillId="9" borderId="30" xfId="0" applyNumberFormat="1" applyFont="1" applyFill="1" applyBorder="1" applyAlignment="1">
      <alignment horizontal="center" vertical="top"/>
    </xf>
    <xf numFmtId="166" fontId="3" fillId="5" borderId="4" xfId="0" applyNumberFormat="1" applyFont="1" applyFill="1" applyBorder="1" applyAlignment="1">
      <alignment horizontal="center" vertical="top"/>
    </xf>
    <xf numFmtId="166" fontId="2" fillId="0" borderId="46" xfId="0" applyNumberFormat="1" applyFont="1" applyFill="1" applyBorder="1" applyAlignment="1">
      <alignment horizontal="left" vertical="top" wrapText="1"/>
    </xf>
    <xf numFmtId="166" fontId="2" fillId="0" borderId="94" xfId="0" applyNumberFormat="1" applyFont="1" applyFill="1" applyBorder="1" applyAlignment="1">
      <alignment horizontal="left" vertical="top" wrapText="1"/>
    </xf>
    <xf numFmtId="166" fontId="8" fillId="7" borderId="32" xfId="0" applyNumberFormat="1" applyFont="1" applyFill="1" applyBorder="1" applyAlignment="1">
      <alignment vertical="top" wrapText="1"/>
    </xf>
    <xf numFmtId="166" fontId="6" fillId="7" borderId="31" xfId="0" applyNumberFormat="1" applyFont="1" applyFill="1" applyBorder="1" applyAlignment="1">
      <alignment horizontal="center" vertical="top" wrapText="1"/>
    </xf>
    <xf numFmtId="166" fontId="3" fillId="8" borderId="1" xfId="0" applyNumberFormat="1" applyFont="1" applyFill="1" applyBorder="1" applyAlignment="1">
      <alignment horizontal="center" vertical="top" wrapText="1"/>
    </xf>
    <xf numFmtId="166" fontId="2" fillId="7" borderId="1" xfId="0" applyNumberFormat="1" applyFont="1" applyFill="1" applyBorder="1" applyAlignment="1">
      <alignment horizontal="center" vertical="top" wrapText="1"/>
    </xf>
    <xf numFmtId="166" fontId="2" fillId="8" borderId="1" xfId="0" applyNumberFormat="1" applyFont="1" applyFill="1" applyBorder="1" applyAlignment="1">
      <alignment horizontal="center" vertical="top" wrapText="1"/>
    </xf>
    <xf numFmtId="166" fontId="3" fillId="5" borderId="1" xfId="0" applyNumberFormat="1" applyFont="1" applyFill="1" applyBorder="1" applyAlignment="1">
      <alignment horizontal="center" vertical="top" wrapText="1"/>
    </xf>
    <xf numFmtId="166" fontId="3" fillId="5" borderId="68" xfId="0" applyNumberFormat="1" applyFont="1" applyFill="1" applyBorder="1" applyAlignment="1">
      <alignment horizontal="center" vertical="top"/>
    </xf>
    <xf numFmtId="166" fontId="3" fillId="5" borderId="1" xfId="0" applyNumberFormat="1" applyFont="1" applyFill="1" applyBorder="1" applyAlignment="1">
      <alignment horizontal="center" vertical="top"/>
    </xf>
    <xf numFmtId="166" fontId="3" fillId="5" borderId="43" xfId="0" applyNumberFormat="1" applyFont="1" applyFill="1" applyBorder="1" applyAlignment="1">
      <alignment horizontal="center" vertical="top"/>
    </xf>
    <xf numFmtId="166" fontId="3" fillId="8" borderId="68" xfId="0" applyNumberFormat="1" applyFont="1" applyFill="1" applyBorder="1" applyAlignment="1">
      <alignment horizontal="center" vertical="top"/>
    </xf>
    <xf numFmtId="166" fontId="3" fillId="8" borderId="1" xfId="0" applyNumberFormat="1" applyFont="1" applyFill="1" applyBorder="1" applyAlignment="1">
      <alignment horizontal="center" vertical="top"/>
    </xf>
    <xf numFmtId="166" fontId="3" fillId="8" borderId="43" xfId="0" applyNumberFormat="1" applyFont="1" applyFill="1" applyBorder="1" applyAlignment="1">
      <alignment horizontal="center" vertical="top"/>
    </xf>
    <xf numFmtId="166" fontId="2" fillId="8" borderId="68" xfId="0" applyNumberFormat="1" applyFont="1" applyFill="1" applyBorder="1" applyAlignment="1">
      <alignment horizontal="center" vertical="top"/>
    </xf>
    <xf numFmtId="166" fontId="2" fillId="8" borderId="1" xfId="0" applyNumberFormat="1" applyFont="1" applyFill="1" applyBorder="1" applyAlignment="1">
      <alignment horizontal="center" vertical="top"/>
    </xf>
    <xf numFmtId="166" fontId="3" fillId="11" borderId="73" xfId="0" applyNumberFormat="1" applyFont="1" applyFill="1" applyBorder="1" applyAlignment="1">
      <alignment horizontal="center" vertical="top" wrapText="1"/>
    </xf>
    <xf numFmtId="166" fontId="3" fillId="11" borderId="30" xfId="0" applyNumberFormat="1" applyFont="1" applyFill="1" applyBorder="1" applyAlignment="1">
      <alignment horizontal="center" vertical="top" wrapText="1"/>
    </xf>
    <xf numFmtId="166" fontId="3" fillId="11" borderId="73" xfId="0" applyNumberFormat="1" applyFont="1" applyFill="1" applyBorder="1" applyAlignment="1">
      <alignment horizontal="center" vertical="top"/>
    </xf>
    <xf numFmtId="166" fontId="3" fillId="11" borderId="30" xfId="0" applyNumberFormat="1" applyFont="1" applyFill="1" applyBorder="1" applyAlignment="1">
      <alignment horizontal="center" vertical="top"/>
    </xf>
    <xf numFmtId="166" fontId="3" fillId="11" borderId="33" xfId="0" applyNumberFormat="1" applyFont="1" applyFill="1" applyBorder="1" applyAlignment="1">
      <alignment horizontal="center" vertical="top"/>
    </xf>
    <xf numFmtId="166" fontId="13" fillId="7" borderId="28" xfId="0" applyNumberFormat="1" applyFont="1" applyFill="1" applyBorder="1" applyAlignment="1">
      <alignment horizontal="center" vertical="top"/>
    </xf>
    <xf numFmtId="166" fontId="13" fillId="7" borderId="52" xfId="0" applyNumberFormat="1" applyFont="1" applyFill="1" applyBorder="1" applyAlignment="1">
      <alignment horizontal="center" vertical="top"/>
    </xf>
    <xf numFmtId="166" fontId="13" fillId="7" borderId="0" xfId="0" applyNumberFormat="1" applyFont="1" applyFill="1" applyBorder="1" applyAlignment="1">
      <alignment horizontal="center" vertical="top"/>
    </xf>
    <xf numFmtId="166" fontId="13" fillId="7" borderId="76"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0" fontId="2" fillId="0" borderId="19" xfId="0" applyFont="1" applyBorder="1" applyAlignment="1">
      <alignment horizontal="left" vertical="top" wrapText="1"/>
    </xf>
    <xf numFmtId="166" fontId="22" fillId="7" borderId="7" xfId="0" applyNumberFormat="1" applyFont="1" applyFill="1" applyBorder="1" applyAlignment="1">
      <alignment horizontal="left" vertical="top" wrapText="1"/>
    </xf>
    <xf numFmtId="166" fontId="2" fillId="7" borderId="63" xfId="0" applyNumberFormat="1" applyFont="1" applyFill="1" applyBorder="1" applyAlignment="1">
      <alignment horizontal="center" vertical="top" wrapText="1"/>
    </xf>
    <xf numFmtId="166" fontId="2" fillId="0" borderId="68" xfId="0" applyNumberFormat="1" applyFont="1" applyBorder="1" applyAlignment="1">
      <alignment horizontal="center" vertical="top" wrapText="1"/>
    </xf>
    <xf numFmtId="166" fontId="2" fillId="8" borderId="63" xfId="0" applyNumberFormat="1" applyFont="1" applyFill="1" applyBorder="1" applyAlignment="1">
      <alignment horizontal="center" vertical="top" wrapText="1"/>
    </xf>
    <xf numFmtId="0" fontId="3" fillId="0" borderId="0" xfId="0" applyNumberFormat="1" applyFont="1" applyFill="1" applyAlignment="1">
      <alignment vertical="top"/>
    </xf>
    <xf numFmtId="0" fontId="2" fillId="0" borderId="0" xfId="0" applyFont="1" applyFill="1" applyAlignment="1">
      <alignment horizontal="center" vertical="top"/>
    </xf>
    <xf numFmtId="3" fontId="2" fillId="0" borderId="0" xfId="0" applyNumberFormat="1" applyFont="1" applyFill="1" applyAlignment="1">
      <alignment vertical="top"/>
    </xf>
    <xf numFmtId="166" fontId="2" fillId="7" borderId="43" xfId="0" applyNumberFormat="1" applyFont="1" applyFill="1" applyBorder="1" applyAlignment="1">
      <alignment horizontal="center" vertical="top"/>
    </xf>
    <xf numFmtId="166" fontId="2" fillId="8" borderId="43" xfId="0" applyNumberFormat="1" applyFont="1" applyFill="1" applyBorder="1" applyAlignment="1">
      <alignment horizontal="center" vertical="top"/>
    </xf>
    <xf numFmtId="166" fontId="3" fillId="7" borderId="49" xfId="0" applyNumberFormat="1" applyFont="1" applyFill="1" applyBorder="1" applyAlignment="1">
      <alignment horizontal="center" vertical="top" wrapText="1"/>
    </xf>
    <xf numFmtId="3" fontId="2" fillId="7" borderId="8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82" xfId="0" applyNumberFormat="1" applyFont="1" applyFill="1" applyBorder="1" applyAlignment="1">
      <alignment horizontal="center" vertical="top"/>
    </xf>
    <xf numFmtId="0" fontId="2" fillId="0" borderId="0" xfId="0" applyFont="1" applyFill="1" applyBorder="1" applyAlignment="1">
      <alignment vertical="top"/>
    </xf>
    <xf numFmtId="0" fontId="25" fillId="7" borderId="18" xfId="0" applyFont="1" applyFill="1" applyBorder="1" applyAlignment="1">
      <alignment horizontal="right" vertical="center"/>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166" fontId="13" fillId="0" borderId="34" xfId="0" applyNumberFormat="1" applyFont="1" applyFill="1" applyBorder="1" applyAlignment="1">
      <alignment horizontal="center" vertical="top"/>
    </xf>
    <xf numFmtId="166" fontId="13" fillId="0" borderId="11" xfId="0" applyNumberFormat="1" applyFont="1" applyFill="1" applyBorder="1" applyAlignment="1">
      <alignment horizontal="center" vertical="top"/>
    </xf>
    <xf numFmtId="166" fontId="13" fillId="7" borderId="44" xfId="0" applyNumberFormat="1" applyFont="1" applyFill="1" applyBorder="1" applyAlignment="1">
      <alignment horizontal="center" vertical="top"/>
    </xf>
    <xf numFmtId="166" fontId="13" fillId="7" borderId="51" xfId="0" applyNumberFormat="1" applyFont="1" applyFill="1" applyBorder="1" applyAlignment="1">
      <alignment horizontal="center" vertical="top"/>
    </xf>
    <xf numFmtId="166" fontId="2" fillId="7" borderId="0" xfId="0" applyNumberFormat="1" applyFont="1" applyFill="1" applyBorder="1" applyAlignment="1">
      <alignment horizontal="center" vertical="center" wrapText="1"/>
    </xf>
    <xf numFmtId="166" fontId="13" fillId="7" borderId="20" xfId="0" applyNumberFormat="1" applyFont="1" applyFill="1" applyBorder="1" applyAlignment="1">
      <alignment horizontal="center" vertical="top"/>
    </xf>
    <xf numFmtId="166" fontId="13" fillId="7" borderId="39" xfId="0" applyNumberFormat="1" applyFont="1" applyFill="1" applyBorder="1" applyAlignment="1">
      <alignment horizontal="center" vertical="top"/>
    </xf>
    <xf numFmtId="166" fontId="13" fillId="7" borderId="60"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13" fillId="7" borderId="54" xfId="0" applyNumberFormat="1" applyFont="1" applyFill="1" applyBorder="1" applyAlignment="1">
      <alignment horizontal="center" vertical="top"/>
    </xf>
    <xf numFmtId="3" fontId="13" fillId="7" borderId="30" xfId="2" applyNumberFormat="1" applyFont="1" applyFill="1" applyBorder="1" applyAlignment="1">
      <alignment horizontal="center" vertical="top"/>
    </xf>
    <xf numFmtId="3" fontId="2" fillId="0" borderId="18" xfId="0" applyNumberFormat="1" applyFont="1" applyFill="1" applyBorder="1" applyAlignment="1">
      <alignment horizontal="left" vertical="top" wrapText="1"/>
    </xf>
    <xf numFmtId="166" fontId="3" fillId="2" borderId="30" xfId="0" applyNumberFormat="1" applyFont="1" applyFill="1" applyBorder="1" applyAlignment="1">
      <alignment horizontal="center" vertical="top"/>
    </xf>
    <xf numFmtId="3" fontId="2" fillId="7" borderId="18" xfId="0" applyNumberFormat="1" applyFont="1" applyFill="1" applyBorder="1" applyAlignment="1">
      <alignment horizontal="left" vertical="top" wrapText="1"/>
    </xf>
    <xf numFmtId="166" fontId="3" fillId="9" borderId="57" xfId="0" applyNumberFormat="1" applyFont="1" applyFill="1" applyBorder="1" applyAlignment="1">
      <alignment horizontal="center" vertical="top"/>
    </xf>
    <xf numFmtId="166" fontId="3" fillId="5" borderId="75" xfId="0" applyNumberFormat="1" applyFont="1" applyFill="1" applyBorder="1" applyAlignment="1">
      <alignment horizontal="center" vertical="top"/>
    </xf>
    <xf numFmtId="166" fontId="3" fillId="2" borderId="31" xfId="0" applyNumberFormat="1" applyFont="1" applyFill="1" applyBorder="1" applyAlignment="1">
      <alignment horizontal="center" vertical="top"/>
    </xf>
    <xf numFmtId="0" fontId="2" fillId="7" borderId="110" xfId="0" applyFont="1" applyFill="1" applyBorder="1" applyAlignment="1">
      <alignment horizontal="left" vertical="top" wrapText="1"/>
    </xf>
    <xf numFmtId="166" fontId="22" fillId="7" borderId="46" xfId="0" applyNumberFormat="1" applyFont="1" applyFill="1" applyBorder="1" applyAlignment="1">
      <alignment horizontal="left" vertical="top" wrapText="1"/>
    </xf>
    <xf numFmtId="3" fontId="2" fillId="7" borderId="18"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15" fillId="7" borderId="11" xfId="0" applyNumberFormat="1" applyFont="1" applyFill="1" applyBorder="1" applyAlignment="1">
      <alignment horizontal="center" vertical="center" wrapText="1"/>
    </xf>
    <xf numFmtId="165" fontId="13" fillId="7" borderId="44" xfId="0" applyNumberFormat="1" applyFont="1" applyFill="1" applyBorder="1" applyAlignment="1">
      <alignment horizontal="center" vertical="top"/>
    </xf>
    <xf numFmtId="166" fontId="13" fillId="7" borderId="50" xfId="0" applyNumberFormat="1" applyFont="1" applyFill="1" applyBorder="1" applyAlignment="1">
      <alignment horizontal="center" vertical="top"/>
    </xf>
    <xf numFmtId="166" fontId="13" fillId="7" borderId="0" xfId="0" applyNumberFormat="1" applyFont="1" applyFill="1" applyBorder="1" applyAlignment="1">
      <alignment horizontal="center" vertical="top" wrapText="1"/>
    </xf>
    <xf numFmtId="166" fontId="2" fillId="7" borderId="20" xfId="0" applyNumberFormat="1" applyFont="1" applyFill="1" applyBorder="1" applyAlignment="1">
      <alignment horizontal="center" vertical="top" wrapText="1"/>
    </xf>
    <xf numFmtId="166" fontId="2" fillId="7" borderId="39" xfId="0" applyNumberFormat="1" applyFont="1" applyFill="1" applyBorder="1" applyAlignment="1">
      <alignment horizontal="center" vertical="top" wrapText="1"/>
    </xf>
    <xf numFmtId="166" fontId="13" fillId="7" borderId="20" xfId="0" applyNumberFormat="1" applyFont="1" applyFill="1" applyBorder="1" applyAlignment="1">
      <alignment horizontal="center" vertical="top" wrapText="1"/>
    </xf>
    <xf numFmtId="166" fontId="13" fillId="7" borderId="60" xfId="0" applyNumberFormat="1" applyFont="1" applyFill="1" applyBorder="1" applyAlignment="1">
      <alignment horizontal="center" vertical="top" wrapText="1"/>
    </xf>
    <xf numFmtId="0" fontId="27" fillId="7" borderId="46" xfId="0" applyFont="1" applyFill="1" applyBorder="1" applyAlignment="1">
      <alignment vertical="top" wrapText="1"/>
    </xf>
    <xf numFmtId="166" fontId="2" fillId="7" borderId="76" xfId="0" applyNumberFormat="1" applyFont="1" applyFill="1" applyBorder="1" applyAlignment="1">
      <alignment horizontal="right" vertical="top" wrapText="1"/>
    </xf>
    <xf numFmtId="166" fontId="2" fillId="7" borderId="28" xfId="0" applyNumberFormat="1" applyFont="1" applyFill="1" applyBorder="1" applyAlignment="1">
      <alignment horizontal="right" vertical="top" wrapText="1"/>
    </xf>
    <xf numFmtId="166" fontId="2" fillId="7" borderId="65" xfId="0" applyNumberFormat="1" applyFont="1" applyFill="1" applyBorder="1" applyAlignment="1">
      <alignment horizontal="right" vertical="top" wrapText="1"/>
    </xf>
    <xf numFmtId="166" fontId="2" fillId="7" borderId="54" xfId="0" applyNumberFormat="1" applyFont="1" applyFill="1" applyBorder="1" applyAlignment="1">
      <alignment horizontal="right" vertical="top" wrapText="1"/>
    </xf>
    <xf numFmtId="0" fontId="27" fillId="7" borderId="19" xfId="0" applyFont="1" applyFill="1" applyBorder="1" applyAlignment="1">
      <alignment vertical="top" wrapText="1"/>
    </xf>
    <xf numFmtId="166" fontId="3" fillId="5" borderId="16" xfId="0" applyNumberFormat="1" applyFont="1" applyFill="1" applyBorder="1" applyAlignment="1">
      <alignment horizontal="center" vertical="top"/>
    </xf>
    <xf numFmtId="166" fontId="3" fillId="8" borderId="16" xfId="0" applyNumberFormat="1" applyFont="1" applyFill="1" applyBorder="1" applyAlignment="1">
      <alignment horizontal="center" vertical="top"/>
    </xf>
    <xf numFmtId="166" fontId="2" fillId="7" borderId="16" xfId="0" applyNumberFormat="1" applyFont="1" applyFill="1" applyBorder="1" applyAlignment="1">
      <alignment horizontal="center" vertical="top"/>
    </xf>
    <xf numFmtId="166" fontId="2" fillId="7" borderId="17" xfId="0" applyNumberFormat="1" applyFont="1" applyFill="1" applyBorder="1" applyAlignment="1">
      <alignment horizontal="center" vertical="top"/>
    </xf>
    <xf numFmtId="166" fontId="2" fillId="8" borderId="16" xfId="0" applyNumberFormat="1" applyFont="1" applyFill="1" applyBorder="1" applyAlignment="1">
      <alignment horizontal="center" vertical="top"/>
    </xf>
    <xf numFmtId="166" fontId="3" fillId="11" borderId="9" xfId="0" applyNumberFormat="1" applyFont="1" applyFill="1" applyBorder="1" applyAlignment="1">
      <alignment horizontal="center" vertical="top"/>
    </xf>
    <xf numFmtId="166" fontId="3" fillId="8" borderId="17" xfId="0" applyNumberFormat="1" applyFont="1" applyFill="1" applyBorder="1" applyAlignment="1">
      <alignment horizontal="center" vertical="top"/>
    </xf>
    <xf numFmtId="166" fontId="2" fillId="0" borderId="0" xfId="0" applyNumberFormat="1" applyFont="1" applyAlignment="1">
      <alignment horizontal="left" vertical="top" wrapText="1"/>
    </xf>
    <xf numFmtId="0" fontId="3" fillId="0" borderId="0" xfId="0" applyNumberFormat="1" applyFont="1" applyFill="1" applyAlignment="1">
      <alignment horizontal="center" vertical="top"/>
    </xf>
    <xf numFmtId="0" fontId="2" fillId="0" borderId="0" xfId="0" applyFont="1" applyAlignment="1">
      <alignment horizontal="left" vertical="top" wrapText="1"/>
    </xf>
    <xf numFmtId="0" fontId="0" fillId="0" borderId="0" xfId="0" applyAlignment="1">
      <alignment horizontal="left" vertical="top" wrapText="1"/>
    </xf>
    <xf numFmtId="0" fontId="8" fillId="0" borderId="0" xfId="0" applyFont="1" applyAlignment="1">
      <alignment horizontal="left" vertical="top"/>
    </xf>
    <xf numFmtId="0" fontId="0" fillId="0" borderId="0" xfId="0" applyFill="1" applyAlignment="1">
      <alignment horizontal="left" vertical="top" wrapText="1"/>
    </xf>
    <xf numFmtId="3" fontId="2" fillId="0" borderId="0" xfId="0" applyNumberFormat="1" applyFont="1" applyFill="1" applyBorder="1" applyAlignment="1">
      <alignment vertical="top"/>
    </xf>
    <xf numFmtId="0" fontId="8" fillId="0" borderId="0" xfId="0" applyFont="1" applyFill="1"/>
    <xf numFmtId="164" fontId="2" fillId="0" borderId="0" xfId="1" applyFont="1" applyFill="1" applyBorder="1" applyAlignment="1">
      <alignment vertical="top"/>
    </xf>
    <xf numFmtId="166" fontId="2" fillId="0" borderId="0" xfId="0" applyNumberFormat="1" applyFont="1" applyFill="1" applyBorder="1" applyAlignment="1">
      <alignment vertical="top"/>
    </xf>
    <xf numFmtId="166" fontId="2" fillId="0" borderId="0" xfId="0" applyNumberFormat="1" applyFont="1" applyFill="1" applyAlignment="1">
      <alignment vertical="top"/>
    </xf>
    <xf numFmtId="166" fontId="13" fillId="0" borderId="0" xfId="0" applyNumberFormat="1" applyFont="1" applyFill="1" applyAlignment="1">
      <alignment vertical="top"/>
    </xf>
    <xf numFmtId="3" fontId="2" fillId="0" borderId="28" xfId="0" applyNumberFormat="1" applyFont="1" applyFill="1" applyBorder="1" applyAlignment="1">
      <alignment horizontal="center" vertical="top"/>
    </xf>
    <xf numFmtId="3" fontId="2" fillId="7" borderId="47"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0" borderId="35"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49" fontId="3" fillId="7" borderId="11" xfId="0" applyNumberFormat="1" applyFont="1" applyFill="1" applyBorder="1" applyAlignment="1">
      <alignment horizontal="center" vertical="top"/>
    </xf>
    <xf numFmtId="166" fontId="2" fillId="2" borderId="72"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8" fillId="7" borderId="35" xfId="0" applyNumberFormat="1" applyFont="1" applyFill="1" applyBorder="1" applyAlignment="1">
      <alignment vertical="top" wrapText="1"/>
    </xf>
    <xf numFmtId="166" fontId="3" fillId="7" borderId="49"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3" fontId="2" fillId="7" borderId="47" xfId="0" applyNumberFormat="1" applyFont="1" applyFill="1" applyBorder="1" applyAlignment="1">
      <alignment horizontal="center" vertical="top"/>
    </xf>
    <xf numFmtId="3" fontId="13" fillId="7" borderId="11" xfId="0" applyNumberFormat="1" applyFont="1" applyFill="1" applyBorder="1" applyAlignment="1">
      <alignment horizontal="center" vertical="top" wrapText="1"/>
    </xf>
    <xf numFmtId="3" fontId="2" fillId="7" borderId="18" xfId="0" applyNumberFormat="1" applyFont="1" applyFill="1" applyBorder="1" applyAlignment="1">
      <alignment horizontal="center" vertical="top"/>
    </xf>
    <xf numFmtId="3" fontId="2" fillId="0" borderId="47" xfId="0" applyNumberFormat="1" applyFont="1" applyFill="1" applyBorder="1" applyAlignment="1">
      <alignment horizontal="center" vertical="top"/>
    </xf>
    <xf numFmtId="3" fontId="2" fillId="7" borderId="60" xfId="0" applyNumberFormat="1" applyFont="1" applyFill="1" applyBorder="1" applyAlignment="1">
      <alignment horizontal="center" vertical="top"/>
    </xf>
    <xf numFmtId="3" fontId="2" fillId="0" borderId="1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3" fontId="2" fillId="7" borderId="21"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2" fillId="2" borderId="32" xfId="0" applyNumberFormat="1" applyFont="1" applyFill="1" applyBorder="1" applyAlignment="1">
      <alignment horizontal="center" vertical="top" wrapText="1"/>
    </xf>
    <xf numFmtId="166" fontId="18" fillId="7" borderId="18" xfId="0" applyNumberFormat="1" applyFont="1" applyFill="1" applyBorder="1" applyAlignment="1">
      <alignment horizontal="center" vertical="center" wrapText="1"/>
    </xf>
    <xf numFmtId="166" fontId="3" fillId="7" borderId="28" xfId="0" applyNumberFormat="1" applyFont="1" applyFill="1" applyBorder="1" applyAlignment="1">
      <alignment horizontal="center" vertical="top"/>
    </xf>
    <xf numFmtId="166" fontId="3" fillId="4" borderId="73" xfId="0" applyNumberFormat="1" applyFont="1" applyFill="1" applyBorder="1" applyAlignment="1">
      <alignment horizontal="center" vertical="top" wrapText="1"/>
    </xf>
    <xf numFmtId="3" fontId="3" fillId="0" borderId="69" xfId="0" applyNumberFormat="1" applyFont="1" applyBorder="1" applyAlignment="1">
      <alignment horizontal="center" vertical="center" wrapText="1"/>
    </xf>
    <xf numFmtId="166" fontId="3" fillId="5" borderId="69" xfId="0" applyNumberFormat="1" applyFont="1" applyFill="1" applyBorder="1" applyAlignment="1">
      <alignment horizontal="center" vertical="top" wrapText="1"/>
    </xf>
    <xf numFmtId="166" fontId="3" fillId="8" borderId="68" xfId="0" applyNumberFormat="1" applyFont="1" applyFill="1" applyBorder="1" applyAlignment="1">
      <alignment horizontal="center" vertical="top" wrapText="1"/>
    </xf>
    <xf numFmtId="166" fontId="2" fillId="7" borderId="68" xfId="0" applyNumberFormat="1" applyFont="1" applyFill="1" applyBorder="1" applyAlignment="1">
      <alignment horizontal="center" vertical="top" wrapText="1"/>
    </xf>
    <xf numFmtId="166" fontId="2" fillId="0" borderId="68" xfId="0" applyNumberFormat="1" applyFont="1" applyBorder="1" applyAlignment="1">
      <alignment horizontal="center" vertical="top" wrapText="1"/>
    </xf>
    <xf numFmtId="166" fontId="2" fillId="8" borderId="68" xfId="0" applyNumberFormat="1" applyFont="1" applyFill="1" applyBorder="1" applyAlignment="1">
      <alignment horizontal="center" vertical="top" wrapText="1"/>
    </xf>
    <xf numFmtId="166" fontId="3" fillId="5" borderId="68" xfId="0" applyNumberFormat="1" applyFont="1" applyFill="1" applyBorder="1" applyAlignment="1">
      <alignment horizontal="center" vertical="top" wrapText="1"/>
    </xf>
    <xf numFmtId="3" fontId="2" fillId="7" borderId="21" xfId="0" applyNumberFormat="1" applyFont="1" applyFill="1" applyBorder="1" applyAlignment="1">
      <alignment horizontal="center" vertical="top"/>
    </xf>
    <xf numFmtId="3" fontId="2" fillId="7" borderId="82" xfId="0" applyNumberFormat="1" applyFont="1" applyFill="1" applyBorder="1" applyAlignment="1">
      <alignment horizontal="center" vertical="top"/>
    </xf>
    <xf numFmtId="0" fontId="2" fillId="0" borderId="76" xfId="0" applyFont="1" applyBorder="1" applyAlignment="1">
      <alignment vertical="top"/>
    </xf>
    <xf numFmtId="3" fontId="2" fillId="0" borderId="74" xfId="0" applyNumberFormat="1" applyFont="1" applyFill="1" applyBorder="1" applyAlignment="1">
      <alignment horizontal="center" vertical="top" wrapText="1"/>
    </xf>
    <xf numFmtId="3" fontId="2" fillId="3" borderId="60" xfId="0" applyNumberFormat="1" applyFont="1" applyFill="1" applyBorder="1" applyAlignment="1">
      <alignment horizontal="center" vertical="top" wrapText="1"/>
    </xf>
    <xf numFmtId="166" fontId="2" fillId="0" borderId="74" xfId="0" applyNumberFormat="1" applyFont="1" applyBorder="1" applyAlignment="1">
      <alignment vertical="top"/>
    </xf>
    <xf numFmtId="3" fontId="2" fillId="7" borderId="52" xfId="0" applyNumberFormat="1" applyFont="1" applyFill="1" applyBorder="1" applyAlignment="1">
      <alignment horizontal="center" vertical="top"/>
    </xf>
    <xf numFmtId="3" fontId="6" fillId="7" borderId="76" xfId="0" applyNumberFormat="1" applyFont="1" applyFill="1" applyBorder="1" applyAlignment="1">
      <alignment horizontal="center" vertical="top" wrapText="1"/>
    </xf>
    <xf numFmtId="166" fontId="2" fillId="8" borderId="32" xfId="0" applyNumberFormat="1" applyFont="1" applyFill="1" applyBorder="1" applyAlignment="1">
      <alignment horizontal="center" vertical="top"/>
    </xf>
    <xf numFmtId="166" fontId="2" fillId="0" borderId="65" xfId="0" applyNumberFormat="1" applyFont="1" applyFill="1" applyBorder="1" applyAlignment="1">
      <alignment horizontal="center" vertical="top" wrapText="1"/>
    </xf>
    <xf numFmtId="166" fontId="2" fillId="0" borderId="65" xfId="0" applyNumberFormat="1" applyFont="1" applyFill="1" applyBorder="1" applyAlignment="1">
      <alignment horizontal="center" vertical="top"/>
    </xf>
    <xf numFmtId="166" fontId="2" fillId="0" borderId="65" xfId="1" applyNumberFormat="1" applyFont="1" applyFill="1" applyBorder="1" applyAlignment="1">
      <alignment horizontal="center" vertical="top" wrapText="1"/>
    </xf>
    <xf numFmtId="166" fontId="2" fillId="7" borderId="6" xfId="0" applyNumberFormat="1" applyFont="1" applyFill="1" applyBorder="1" applyAlignment="1">
      <alignment horizontal="center" vertical="center" wrapText="1"/>
    </xf>
    <xf numFmtId="0" fontId="2" fillId="0" borderId="17" xfId="0" applyFont="1" applyBorder="1" applyAlignment="1">
      <alignment vertical="top"/>
    </xf>
    <xf numFmtId="3" fontId="2" fillId="0" borderId="15" xfId="0" applyNumberFormat="1" applyFont="1" applyFill="1" applyBorder="1" applyAlignment="1">
      <alignment horizontal="center" vertical="top"/>
    </xf>
    <xf numFmtId="3" fontId="22" fillId="7" borderId="21" xfId="0" applyNumberFormat="1" applyFont="1" applyFill="1" applyBorder="1" applyAlignment="1">
      <alignment horizontal="center" vertical="top"/>
    </xf>
    <xf numFmtId="3" fontId="2" fillId="3" borderId="21" xfId="0" applyNumberFormat="1" applyFont="1" applyFill="1" applyBorder="1" applyAlignment="1">
      <alignment horizontal="center" vertical="top" wrapText="1"/>
    </xf>
    <xf numFmtId="0" fontId="32" fillId="0" borderId="10" xfId="0" applyFont="1" applyBorder="1" applyAlignment="1">
      <alignment horizontal="center" vertical="center" wrapText="1"/>
    </xf>
    <xf numFmtId="166" fontId="13" fillId="7" borderId="8" xfId="0" applyNumberFormat="1" applyFont="1" applyFill="1" applyBorder="1" applyAlignment="1">
      <alignment horizontal="center" vertical="top"/>
    </xf>
    <xf numFmtId="3" fontId="18" fillId="3" borderId="11" xfId="0" applyNumberFormat="1" applyFont="1" applyFill="1" applyBorder="1" applyAlignment="1">
      <alignment horizontal="center" vertical="top" wrapText="1"/>
    </xf>
    <xf numFmtId="3" fontId="2" fillId="3" borderId="11" xfId="0" applyNumberFormat="1" applyFont="1" applyFill="1" applyBorder="1" applyAlignment="1">
      <alignment horizontal="center" vertical="top" wrapText="1"/>
    </xf>
    <xf numFmtId="0" fontId="2" fillId="7" borderId="34" xfId="0" applyFont="1" applyFill="1" applyBorder="1" applyAlignment="1">
      <alignment horizontal="center" vertical="center"/>
    </xf>
    <xf numFmtId="166" fontId="13" fillId="7" borderId="23" xfId="0" applyNumberFormat="1" applyFont="1" applyFill="1" applyBorder="1" applyAlignment="1">
      <alignment horizontal="center" vertical="top"/>
    </xf>
    <xf numFmtId="166" fontId="13" fillId="0" borderId="0" xfId="0" applyNumberFormat="1" applyFont="1" applyBorder="1" applyAlignment="1">
      <alignment vertical="top"/>
    </xf>
    <xf numFmtId="3" fontId="22" fillId="7" borderId="35" xfId="0" applyNumberFormat="1" applyFont="1" applyFill="1" applyBorder="1" applyAlignment="1">
      <alignment horizontal="center" vertical="top"/>
    </xf>
    <xf numFmtId="3" fontId="2" fillId="0" borderId="49" xfId="0" applyNumberFormat="1" applyFont="1" applyFill="1" applyBorder="1" applyAlignment="1">
      <alignment horizontal="center" vertical="top"/>
    </xf>
    <xf numFmtId="166" fontId="2" fillId="0" borderId="15" xfId="0" applyNumberFormat="1" applyFont="1" applyBorder="1" applyAlignment="1">
      <alignment vertical="top"/>
    </xf>
    <xf numFmtId="166" fontId="2" fillId="0" borderId="87" xfId="0" applyNumberFormat="1" applyFont="1" applyFill="1" applyBorder="1" applyAlignment="1">
      <alignment horizontal="center" vertical="top"/>
    </xf>
    <xf numFmtId="166" fontId="2" fillId="7" borderId="53" xfId="0" applyNumberFormat="1" applyFont="1" applyFill="1" applyBorder="1" applyAlignment="1">
      <alignment vertical="top" wrapText="1"/>
    </xf>
    <xf numFmtId="3" fontId="6" fillId="7" borderId="99" xfId="0" applyNumberFormat="1" applyFont="1" applyFill="1" applyBorder="1" applyAlignment="1">
      <alignment horizontal="center" vertical="top"/>
    </xf>
    <xf numFmtId="3" fontId="6" fillId="7" borderId="27" xfId="0" applyNumberFormat="1" applyFont="1" applyFill="1" applyBorder="1" applyAlignment="1">
      <alignment horizontal="center" vertical="top" wrapText="1"/>
    </xf>
    <xf numFmtId="166" fontId="18" fillId="7" borderId="46" xfId="0" applyNumberFormat="1" applyFont="1" applyFill="1" applyBorder="1" applyAlignment="1">
      <alignment horizontal="center" vertical="center" textRotation="90" wrapText="1"/>
    </xf>
    <xf numFmtId="166" fontId="2" fillId="7" borderId="121" xfId="0" applyNumberFormat="1" applyFont="1" applyFill="1" applyBorder="1" applyAlignment="1">
      <alignment horizontal="center" vertical="top"/>
    </xf>
    <xf numFmtId="166" fontId="2" fillId="7" borderId="122" xfId="0" applyNumberFormat="1" applyFont="1" applyFill="1" applyBorder="1" applyAlignment="1">
      <alignment horizontal="center" vertical="top"/>
    </xf>
    <xf numFmtId="166" fontId="13" fillId="0" borderId="23" xfId="0" applyNumberFormat="1" applyFont="1" applyBorder="1" applyAlignment="1">
      <alignment horizontal="center" vertical="top"/>
    </xf>
    <xf numFmtId="166" fontId="2" fillId="0" borderId="26" xfId="0" applyNumberFormat="1" applyFont="1" applyFill="1" applyBorder="1" applyAlignment="1">
      <alignment horizontal="center" vertical="top"/>
    </xf>
    <xf numFmtId="49" fontId="2" fillId="0" borderId="87" xfId="0" applyNumberFormat="1" applyFont="1" applyFill="1" applyBorder="1" applyAlignment="1">
      <alignment horizontal="center" vertical="top"/>
    </xf>
    <xf numFmtId="166" fontId="2" fillId="8" borderId="62" xfId="0" applyNumberFormat="1" applyFont="1" applyFill="1" applyBorder="1" applyAlignment="1">
      <alignment horizontal="center" vertical="top"/>
    </xf>
    <xf numFmtId="166" fontId="2" fillId="7" borderId="23" xfId="0" applyNumberFormat="1" applyFont="1" applyFill="1" applyBorder="1" applyAlignment="1">
      <alignment horizontal="center" vertical="center"/>
    </xf>
    <xf numFmtId="0" fontId="13" fillId="0" borderId="0" xfId="0" applyFont="1" applyBorder="1" applyAlignment="1">
      <alignment vertical="top"/>
    </xf>
    <xf numFmtId="3" fontId="2" fillId="7" borderId="47"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35" xfId="0" applyNumberFormat="1" applyFont="1" applyFill="1" applyBorder="1" applyAlignment="1">
      <alignment horizontal="left" vertical="top" wrapText="1"/>
    </xf>
    <xf numFmtId="166" fontId="3" fillId="2" borderId="49" xfId="0" applyNumberFormat="1" applyFont="1" applyFill="1" applyBorder="1" applyAlignment="1">
      <alignment horizontal="center" vertical="top"/>
    </xf>
    <xf numFmtId="3" fontId="2" fillId="7" borderId="49" xfId="0" applyNumberFormat="1" applyFont="1" applyFill="1" applyBorder="1" applyAlignment="1">
      <alignment horizontal="center" vertical="top"/>
    </xf>
    <xf numFmtId="166" fontId="13" fillId="7" borderId="11" xfId="0" applyNumberFormat="1" applyFont="1" applyFill="1" applyBorder="1" applyAlignment="1">
      <alignment horizontal="center" vertical="top" wrapText="1"/>
    </xf>
    <xf numFmtId="166" fontId="13" fillId="7" borderId="44" xfId="0" applyNumberFormat="1" applyFont="1" applyFill="1" applyBorder="1" applyAlignment="1">
      <alignment horizontal="center" vertical="top" wrapText="1"/>
    </xf>
    <xf numFmtId="0" fontId="0" fillId="7" borderId="48" xfId="0" applyFill="1" applyBorder="1" applyAlignment="1">
      <alignment horizontal="left" vertical="top" wrapText="1"/>
    </xf>
    <xf numFmtId="166" fontId="2" fillId="7" borderId="94" xfId="0" applyNumberFormat="1" applyFont="1" applyFill="1" applyBorder="1" applyAlignment="1">
      <alignment horizontal="left" vertical="top" wrapText="1"/>
    </xf>
    <xf numFmtId="0" fontId="2" fillId="7" borderId="19" xfId="0" applyFont="1" applyFill="1" applyBorder="1" applyAlignment="1">
      <alignment horizontal="left" vertical="top" wrapText="1"/>
    </xf>
    <xf numFmtId="166" fontId="18" fillId="7" borderId="19" xfId="0" applyNumberFormat="1" applyFont="1" applyFill="1" applyBorder="1" applyAlignment="1">
      <alignment horizontal="left" vertical="top" wrapText="1"/>
    </xf>
    <xf numFmtId="166" fontId="2" fillId="7" borderId="23" xfId="0" applyNumberFormat="1" applyFont="1" applyFill="1" applyBorder="1" applyAlignment="1">
      <alignment horizontal="center" wrapText="1"/>
    </xf>
    <xf numFmtId="166" fontId="2" fillId="7" borderId="28" xfId="0" applyNumberFormat="1" applyFont="1" applyFill="1" applyBorder="1" applyAlignment="1">
      <alignment horizontal="center" vertical="top" wrapText="1"/>
    </xf>
    <xf numFmtId="166" fontId="2" fillId="7" borderId="48" xfId="0" applyNumberFormat="1" applyFont="1" applyFill="1" applyBorder="1" applyAlignment="1">
      <alignment vertical="top" wrapText="1"/>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2"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22" fillId="7" borderId="7" xfId="0" applyNumberFormat="1" applyFont="1" applyFill="1" applyBorder="1" applyAlignment="1">
      <alignment horizontal="left" vertical="top" wrapText="1"/>
    </xf>
    <xf numFmtId="166" fontId="3" fillId="9" borderId="34"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2" fillId="7" borderId="46" xfId="0" applyNumberFormat="1" applyFont="1" applyFill="1" applyBorder="1" applyAlignment="1">
      <alignment vertical="top" wrapText="1"/>
    </xf>
    <xf numFmtId="3" fontId="2" fillId="7" borderId="18" xfId="0" applyNumberFormat="1" applyFont="1" applyFill="1" applyBorder="1" applyAlignment="1">
      <alignment horizontal="center" vertical="top"/>
    </xf>
    <xf numFmtId="166" fontId="2" fillId="7" borderId="46" xfId="0" applyNumberFormat="1" applyFont="1" applyFill="1" applyBorder="1" applyAlignment="1">
      <alignment horizontal="left" vertical="top" wrapText="1"/>
    </xf>
    <xf numFmtId="166" fontId="2" fillId="7" borderId="48" xfId="0" applyNumberFormat="1" applyFont="1" applyFill="1" applyBorder="1" applyAlignment="1">
      <alignment horizontal="left" vertical="top" wrapText="1"/>
    </xf>
    <xf numFmtId="3" fontId="2" fillId="7" borderId="60" xfId="0" applyNumberFormat="1" applyFont="1" applyFill="1" applyBorder="1" applyAlignment="1">
      <alignment horizontal="center" vertical="top"/>
    </xf>
    <xf numFmtId="0" fontId="22" fillId="7" borderId="46" xfId="0" applyFont="1" applyFill="1" applyBorder="1" applyAlignment="1">
      <alignment vertical="top" wrapText="1"/>
    </xf>
    <xf numFmtId="166" fontId="22" fillId="7" borderId="48" xfId="0" applyNumberFormat="1" applyFont="1" applyFill="1" applyBorder="1" applyAlignment="1">
      <alignment horizontal="left" vertical="top" wrapText="1"/>
    </xf>
    <xf numFmtId="3" fontId="2" fillId="0" borderId="18" xfId="0" applyNumberFormat="1" applyFont="1" applyFill="1" applyBorder="1" applyAlignment="1">
      <alignment horizontal="center" vertical="top"/>
    </xf>
    <xf numFmtId="3" fontId="2" fillId="7" borderId="49"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center" wrapText="1"/>
    </xf>
    <xf numFmtId="3" fontId="2" fillId="7" borderId="46" xfId="0" applyNumberFormat="1" applyFont="1" applyFill="1" applyBorder="1" applyAlignment="1">
      <alignment horizontal="center" vertical="top"/>
    </xf>
    <xf numFmtId="166" fontId="18" fillId="7" borderId="11" xfId="0" applyNumberFormat="1" applyFont="1" applyFill="1" applyBorder="1" applyAlignment="1">
      <alignment horizontal="center" vertical="top"/>
    </xf>
    <xf numFmtId="0" fontId="0" fillId="0" borderId="49" xfId="0" applyBorder="1" applyAlignment="1">
      <alignment horizontal="left" vertical="top" wrapText="1"/>
    </xf>
    <xf numFmtId="3" fontId="2" fillId="0" borderId="76" xfId="0" applyNumberFormat="1" applyFont="1" applyFill="1" applyBorder="1" applyAlignment="1">
      <alignment horizontal="center" vertical="top" wrapText="1"/>
    </xf>
    <xf numFmtId="3" fontId="2" fillId="7" borderId="30" xfId="0" applyNumberFormat="1" applyFont="1" applyFill="1" applyBorder="1" applyAlignment="1">
      <alignment horizontal="center" vertical="top" wrapText="1"/>
    </xf>
    <xf numFmtId="49" fontId="2" fillId="7" borderId="60" xfId="0" applyNumberFormat="1" applyFont="1" applyFill="1" applyBorder="1" applyAlignment="1">
      <alignment horizontal="center" vertical="top" wrapText="1"/>
    </xf>
    <xf numFmtId="3" fontId="34" fillId="7" borderId="20" xfId="0" applyNumberFormat="1" applyFont="1" applyFill="1" applyBorder="1" applyAlignment="1">
      <alignment horizontal="center" vertical="top" wrapText="1"/>
    </xf>
    <xf numFmtId="166" fontId="34" fillId="7" borderId="11" xfId="0" applyNumberFormat="1" applyFont="1" applyFill="1" applyBorder="1" applyAlignment="1">
      <alignment horizontal="center" vertical="top"/>
    </xf>
    <xf numFmtId="166" fontId="34" fillId="7" borderId="44" xfId="0" applyNumberFormat="1" applyFont="1" applyFill="1" applyBorder="1" applyAlignment="1">
      <alignment horizontal="center" vertical="top"/>
    </xf>
    <xf numFmtId="3" fontId="34" fillId="7" borderId="11" xfId="0" applyNumberFormat="1" applyFont="1" applyFill="1" applyBorder="1" applyAlignment="1">
      <alignment horizontal="center" vertical="top" wrapText="1"/>
    </xf>
    <xf numFmtId="3" fontId="2" fillId="7" borderId="28" xfId="0" applyNumberFormat="1" applyFont="1" applyFill="1" applyBorder="1" applyAlignment="1">
      <alignment vertical="top" wrapText="1"/>
    </xf>
    <xf numFmtId="166" fontId="2" fillId="7" borderId="11" xfId="0" applyNumberFormat="1" applyFont="1" applyFill="1" applyBorder="1" applyAlignment="1">
      <alignment horizontal="center" vertical="center" wrapText="1"/>
    </xf>
    <xf numFmtId="166" fontId="13" fillId="0" borderId="44" xfId="0" applyNumberFormat="1" applyFont="1" applyFill="1" applyBorder="1" applyAlignment="1">
      <alignment horizontal="center" vertical="top"/>
    </xf>
    <xf numFmtId="166" fontId="3" fillId="2" borderId="77" xfId="0" applyNumberFormat="1" applyFont="1" applyFill="1" applyBorder="1" applyAlignment="1">
      <alignment horizontal="center" vertical="top"/>
    </xf>
    <xf numFmtId="49" fontId="2" fillId="0" borderId="11" xfId="2" applyNumberFormat="1" applyFont="1" applyFill="1" applyBorder="1" applyAlignment="1">
      <alignment horizontal="center" vertical="top" wrapText="1"/>
    </xf>
    <xf numFmtId="166" fontId="3" fillId="5" borderId="65" xfId="0" applyNumberFormat="1" applyFont="1" applyFill="1" applyBorder="1" applyAlignment="1">
      <alignment horizontal="center" vertical="top" wrapText="1"/>
    </xf>
    <xf numFmtId="166" fontId="3" fillId="5" borderId="28" xfId="0" applyNumberFormat="1" applyFont="1" applyFill="1" applyBorder="1" applyAlignment="1">
      <alignment horizontal="center" vertical="top" wrapText="1"/>
    </xf>
    <xf numFmtId="166" fontId="3" fillId="5" borderId="65" xfId="0" applyNumberFormat="1" applyFont="1" applyFill="1" applyBorder="1" applyAlignment="1">
      <alignment horizontal="center" vertical="top"/>
    </xf>
    <xf numFmtId="166" fontId="3" fillId="5" borderId="28" xfId="0" applyNumberFormat="1" applyFont="1" applyFill="1" applyBorder="1" applyAlignment="1">
      <alignment horizontal="center" vertical="top"/>
    </xf>
    <xf numFmtId="166" fontId="3" fillId="5" borderId="54" xfId="0" applyNumberFormat="1" applyFont="1" applyFill="1" applyBorder="1" applyAlignment="1">
      <alignment horizontal="center" vertical="top"/>
    </xf>
    <xf numFmtId="166" fontId="3" fillId="5" borderId="29" xfId="0" applyNumberFormat="1" applyFont="1" applyFill="1" applyBorder="1" applyAlignment="1">
      <alignment horizontal="center" vertical="top"/>
    </xf>
    <xf numFmtId="166" fontId="3" fillId="5" borderId="27" xfId="0" applyNumberFormat="1" applyFont="1" applyFill="1" applyBorder="1" applyAlignment="1">
      <alignment horizontal="center" vertical="top"/>
    </xf>
    <xf numFmtId="0" fontId="22" fillId="7" borderId="56"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2" fillId="7" borderId="72" xfId="0" applyFont="1" applyFill="1" applyBorder="1" applyAlignment="1">
      <alignment horizontal="center" vertical="center" wrapText="1"/>
    </xf>
    <xf numFmtId="0" fontId="2" fillId="7" borderId="56" xfId="0" applyFont="1" applyFill="1" applyBorder="1" applyAlignment="1">
      <alignment horizontal="center" vertical="center" wrapText="1"/>
    </xf>
    <xf numFmtId="166" fontId="3" fillId="3" borderId="11"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center" wrapText="1"/>
    </xf>
    <xf numFmtId="166" fontId="2" fillId="7" borderId="28" xfId="0" applyNumberFormat="1" applyFont="1" applyFill="1" applyBorder="1" applyAlignment="1">
      <alignment horizontal="center" vertical="center" textRotation="90" wrapText="1"/>
    </xf>
    <xf numFmtId="49" fontId="2" fillId="0" borderId="11" xfId="0" applyNumberFormat="1" applyFont="1" applyFill="1" applyBorder="1" applyAlignment="1">
      <alignment horizontal="center" vertical="top"/>
    </xf>
    <xf numFmtId="3" fontId="2" fillId="0" borderId="0" xfId="0" applyNumberFormat="1" applyFont="1" applyFill="1" applyBorder="1" applyAlignment="1">
      <alignment horizontal="left" vertical="top" wrapText="1"/>
    </xf>
    <xf numFmtId="0" fontId="0" fillId="0" borderId="0" xfId="0" applyAlignment="1">
      <alignment horizontal="left" vertical="top" wrapText="1"/>
    </xf>
    <xf numFmtId="49" fontId="33" fillId="7" borderId="91" xfId="0" applyNumberFormat="1" applyFont="1" applyFill="1" applyBorder="1" applyAlignment="1">
      <alignment horizontal="center" vertical="top" wrapText="1"/>
    </xf>
    <xf numFmtId="3" fontId="33" fillId="7" borderId="11" xfId="0" applyNumberFormat="1" applyFont="1" applyFill="1" applyBorder="1" applyAlignment="1">
      <alignment horizontal="center" vertical="top" wrapText="1"/>
    </xf>
    <xf numFmtId="49" fontId="33" fillId="7" borderId="35" xfId="0" applyNumberFormat="1" applyFont="1" applyFill="1" applyBorder="1" applyAlignment="1">
      <alignment horizontal="center" vertical="top" wrapText="1"/>
    </xf>
    <xf numFmtId="3" fontId="2" fillId="7" borderId="27" xfId="0" applyNumberFormat="1" applyFont="1" applyFill="1" applyBorder="1" applyAlignment="1">
      <alignment horizontal="left" vertical="top" wrapText="1"/>
    </xf>
    <xf numFmtId="3" fontId="2" fillId="7" borderId="18" xfId="0" applyNumberFormat="1" applyFont="1" applyFill="1" applyBorder="1" applyAlignment="1">
      <alignment horizontal="center" vertical="top"/>
    </xf>
    <xf numFmtId="3" fontId="6" fillId="7" borderId="81" xfId="0" applyNumberFormat="1" applyFont="1" applyFill="1" applyBorder="1" applyAlignment="1">
      <alignment horizontal="center" vertical="top"/>
    </xf>
    <xf numFmtId="166" fontId="13" fillId="7" borderId="86" xfId="0" applyNumberFormat="1" applyFont="1" applyFill="1" applyBorder="1" applyAlignment="1">
      <alignment horizontal="center" vertical="top"/>
    </xf>
    <xf numFmtId="166" fontId="13" fillId="7" borderId="94" xfId="0" applyNumberFormat="1" applyFont="1" applyFill="1" applyBorder="1" applyAlignment="1">
      <alignment horizontal="center" vertical="top"/>
    </xf>
    <xf numFmtId="166" fontId="2" fillId="7" borderId="86" xfId="0" applyNumberFormat="1" applyFont="1" applyFill="1" applyBorder="1" applyAlignment="1">
      <alignment horizontal="center" vertical="top"/>
    </xf>
    <xf numFmtId="166" fontId="2" fillId="7" borderId="95" xfId="0" applyNumberFormat="1" applyFont="1" applyFill="1" applyBorder="1" applyAlignment="1">
      <alignment horizontal="center" vertical="top"/>
    </xf>
    <xf numFmtId="49" fontId="2" fillId="7" borderId="27" xfId="0" applyNumberFormat="1" applyFont="1" applyFill="1" applyBorder="1" applyAlignment="1">
      <alignment horizontal="left" vertical="top" wrapText="1"/>
    </xf>
    <xf numFmtId="3" fontId="2" fillId="7" borderId="82" xfId="0" applyNumberFormat="1" applyFont="1" applyFill="1" applyBorder="1" applyAlignment="1">
      <alignment horizontal="center" vertical="top" wrapText="1"/>
    </xf>
    <xf numFmtId="166" fontId="4" fillId="7" borderId="25"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166" fontId="4" fillId="7" borderId="3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3" fontId="2" fillId="7" borderId="21" xfId="0" applyNumberFormat="1" applyFont="1" applyFill="1" applyBorder="1" applyAlignment="1">
      <alignment horizontal="left" vertical="top" wrapText="1"/>
    </xf>
    <xf numFmtId="3" fontId="2" fillId="7" borderId="11" xfId="0" applyNumberFormat="1" applyFont="1" applyFill="1" applyBorder="1" applyAlignment="1">
      <alignment horizontal="center" vertical="top" wrapText="1"/>
    </xf>
    <xf numFmtId="0" fontId="8" fillId="7" borderId="18" xfId="0" applyFont="1" applyFill="1" applyBorder="1" applyAlignment="1">
      <alignment vertical="top"/>
    </xf>
    <xf numFmtId="166" fontId="2" fillId="7" borderId="48" xfId="0" applyNumberFormat="1" applyFont="1" applyFill="1" applyBorder="1" applyAlignment="1">
      <alignment horizontal="left" vertical="top" wrapText="1"/>
    </xf>
    <xf numFmtId="0" fontId="8" fillId="7" borderId="48" xfId="0" applyFont="1" applyFill="1" applyBorder="1" applyAlignment="1">
      <alignment vertical="top" wrapText="1"/>
    </xf>
    <xf numFmtId="3" fontId="2" fillId="7" borderId="1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2" fillId="7" borderId="123" xfId="0" applyNumberFormat="1" applyFont="1" applyFill="1" applyBorder="1" applyAlignment="1">
      <alignment horizontal="center" vertical="top"/>
    </xf>
    <xf numFmtId="166" fontId="13" fillId="7" borderId="105" xfId="0" applyNumberFormat="1" applyFont="1" applyFill="1" applyBorder="1" applyAlignment="1">
      <alignment horizontal="center" vertical="top"/>
    </xf>
    <xf numFmtId="166" fontId="13" fillId="7" borderId="109" xfId="0" applyNumberFormat="1" applyFont="1" applyFill="1" applyBorder="1" applyAlignment="1">
      <alignment horizontal="center" vertical="top"/>
    </xf>
    <xf numFmtId="166" fontId="2" fillId="7" borderId="105" xfId="0" applyNumberFormat="1" applyFont="1" applyFill="1" applyBorder="1" applyAlignment="1">
      <alignment horizontal="center" vertical="top"/>
    </xf>
    <xf numFmtId="166" fontId="2" fillId="7" borderId="124" xfId="0" applyNumberFormat="1" applyFont="1" applyFill="1" applyBorder="1" applyAlignment="1">
      <alignment horizontal="center" vertical="top"/>
    </xf>
    <xf numFmtId="166" fontId="2" fillId="7" borderId="103" xfId="0" applyNumberFormat="1" applyFont="1" applyFill="1" applyBorder="1" applyAlignment="1">
      <alignment horizontal="center" vertical="top"/>
    </xf>
    <xf numFmtId="0" fontId="13" fillId="7" borderId="0" xfId="0" applyFont="1" applyFill="1" applyBorder="1" applyAlignment="1">
      <alignment vertical="top"/>
    </xf>
    <xf numFmtId="0" fontId="0" fillId="0" borderId="11" xfId="0" applyBorder="1" applyAlignment="1">
      <alignment horizontal="center" vertical="center" textRotation="90" wrapText="1"/>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3" fillId="7" borderId="20"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0" fontId="0" fillId="7" borderId="11" xfId="0" applyFill="1" applyBorder="1" applyAlignment="1">
      <alignment horizontal="left" vertical="top" wrapText="1"/>
    </xf>
    <xf numFmtId="166" fontId="3" fillId="9" borderId="34"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2" fillId="7" borderId="48" xfId="0" applyNumberFormat="1" applyFont="1" applyFill="1" applyBorder="1" applyAlignment="1">
      <alignment horizontal="left" vertical="top" wrapText="1"/>
    </xf>
    <xf numFmtId="0" fontId="0" fillId="0" borderId="27" xfId="0" applyBorder="1" applyAlignment="1">
      <alignment horizontal="left" vertical="top" wrapText="1"/>
    </xf>
    <xf numFmtId="0" fontId="0" fillId="0" borderId="18" xfId="0" applyBorder="1" applyAlignment="1">
      <alignment horizontal="left" vertical="top" wrapText="1"/>
    </xf>
    <xf numFmtId="3" fontId="2" fillId="7" borderId="11" xfId="0" applyNumberFormat="1" applyFont="1" applyFill="1" applyBorder="1" applyAlignment="1">
      <alignment horizontal="center" vertical="top" wrapText="1"/>
    </xf>
    <xf numFmtId="3" fontId="2" fillId="7" borderId="11" xfId="0" applyNumberFormat="1" applyFont="1" applyFill="1" applyBorder="1" applyAlignment="1">
      <alignment horizontal="center" vertical="top"/>
    </xf>
    <xf numFmtId="0" fontId="2" fillId="7" borderId="8" xfId="0" applyFont="1" applyFill="1" applyBorder="1" applyAlignment="1">
      <alignment horizontal="center" vertical="top"/>
    </xf>
    <xf numFmtId="165" fontId="2" fillId="7" borderId="60" xfId="0" applyNumberFormat="1" applyFont="1" applyFill="1" applyBorder="1" applyAlignment="1">
      <alignment horizontal="center" vertical="top"/>
    </xf>
    <xf numFmtId="165" fontId="2" fillId="7" borderId="20" xfId="0" applyNumberFormat="1" applyFont="1" applyFill="1" applyBorder="1" applyAlignment="1">
      <alignment horizontal="center" vertical="top"/>
    </xf>
    <xf numFmtId="165" fontId="2" fillId="7" borderId="50" xfId="0" applyNumberFormat="1" applyFont="1" applyFill="1" applyBorder="1" applyAlignment="1">
      <alignment horizontal="center" vertical="top"/>
    </xf>
    <xf numFmtId="165" fontId="13" fillId="7" borderId="39" xfId="0" applyNumberFormat="1" applyFont="1" applyFill="1" applyBorder="1" applyAlignment="1">
      <alignment horizontal="center" vertical="top"/>
    </xf>
    <xf numFmtId="165" fontId="13" fillId="7" borderId="54" xfId="0" applyNumberFormat="1" applyFont="1" applyFill="1" applyBorder="1" applyAlignment="1">
      <alignment horizontal="center" vertical="top"/>
    </xf>
    <xf numFmtId="0" fontId="8" fillId="0" borderId="49" xfId="0" applyFont="1" applyBorder="1" applyAlignment="1">
      <alignment horizontal="left" vertical="top" wrapText="1"/>
    </xf>
    <xf numFmtId="166" fontId="13" fillId="7" borderId="124" xfId="0" applyNumberFormat="1" applyFont="1" applyFill="1" applyBorder="1" applyAlignment="1">
      <alignment horizontal="center" vertical="top"/>
    </xf>
    <xf numFmtId="0" fontId="8" fillId="7" borderId="82" xfId="0" applyFont="1" applyFill="1" applyBorder="1" applyAlignment="1">
      <alignment vertical="top"/>
    </xf>
    <xf numFmtId="166" fontId="29" fillId="8" borderId="57" xfId="0" applyNumberFormat="1" applyFont="1" applyFill="1" applyBorder="1" applyAlignment="1">
      <alignment horizontal="center" vertical="top"/>
    </xf>
    <xf numFmtId="166" fontId="29" fillId="8" borderId="31" xfId="0" applyNumberFormat="1" applyFont="1" applyFill="1" applyBorder="1" applyAlignment="1">
      <alignment horizontal="center" vertical="top"/>
    </xf>
    <xf numFmtId="49" fontId="36" fillId="7" borderId="47" xfId="0" applyNumberFormat="1" applyFont="1" applyFill="1" applyBorder="1" applyAlignment="1">
      <alignment horizontal="center" vertical="center" wrapText="1"/>
    </xf>
    <xf numFmtId="3" fontId="33" fillId="7" borderId="47" xfId="0" applyNumberFormat="1" applyFont="1" applyFill="1" applyBorder="1" applyAlignment="1">
      <alignment horizontal="center" vertical="center" wrapText="1"/>
    </xf>
    <xf numFmtId="3" fontId="22" fillId="7" borderId="46" xfId="0" applyNumberFormat="1" applyFont="1" applyFill="1" applyBorder="1" applyAlignment="1">
      <alignment horizontal="center" vertical="top" wrapText="1"/>
    </xf>
    <xf numFmtId="3" fontId="22" fillId="7" borderId="19" xfId="0" applyNumberFormat="1" applyFont="1" applyFill="1" applyBorder="1" applyAlignment="1">
      <alignment horizontal="center" vertical="top" wrapText="1"/>
    </xf>
    <xf numFmtId="0" fontId="0" fillId="7" borderId="35" xfId="0" applyFill="1" applyBorder="1" applyAlignment="1">
      <alignment horizontal="left" vertical="top" wrapText="1"/>
    </xf>
    <xf numFmtId="166" fontId="13" fillId="7" borderId="49" xfId="0" applyNumberFormat="1" applyFont="1" applyFill="1" applyBorder="1" applyAlignment="1">
      <alignment horizontal="center" vertical="top"/>
    </xf>
    <xf numFmtId="166" fontId="13" fillId="7" borderId="34" xfId="0" applyNumberFormat="1" applyFont="1" applyFill="1" applyBorder="1" applyAlignment="1">
      <alignment horizontal="center" vertical="top" wrapText="1"/>
    </xf>
    <xf numFmtId="166" fontId="13" fillId="7" borderId="27" xfId="0" applyNumberFormat="1" applyFont="1" applyFill="1" applyBorder="1" applyAlignment="1">
      <alignment horizontal="center" vertical="top"/>
    </xf>
    <xf numFmtId="166" fontId="2" fillId="7" borderId="54" xfId="0" applyNumberFormat="1" applyFont="1" applyFill="1" applyBorder="1" applyAlignment="1">
      <alignment horizontal="center" vertical="top" wrapText="1"/>
    </xf>
    <xf numFmtId="0" fontId="2" fillId="0" borderId="0" xfId="0" applyFont="1" applyBorder="1" applyAlignment="1">
      <alignment horizontal="center" vertical="top"/>
    </xf>
    <xf numFmtId="0" fontId="2" fillId="0" borderId="34" xfId="0" applyFont="1" applyBorder="1" applyAlignment="1">
      <alignment horizontal="center" vertical="top"/>
    </xf>
    <xf numFmtId="0" fontId="13" fillId="0" borderId="11" xfId="0" applyFont="1" applyBorder="1" applyAlignment="1">
      <alignment horizontal="center" vertical="top"/>
    </xf>
    <xf numFmtId="0" fontId="13" fillId="0" borderId="44" xfId="0" applyFont="1" applyBorder="1" applyAlignment="1">
      <alignment horizontal="center" vertical="top"/>
    </xf>
    <xf numFmtId="0" fontId="13" fillId="0" borderId="0" xfId="0" applyFont="1" applyBorder="1" applyAlignment="1">
      <alignment horizontal="center" vertical="top"/>
    </xf>
    <xf numFmtId="49" fontId="35" fillId="7" borderId="84" xfId="0" applyNumberFormat="1" applyFont="1" applyFill="1" applyBorder="1" applyAlignment="1">
      <alignment horizontal="center" vertical="top"/>
    </xf>
    <xf numFmtId="3" fontId="13" fillId="7" borderId="84"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3" fillId="7" borderId="57"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13" fillId="7" borderId="25"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49" xfId="0" applyNumberFormat="1" applyFont="1" applyFill="1" applyBorder="1" applyAlignment="1">
      <alignment horizontal="center" vertical="top"/>
    </xf>
    <xf numFmtId="3" fontId="13" fillId="7" borderId="0" xfId="0" applyNumberFormat="1" applyFont="1" applyFill="1" applyBorder="1" applyAlignment="1">
      <alignment horizontal="center" vertical="top" wrapText="1"/>
    </xf>
    <xf numFmtId="3" fontId="13" fillId="7" borderId="81" xfId="0" applyNumberFormat="1" applyFont="1" applyFill="1" applyBorder="1" applyAlignment="1">
      <alignment horizontal="center" vertical="top" wrapText="1"/>
    </xf>
    <xf numFmtId="3" fontId="13" fillId="7" borderId="107" xfId="0" applyNumberFormat="1" applyFont="1" applyFill="1" applyBorder="1" applyAlignment="1">
      <alignment horizontal="center" vertical="top" wrapText="1"/>
    </xf>
    <xf numFmtId="3" fontId="2" fillId="7" borderId="20" xfId="0" applyNumberFormat="1" applyFont="1" applyFill="1" applyBorder="1" applyAlignment="1">
      <alignment horizontal="center" vertical="top"/>
    </xf>
    <xf numFmtId="0" fontId="13" fillId="12" borderId="0" xfId="0" applyFont="1" applyFill="1" applyBorder="1" applyAlignment="1">
      <alignment vertical="top"/>
    </xf>
    <xf numFmtId="0" fontId="2" fillId="12" borderId="0" xfId="0" applyFont="1" applyFill="1" applyBorder="1" applyAlignment="1">
      <alignment vertical="top"/>
    </xf>
    <xf numFmtId="166" fontId="13" fillId="7" borderId="48" xfId="0" applyNumberFormat="1" applyFont="1" applyFill="1" applyBorder="1" applyAlignment="1">
      <alignment vertical="top" wrapText="1"/>
    </xf>
    <xf numFmtId="166" fontId="13" fillId="7" borderId="96" xfId="0" applyNumberFormat="1" applyFont="1" applyFill="1" applyBorder="1" applyAlignment="1">
      <alignment vertical="top" wrapText="1"/>
    </xf>
    <xf numFmtId="166" fontId="3" fillId="7" borderId="49"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0" fontId="8" fillId="7" borderId="7" xfId="0" applyFont="1" applyFill="1" applyBorder="1" applyAlignment="1">
      <alignment horizontal="left" vertical="top" wrapText="1"/>
    </xf>
    <xf numFmtId="166" fontId="2" fillId="7" borderId="7" xfId="0" applyNumberFormat="1" applyFont="1" applyFill="1" applyBorder="1" applyAlignment="1">
      <alignment vertical="top" wrapText="1"/>
    </xf>
    <xf numFmtId="166" fontId="2" fillId="0" borderId="29" xfId="0" applyNumberFormat="1" applyFont="1" applyFill="1" applyBorder="1" applyAlignment="1">
      <alignment horizontal="left" vertical="top" wrapText="1"/>
    </xf>
    <xf numFmtId="166" fontId="2" fillId="7" borderId="20" xfId="0" applyNumberFormat="1" applyFont="1" applyFill="1" applyBorder="1" applyAlignment="1">
      <alignment horizontal="center" vertical="center" textRotation="90" wrapText="1"/>
    </xf>
    <xf numFmtId="166" fontId="2" fillId="7" borderId="11" xfId="0" applyNumberFormat="1" applyFont="1" applyFill="1" applyBorder="1" applyAlignment="1">
      <alignment horizontal="center" vertical="center" textRotation="90" wrapText="1"/>
    </xf>
    <xf numFmtId="166" fontId="2" fillId="7" borderId="46" xfId="0" applyNumberFormat="1" applyFont="1" applyFill="1" applyBorder="1" applyAlignment="1">
      <alignment vertical="top" wrapText="1"/>
    </xf>
    <xf numFmtId="166" fontId="8" fillId="7" borderId="18" xfId="0" applyNumberFormat="1" applyFont="1" applyFill="1" applyBorder="1" applyAlignment="1">
      <alignment horizontal="center" vertical="top" wrapText="1"/>
    </xf>
    <xf numFmtId="166" fontId="2" fillId="7" borderId="28"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49" fontId="3" fillId="7" borderId="20" xfId="0" applyNumberFormat="1" applyFont="1" applyFill="1" applyBorder="1" applyAlignment="1">
      <alignment vertical="top"/>
    </xf>
    <xf numFmtId="0" fontId="38" fillId="7" borderId="7" xfId="0" applyFont="1" applyFill="1" applyBorder="1" applyAlignment="1">
      <alignment vertical="top" wrapText="1"/>
    </xf>
    <xf numFmtId="0" fontId="38" fillId="7" borderId="37" xfId="0" applyFont="1" applyFill="1" applyBorder="1" applyAlignment="1">
      <alignment vertical="top" wrapText="1"/>
    </xf>
    <xf numFmtId="0" fontId="2" fillId="0" borderId="48" xfId="0" applyFont="1" applyBorder="1" applyAlignment="1">
      <alignment horizontal="left" vertical="top" wrapText="1"/>
    </xf>
    <xf numFmtId="166" fontId="2" fillId="7" borderId="98" xfId="0" applyNumberFormat="1" applyFont="1" applyFill="1" applyBorder="1" applyAlignment="1">
      <alignment horizontal="center" vertical="top" wrapText="1"/>
    </xf>
    <xf numFmtId="0" fontId="8" fillId="7" borderId="18" xfId="0" applyFont="1" applyFill="1" applyBorder="1" applyAlignment="1">
      <alignment horizontal="center" wrapText="1"/>
    </xf>
    <xf numFmtId="3" fontId="2" fillId="7" borderId="47"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28" xfId="0" applyNumberFormat="1" applyFont="1" applyFill="1" applyBorder="1" applyAlignment="1">
      <alignment horizontal="center" vertical="top" wrapText="1"/>
    </xf>
    <xf numFmtId="166" fontId="3" fillId="2" borderId="49"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0" fontId="18" fillId="7" borderId="29" xfId="0" applyFont="1" applyFill="1" applyBorder="1" applyAlignment="1">
      <alignment vertical="top" wrapText="1"/>
    </xf>
    <xf numFmtId="3" fontId="2" fillId="7" borderId="49" xfId="0" applyNumberFormat="1" applyFont="1" applyFill="1" applyBorder="1" applyAlignment="1">
      <alignment horizontal="center" vertical="top"/>
    </xf>
    <xf numFmtId="0" fontId="27" fillId="7" borderId="28" xfId="0" applyFont="1" applyFill="1" applyBorder="1" applyAlignment="1">
      <alignment horizontal="center" vertical="top" wrapText="1"/>
    </xf>
    <xf numFmtId="49" fontId="18" fillId="7" borderId="20" xfId="0" applyNumberFormat="1" applyFont="1" applyFill="1" applyBorder="1" applyAlignment="1">
      <alignment horizontal="center" vertical="top"/>
    </xf>
    <xf numFmtId="3" fontId="24" fillId="7" borderId="11" xfId="0" applyNumberFormat="1" applyFont="1" applyFill="1" applyBorder="1" applyAlignment="1">
      <alignment horizontal="center" vertical="top"/>
    </xf>
    <xf numFmtId="0" fontId="0" fillId="7" borderId="53" xfId="0" applyFill="1" applyBorder="1" applyAlignment="1">
      <alignment vertical="top" wrapText="1"/>
    </xf>
    <xf numFmtId="49" fontId="2" fillId="7" borderId="60" xfId="0" applyNumberFormat="1" applyFont="1" applyFill="1" applyBorder="1" applyAlignment="1">
      <alignment horizontal="center" vertical="top"/>
    </xf>
    <xf numFmtId="49" fontId="18" fillId="7" borderId="28" xfId="0" applyNumberFormat="1" applyFont="1" applyFill="1" applyBorder="1" applyAlignment="1">
      <alignment horizontal="center" vertical="top"/>
    </xf>
    <xf numFmtId="49" fontId="2" fillId="7" borderId="81" xfId="0" applyNumberFormat="1" applyFont="1" applyFill="1" applyBorder="1" applyAlignment="1">
      <alignment horizontal="center" vertical="top"/>
    </xf>
    <xf numFmtId="49" fontId="2" fillId="7" borderId="107" xfId="0" applyNumberFormat="1" applyFont="1" applyFill="1" applyBorder="1" applyAlignment="1">
      <alignment horizontal="center" vertical="top"/>
    </xf>
    <xf numFmtId="49" fontId="18" fillId="7" borderId="11" xfId="0" applyNumberFormat="1" applyFont="1" applyFill="1" applyBorder="1" applyAlignment="1">
      <alignment horizontal="center" vertical="top"/>
    </xf>
    <xf numFmtId="0" fontId="2" fillId="7" borderId="102" xfId="0" applyFont="1" applyFill="1" applyBorder="1" applyAlignment="1">
      <alignment horizontal="center" vertical="top"/>
    </xf>
    <xf numFmtId="49" fontId="18" fillId="7" borderId="81" xfId="0" applyNumberFormat="1" applyFont="1" applyFill="1" applyBorder="1" applyAlignment="1">
      <alignment horizontal="center" vertical="top"/>
    </xf>
    <xf numFmtId="166" fontId="18" fillId="7" borderId="50" xfId="0" applyNumberFormat="1" applyFont="1" applyFill="1" applyBorder="1" applyAlignment="1">
      <alignment horizontal="center" vertical="top"/>
    </xf>
    <xf numFmtId="166" fontId="18" fillId="7" borderId="6" xfId="0" applyNumberFormat="1" applyFont="1" applyFill="1" applyBorder="1" applyAlignment="1">
      <alignment horizontal="center" vertical="top" wrapText="1"/>
    </xf>
    <xf numFmtId="0" fontId="18" fillId="7" borderId="37" xfId="0" applyFont="1" applyFill="1" applyBorder="1" applyAlignment="1">
      <alignment vertical="top" wrapText="1"/>
    </xf>
    <xf numFmtId="0" fontId="24" fillId="7" borderId="20" xfId="0" applyFont="1" applyFill="1" applyBorder="1" applyAlignment="1">
      <alignment horizontal="center" vertical="top" wrapText="1"/>
    </xf>
    <xf numFmtId="0" fontId="22" fillId="7" borderId="11" xfId="0" applyFont="1" applyFill="1" applyBorder="1" applyAlignment="1">
      <alignment horizontal="center" vertical="top" wrapText="1"/>
    </xf>
    <xf numFmtId="0" fontId="24" fillId="7" borderId="28" xfId="0" applyFont="1" applyFill="1" applyBorder="1" applyAlignment="1">
      <alignment horizontal="center" vertical="top" wrapText="1"/>
    </xf>
    <xf numFmtId="3" fontId="24" fillId="7" borderId="20" xfId="0" applyNumberFormat="1" applyFont="1" applyFill="1" applyBorder="1" applyAlignment="1">
      <alignment horizontal="center" vertical="top"/>
    </xf>
    <xf numFmtId="166" fontId="18" fillId="7" borderId="8" xfId="0" applyNumberFormat="1" applyFont="1" applyFill="1" applyBorder="1" applyAlignment="1">
      <alignment horizontal="center" vertical="top"/>
    </xf>
    <xf numFmtId="166" fontId="18" fillId="7" borderId="60" xfId="0" applyNumberFormat="1" applyFont="1" applyFill="1" applyBorder="1" applyAlignment="1">
      <alignment horizontal="center" vertical="top"/>
    </xf>
    <xf numFmtId="166" fontId="18" fillId="7" borderId="37" xfId="0" applyNumberFormat="1" applyFont="1" applyFill="1" applyBorder="1" applyAlignment="1">
      <alignment horizontal="left" vertical="top" wrapText="1"/>
    </xf>
    <xf numFmtId="166" fontId="18" fillId="7" borderId="65" xfId="0" applyNumberFormat="1" applyFont="1" applyFill="1" applyBorder="1" applyAlignment="1">
      <alignment horizontal="center" vertical="top" wrapText="1"/>
    </xf>
    <xf numFmtId="166" fontId="18" fillId="7" borderId="23" xfId="0" applyNumberFormat="1" applyFont="1" applyFill="1" applyBorder="1" applyAlignment="1">
      <alignment horizontal="center" vertical="top"/>
    </xf>
    <xf numFmtId="166" fontId="18" fillId="7" borderId="76" xfId="0" applyNumberFormat="1" applyFont="1" applyFill="1" applyBorder="1" applyAlignment="1">
      <alignment horizontal="center" vertical="top"/>
    </xf>
    <xf numFmtId="3" fontId="18" fillId="7" borderId="20" xfId="0" applyNumberFormat="1" applyFont="1" applyFill="1" applyBorder="1" applyAlignment="1">
      <alignment horizontal="center" vertical="top" wrapText="1"/>
    </xf>
    <xf numFmtId="166" fontId="2" fillId="3" borderId="98" xfId="0" applyNumberFormat="1" applyFont="1" applyFill="1" applyBorder="1" applyAlignment="1">
      <alignment horizontal="center" vertical="top"/>
    </xf>
    <xf numFmtId="166" fontId="2" fillId="3" borderId="107" xfId="0" applyNumberFormat="1" applyFont="1" applyFill="1" applyBorder="1" applyAlignment="1">
      <alignment horizontal="center" vertical="top"/>
    </xf>
    <xf numFmtId="166" fontId="18" fillId="7" borderId="96" xfId="0" applyNumberFormat="1" applyFont="1" applyFill="1" applyBorder="1" applyAlignment="1">
      <alignmen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49" fontId="3" fillId="7"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3" fontId="2" fillId="7" borderId="49" xfId="0" applyNumberFormat="1" applyFont="1" applyFill="1" applyBorder="1" applyAlignment="1">
      <alignment horizontal="center" vertical="top"/>
    </xf>
    <xf numFmtId="166" fontId="11" fillId="7" borderId="20" xfId="0" applyNumberFormat="1" applyFont="1" applyFill="1" applyBorder="1" applyAlignment="1">
      <alignment horizontal="center" vertical="center" wrapText="1"/>
    </xf>
    <xf numFmtId="166" fontId="18" fillId="7" borderId="35" xfId="0" applyNumberFormat="1" applyFont="1" applyFill="1" applyBorder="1" applyAlignment="1">
      <alignment horizontal="center" vertical="top"/>
    </xf>
    <xf numFmtId="49" fontId="18" fillId="0" borderId="49" xfId="0" applyNumberFormat="1" applyFont="1" applyFill="1" applyBorder="1" applyAlignment="1">
      <alignment horizontal="center" vertical="top"/>
    </xf>
    <xf numFmtId="3" fontId="18" fillId="7" borderId="93" xfId="0" applyNumberFormat="1" applyFont="1" applyFill="1" applyBorder="1" applyAlignment="1">
      <alignment horizontal="center" vertical="top"/>
    </xf>
    <xf numFmtId="3" fontId="18" fillId="7" borderId="86"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166" fontId="3" fillId="7" borderId="1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166" fontId="2" fillId="7" borderId="49" xfId="0" applyNumberFormat="1" applyFont="1" applyFill="1" applyBorder="1" applyAlignment="1">
      <alignment vertical="top" wrapText="1"/>
    </xf>
    <xf numFmtId="166" fontId="3" fillId="7" borderId="49"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3" fillId="2" borderId="49"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2" fillId="7" borderId="46" xfId="0" applyNumberFormat="1" applyFont="1" applyFill="1" applyBorder="1" applyAlignment="1">
      <alignment vertical="top" wrapText="1"/>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166" fontId="2" fillId="7" borderId="37" xfId="0" applyNumberFormat="1" applyFont="1" applyFill="1" applyBorder="1" applyAlignment="1">
      <alignment vertical="top" wrapText="1"/>
    </xf>
    <xf numFmtId="3" fontId="2" fillId="7" borderId="20"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166" fontId="2" fillId="7" borderId="7" xfId="0" applyNumberFormat="1" applyFont="1" applyFill="1" applyBorder="1" applyAlignment="1">
      <alignment vertical="top" wrapText="1"/>
    </xf>
    <xf numFmtId="166" fontId="2" fillId="7" borderId="47" xfId="0" applyNumberFormat="1" applyFont="1" applyFill="1" applyBorder="1" applyAlignment="1">
      <alignment vertical="top" wrapText="1"/>
    </xf>
    <xf numFmtId="166" fontId="8" fillId="7" borderId="11" xfId="0" applyNumberFormat="1" applyFont="1" applyFill="1" applyBorder="1" applyAlignment="1">
      <alignment horizontal="center" vertical="center" textRotation="90" wrapText="1"/>
    </xf>
    <xf numFmtId="166" fontId="2" fillId="7" borderId="11" xfId="0" applyNumberFormat="1" applyFont="1" applyFill="1" applyBorder="1" applyAlignment="1">
      <alignment horizontal="center" vertical="center" textRotation="90" wrapText="1"/>
    </xf>
    <xf numFmtId="3" fontId="2" fillId="7" borderId="60"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166" fontId="2" fillId="7" borderId="21" xfId="0" applyNumberFormat="1" applyFont="1" applyFill="1" applyBorder="1" applyAlignment="1">
      <alignment horizontal="center" vertical="top" wrapText="1"/>
    </xf>
    <xf numFmtId="3" fontId="2" fillId="7" borderId="11" xfId="0" applyNumberFormat="1" applyFont="1" applyFill="1" applyBorder="1" applyAlignment="1">
      <alignment horizontal="center" vertical="top"/>
    </xf>
    <xf numFmtId="166" fontId="2" fillId="7" borderId="8" xfId="0" applyNumberFormat="1" applyFont="1" applyFill="1" applyBorder="1" applyAlignment="1">
      <alignment horizontal="center" vertical="top"/>
    </xf>
    <xf numFmtId="0" fontId="27" fillId="7" borderId="78" xfId="0" applyFont="1" applyFill="1" applyBorder="1" applyAlignment="1">
      <alignment vertical="top" wrapText="1"/>
    </xf>
    <xf numFmtId="3" fontId="2" fillId="7" borderId="20" xfId="0" applyNumberFormat="1" applyFont="1" applyFill="1" applyBorder="1" applyAlignment="1">
      <alignment vertical="top"/>
    </xf>
    <xf numFmtId="3" fontId="2" fillId="7" borderId="118" xfId="0" applyNumberFormat="1" applyFont="1" applyFill="1" applyBorder="1" applyAlignment="1">
      <alignment horizontal="center" vertical="center"/>
    </xf>
    <xf numFmtId="3" fontId="2" fillId="7" borderId="79" xfId="0" applyNumberFormat="1" applyFont="1" applyFill="1" applyBorder="1" applyAlignment="1">
      <alignment horizontal="center" vertical="center"/>
    </xf>
    <xf numFmtId="3" fontId="2" fillId="7" borderId="114" xfId="0" applyNumberFormat="1" applyFont="1" applyFill="1" applyBorder="1" applyAlignment="1">
      <alignment vertical="top"/>
    </xf>
    <xf numFmtId="166" fontId="2" fillId="7" borderId="23" xfId="0" applyNumberFormat="1" applyFont="1" applyFill="1" applyBorder="1" applyAlignment="1">
      <alignment horizontal="center" vertical="top"/>
    </xf>
    <xf numFmtId="3" fontId="2" fillId="7" borderId="90" xfId="0" applyNumberFormat="1" applyFont="1" applyFill="1" applyBorder="1" applyAlignment="1">
      <alignment vertical="top"/>
    </xf>
    <xf numFmtId="3" fontId="2" fillId="7" borderId="28" xfId="0" applyNumberFormat="1" applyFont="1" applyFill="1" applyBorder="1" applyAlignment="1">
      <alignment horizontal="center" vertical="center"/>
    </xf>
    <xf numFmtId="3" fontId="2" fillId="7" borderId="90" xfId="0" applyNumberFormat="1" applyFont="1" applyFill="1" applyBorder="1" applyAlignment="1">
      <alignment horizontal="center" vertical="center"/>
    </xf>
    <xf numFmtId="3" fontId="2" fillId="7" borderId="27" xfId="0" applyNumberFormat="1" applyFont="1" applyFill="1" applyBorder="1" applyAlignment="1">
      <alignment vertical="top"/>
    </xf>
    <xf numFmtId="3" fontId="2" fillId="7" borderId="100" xfId="0" applyNumberFormat="1" applyFont="1" applyFill="1" applyBorder="1" applyAlignment="1">
      <alignment horizontal="center" vertical="top"/>
    </xf>
    <xf numFmtId="166" fontId="18" fillId="7" borderId="98" xfId="0" applyNumberFormat="1" applyFont="1" applyFill="1" applyBorder="1" applyAlignment="1">
      <alignment horizontal="center" vertical="top"/>
    </xf>
    <xf numFmtId="166" fontId="18" fillId="7" borderId="80" xfId="0" applyNumberFormat="1" applyFont="1" applyFill="1" applyBorder="1" applyAlignment="1">
      <alignment horizontal="center" vertical="top"/>
    </xf>
    <xf numFmtId="0" fontId="2" fillId="7" borderId="35" xfId="0" applyFont="1" applyFill="1" applyBorder="1" applyAlignment="1">
      <alignment horizontal="right" vertical="center"/>
    </xf>
    <xf numFmtId="3" fontId="18" fillId="0" borderId="11" xfId="0" applyNumberFormat="1" applyFont="1" applyFill="1" applyBorder="1" applyAlignment="1">
      <alignment horizontal="center" vertical="top"/>
    </xf>
    <xf numFmtId="0" fontId="2" fillId="7" borderId="20" xfId="0" applyFont="1" applyFill="1" applyBorder="1" applyAlignment="1">
      <alignment horizontal="center" vertical="top"/>
    </xf>
    <xf numFmtId="0" fontId="2" fillId="7" borderId="20" xfId="0" applyFont="1" applyFill="1" applyBorder="1" applyAlignment="1">
      <alignment horizontal="right" vertical="top"/>
    </xf>
    <xf numFmtId="166" fontId="2" fillId="7" borderId="0" xfId="0" applyNumberFormat="1" applyFont="1" applyFill="1" applyBorder="1" applyAlignment="1">
      <alignment vertical="top" wrapText="1"/>
    </xf>
    <xf numFmtId="166" fontId="18" fillId="7" borderId="80" xfId="0" applyNumberFormat="1" applyFont="1" applyFill="1" applyBorder="1" applyAlignment="1">
      <alignment vertical="top" wrapText="1"/>
    </xf>
    <xf numFmtId="3" fontId="18" fillId="7" borderId="97" xfId="0" applyNumberFormat="1" applyFont="1" applyFill="1" applyBorder="1" applyAlignment="1">
      <alignment horizontal="center" vertical="top"/>
    </xf>
    <xf numFmtId="3" fontId="6" fillId="0" borderId="99" xfId="0" applyNumberFormat="1" applyFont="1" applyFill="1" applyBorder="1" applyAlignment="1">
      <alignment horizontal="center" vertical="top"/>
    </xf>
    <xf numFmtId="3" fontId="6" fillId="0" borderId="82" xfId="0" applyNumberFormat="1" applyFont="1" applyFill="1" applyBorder="1" applyAlignment="1">
      <alignment horizontal="center" vertical="top"/>
    </xf>
    <xf numFmtId="166" fontId="2" fillId="7" borderId="123" xfId="0" applyNumberFormat="1" applyFont="1" applyFill="1" applyBorder="1" applyAlignment="1">
      <alignment vertical="top" wrapText="1"/>
    </xf>
    <xf numFmtId="0" fontId="2" fillId="0" borderId="81" xfId="0" applyFont="1" applyBorder="1" applyAlignment="1">
      <alignment vertical="top"/>
    </xf>
    <xf numFmtId="3" fontId="18" fillId="7" borderId="81" xfId="0" applyNumberFormat="1" applyFont="1" applyFill="1" applyBorder="1" applyAlignment="1">
      <alignment horizontal="center" vertical="top"/>
    </xf>
    <xf numFmtId="3" fontId="18" fillId="7" borderId="11" xfId="0" applyNumberFormat="1" applyFont="1" applyFill="1" applyBorder="1" applyAlignment="1">
      <alignment horizontal="center" vertical="top"/>
    </xf>
    <xf numFmtId="3" fontId="6" fillId="7" borderId="93" xfId="0" applyNumberFormat="1" applyFont="1" applyFill="1" applyBorder="1" applyAlignment="1">
      <alignment horizontal="center" vertical="top"/>
    </xf>
    <xf numFmtId="3" fontId="6" fillId="7" borderId="87" xfId="0" applyNumberFormat="1" applyFont="1" applyFill="1" applyBorder="1" applyAlignment="1">
      <alignment horizontal="center" vertical="top"/>
    </xf>
    <xf numFmtId="166" fontId="8" fillId="7" borderId="48" xfId="0" applyNumberFormat="1" applyFont="1" applyFill="1" applyBorder="1" applyAlignment="1">
      <alignment horizontal="center" vertical="center" textRotation="90" wrapText="1"/>
    </xf>
    <xf numFmtId="0" fontId="18" fillId="7" borderId="89" xfId="0" applyFont="1" applyFill="1" applyBorder="1" applyAlignment="1">
      <alignment horizontal="left" vertical="top" wrapText="1"/>
    </xf>
    <xf numFmtId="166" fontId="18" fillId="7" borderId="108" xfId="0" applyNumberFormat="1" applyFont="1" applyFill="1" applyBorder="1" applyAlignment="1">
      <alignment horizontal="center" vertical="top" wrapText="1"/>
    </xf>
    <xf numFmtId="49" fontId="3" fillId="7" borderId="38" xfId="0" applyNumberFormat="1" applyFont="1" applyFill="1" applyBorder="1" applyAlignment="1">
      <alignment horizontal="center" vertical="top"/>
    </xf>
    <xf numFmtId="0" fontId="2" fillId="7" borderId="1" xfId="0" applyFont="1" applyFill="1" applyBorder="1" applyAlignment="1">
      <alignment horizontal="center" vertical="center"/>
    </xf>
    <xf numFmtId="0" fontId="2" fillId="7" borderId="1" xfId="0" applyFont="1" applyFill="1" applyBorder="1" applyAlignment="1">
      <alignment horizontal="center" vertical="top"/>
    </xf>
    <xf numFmtId="0" fontId="2" fillId="7" borderId="63" xfId="0" applyFont="1" applyFill="1" applyBorder="1" applyAlignment="1">
      <alignment horizontal="right" vertical="center"/>
    </xf>
    <xf numFmtId="0" fontId="2" fillId="7" borderId="17" xfId="0" applyFont="1" applyFill="1" applyBorder="1" applyAlignment="1">
      <alignment horizontal="right" vertical="center"/>
    </xf>
    <xf numFmtId="166" fontId="2" fillId="7" borderId="63"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28" xfId="0" applyNumberFormat="1" applyFont="1" applyFill="1" applyBorder="1" applyAlignment="1">
      <alignment vertical="top" wrapText="1"/>
    </xf>
    <xf numFmtId="166" fontId="2" fillId="7" borderId="7" xfId="0" applyNumberFormat="1" applyFont="1" applyFill="1" applyBorder="1" applyAlignment="1">
      <alignment horizontal="left" vertical="top" wrapText="1"/>
    </xf>
    <xf numFmtId="166" fontId="2" fillId="7" borderId="49" xfId="0" applyNumberFormat="1" applyFont="1" applyFill="1" applyBorder="1" applyAlignment="1">
      <alignment vertical="top" wrapText="1"/>
    </xf>
    <xf numFmtId="166" fontId="2" fillId="7" borderId="20" xfId="0" applyNumberFormat="1" applyFont="1" applyFill="1" applyBorder="1" applyAlignment="1">
      <alignment horizontal="center" vertical="center" textRotation="90" wrapText="1"/>
    </xf>
    <xf numFmtId="49" fontId="3" fillId="7" borderId="49"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2" fillId="7" borderId="37" xfId="0" applyNumberFormat="1" applyFont="1" applyFill="1" applyBorder="1" applyAlignment="1">
      <alignment horizontal="left" vertical="top" wrapText="1"/>
    </xf>
    <xf numFmtId="166" fontId="3" fillId="8"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2" fillId="0" borderId="18" xfId="0" applyNumberFormat="1" applyFont="1" applyBorder="1" applyAlignment="1">
      <alignment horizontal="center" vertical="top" wrapText="1"/>
    </xf>
    <xf numFmtId="3" fontId="2" fillId="7" borderId="11" xfId="0" applyNumberFormat="1" applyFont="1" applyFill="1" applyBorder="1" applyAlignment="1">
      <alignment horizontal="center" vertical="top"/>
    </xf>
    <xf numFmtId="166" fontId="8" fillId="7" borderId="18" xfId="0" applyNumberFormat="1" applyFont="1" applyFill="1" applyBorder="1" applyAlignment="1">
      <alignment horizontal="center" vertical="top" wrapText="1"/>
    </xf>
    <xf numFmtId="166" fontId="2" fillId="7" borderId="28" xfId="0" applyNumberFormat="1" applyFont="1" applyFill="1" applyBorder="1" applyAlignment="1">
      <alignment horizontal="center" vertical="center" textRotation="90" wrapText="1"/>
    </xf>
    <xf numFmtId="166" fontId="8" fillId="7" borderId="27" xfId="0" applyNumberFormat="1" applyFont="1" applyFill="1" applyBorder="1" applyAlignment="1">
      <alignment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94" xfId="0" applyNumberFormat="1" applyFont="1" applyFill="1" applyBorder="1" applyAlignment="1">
      <alignment horizontal="center" vertical="top"/>
    </xf>
    <xf numFmtId="166" fontId="2" fillId="7" borderId="93" xfId="0" applyNumberFormat="1" applyFont="1" applyFill="1" applyBorder="1" applyAlignment="1">
      <alignment horizontal="center" vertical="top"/>
    </xf>
    <xf numFmtId="166" fontId="2" fillId="7" borderId="87" xfId="0" applyNumberFormat="1" applyFont="1" applyFill="1" applyBorder="1" applyAlignment="1">
      <alignment horizontal="center" vertical="top"/>
    </xf>
    <xf numFmtId="3" fontId="2" fillId="0" borderId="90" xfId="0" applyNumberFormat="1" applyFont="1" applyFill="1" applyBorder="1" applyAlignment="1">
      <alignment horizontal="center" vertical="top"/>
    </xf>
    <xf numFmtId="166" fontId="42" fillId="7" borderId="86" xfId="0" applyNumberFormat="1" applyFont="1" applyFill="1" applyBorder="1" applyAlignment="1">
      <alignment vertical="top" wrapText="1"/>
    </xf>
    <xf numFmtId="0" fontId="42" fillId="7" borderId="86" xfId="0" applyFont="1" applyFill="1" applyBorder="1" applyAlignment="1">
      <alignment vertical="top" wrapText="1"/>
    </xf>
    <xf numFmtId="166" fontId="18" fillId="7" borderId="79" xfId="0" applyNumberFormat="1" applyFont="1" applyFill="1" applyBorder="1" applyAlignment="1">
      <alignment vertical="top" wrapText="1"/>
    </xf>
    <xf numFmtId="166" fontId="18" fillId="7" borderId="86" xfId="0" applyNumberFormat="1" applyFont="1" applyFill="1" applyBorder="1" applyAlignment="1">
      <alignment vertical="top" wrapText="1"/>
    </xf>
    <xf numFmtId="166" fontId="18" fillId="0" borderId="28" xfId="0" applyNumberFormat="1" applyFont="1" applyFill="1" applyBorder="1" applyAlignment="1">
      <alignment vertical="top" wrapText="1"/>
    </xf>
    <xf numFmtId="166" fontId="2" fillId="0" borderId="1" xfId="0" applyNumberFormat="1" applyFont="1" applyFill="1" applyBorder="1" applyAlignment="1">
      <alignment horizontal="center" vertical="top"/>
    </xf>
    <xf numFmtId="166" fontId="13" fillId="7" borderId="22"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49" fontId="3" fillId="8" borderId="11" xfId="0" applyNumberFormat="1" applyFont="1" applyFill="1" applyBorder="1" applyAlignment="1">
      <alignment horizontal="center" vertical="top"/>
    </xf>
    <xf numFmtId="0" fontId="2" fillId="7" borderId="28" xfId="0" applyFont="1" applyFill="1" applyBorder="1" applyAlignment="1">
      <alignment horizontal="left" vertical="top" wrapText="1"/>
    </xf>
    <xf numFmtId="166" fontId="3" fillId="2" borderId="11"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49" fontId="3" fillId="9"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0" fontId="2" fillId="7" borderId="6" xfId="0" applyFont="1" applyFill="1" applyBorder="1" applyAlignment="1">
      <alignment horizontal="center" vertical="top" wrapText="1"/>
    </xf>
    <xf numFmtId="0" fontId="2" fillId="7" borderId="23" xfId="0" applyFont="1" applyFill="1" applyBorder="1" applyAlignment="1">
      <alignment horizontal="center" vertical="top" wrapText="1"/>
    </xf>
    <xf numFmtId="49" fontId="2" fillId="7" borderId="18" xfId="0" applyNumberFormat="1" applyFont="1" applyFill="1" applyBorder="1" applyAlignment="1">
      <alignment horizontal="center" vertical="center" wrapText="1"/>
    </xf>
    <xf numFmtId="49" fontId="2" fillId="7" borderId="27" xfId="0" applyNumberFormat="1" applyFont="1" applyFill="1" applyBorder="1" applyAlignment="1">
      <alignment horizontal="center" vertical="center" wrapText="1"/>
    </xf>
    <xf numFmtId="166" fontId="2" fillId="7" borderId="106" xfId="0" applyNumberFormat="1" applyFont="1" applyFill="1" applyBorder="1" applyAlignment="1">
      <alignment horizontal="center" vertical="top" wrapText="1"/>
    </xf>
    <xf numFmtId="166" fontId="2" fillId="7" borderId="109" xfId="0" applyNumberFormat="1" applyFont="1" applyFill="1" applyBorder="1" applyAlignment="1">
      <alignment horizontal="center" vertical="top"/>
    </xf>
    <xf numFmtId="0" fontId="22" fillId="7" borderId="104" xfId="0" applyFont="1" applyFill="1" applyBorder="1" applyAlignment="1">
      <alignment vertical="top" wrapText="1"/>
    </xf>
    <xf numFmtId="3" fontId="2" fillId="7" borderId="105" xfId="0" applyNumberFormat="1" applyFont="1" applyFill="1" applyBorder="1" applyAlignment="1">
      <alignment vertical="top"/>
    </xf>
    <xf numFmtId="3" fontId="2" fillId="8" borderId="32" xfId="0" applyNumberFormat="1" applyFont="1" applyFill="1" applyBorder="1" applyAlignment="1">
      <alignment horizontal="center" vertical="top"/>
    </xf>
    <xf numFmtId="0" fontId="2" fillId="7" borderId="86" xfId="0" applyFont="1" applyFill="1" applyBorder="1" applyAlignment="1">
      <alignment horizontal="left" vertical="top" wrapText="1"/>
    </xf>
    <xf numFmtId="3" fontId="2" fillId="7" borderId="47"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49" xfId="0" applyNumberFormat="1" applyFont="1" applyFill="1" applyBorder="1" applyAlignment="1">
      <alignment horizontal="center" vertical="top"/>
    </xf>
    <xf numFmtId="3" fontId="2" fillId="7" borderId="47" xfId="0" applyNumberFormat="1" applyFont="1" applyFill="1" applyBorder="1" applyAlignment="1">
      <alignment horizontal="center" vertical="top" wrapText="1"/>
    </xf>
    <xf numFmtId="166" fontId="2" fillId="7" borderId="28" xfId="0" applyNumberFormat="1" applyFont="1" applyFill="1" applyBorder="1" applyAlignment="1">
      <alignment vertical="top" wrapText="1"/>
    </xf>
    <xf numFmtId="166" fontId="3" fillId="7" borderId="28" xfId="0" applyNumberFormat="1" applyFont="1" applyFill="1" applyBorder="1" applyAlignment="1">
      <alignment horizontal="center" vertical="center" textRotation="90"/>
    </xf>
    <xf numFmtId="166" fontId="2" fillId="2" borderId="71" xfId="0" applyNumberFormat="1" applyFont="1" applyFill="1" applyBorder="1" applyAlignment="1">
      <alignment horizontal="center" vertical="top" wrapText="1"/>
    </xf>
    <xf numFmtId="166" fontId="2" fillId="7" borderId="18" xfId="0" applyNumberFormat="1" applyFont="1" applyFill="1" applyBorder="1" applyAlignment="1">
      <alignment horizontal="center" vertical="top" wrapText="1"/>
    </xf>
    <xf numFmtId="166" fontId="8" fillId="7" borderId="18" xfId="0" applyNumberFormat="1" applyFont="1" applyFill="1" applyBorder="1" applyAlignment="1">
      <alignment horizontal="center" vertical="top" wrapText="1"/>
    </xf>
    <xf numFmtId="166" fontId="8" fillId="7" borderId="44" xfId="0" applyNumberFormat="1" applyFont="1" applyFill="1" applyBorder="1" applyAlignment="1">
      <alignment horizontal="center" vertical="top" wrapText="1"/>
    </xf>
    <xf numFmtId="166" fontId="3" fillId="7" borderId="53" xfId="0" applyNumberFormat="1" applyFont="1" applyFill="1" applyBorder="1" applyAlignment="1">
      <alignment horizontal="center" vertical="top"/>
    </xf>
    <xf numFmtId="49" fontId="3" fillId="7" borderId="49" xfId="0" applyNumberFormat="1" applyFont="1" applyFill="1" applyBorder="1" applyAlignment="1">
      <alignment vertical="top"/>
    </xf>
    <xf numFmtId="166" fontId="2" fillId="0" borderId="45" xfId="0" applyNumberFormat="1" applyFont="1" applyFill="1" applyBorder="1" applyAlignment="1">
      <alignment horizontal="center" vertical="top"/>
    </xf>
    <xf numFmtId="166" fontId="2" fillId="0" borderId="40" xfId="0" applyNumberFormat="1" applyFont="1" applyBorder="1" applyAlignment="1">
      <alignment horizontal="center" vertical="top"/>
    </xf>
    <xf numFmtId="166" fontId="2" fillId="0" borderId="52" xfId="0" applyNumberFormat="1" applyFont="1" applyBorder="1" applyAlignment="1">
      <alignment horizontal="center" vertical="top"/>
    </xf>
    <xf numFmtId="3" fontId="22" fillId="7" borderId="25" xfId="0" applyNumberFormat="1" applyFont="1" applyFill="1" applyBorder="1" applyAlignment="1">
      <alignment horizontal="center" vertical="top"/>
    </xf>
    <xf numFmtId="3" fontId="22" fillId="7" borderId="52" xfId="0" applyNumberFormat="1" applyFont="1" applyFill="1" applyBorder="1" applyAlignment="1">
      <alignment horizontal="center" vertical="top"/>
    </xf>
    <xf numFmtId="3" fontId="22" fillId="7" borderId="26" xfId="0" applyNumberFormat="1" applyFont="1" applyFill="1" applyBorder="1" applyAlignment="1">
      <alignment horizontal="center" vertical="top"/>
    </xf>
    <xf numFmtId="166" fontId="2" fillId="0" borderId="45" xfId="0" applyNumberFormat="1" applyFont="1" applyBorder="1" applyAlignment="1">
      <alignment horizontal="center" vertical="top"/>
    </xf>
    <xf numFmtId="166" fontId="3" fillId="2" borderId="7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3" fillId="7" borderId="20"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49" fontId="3" fillId="9" borderId="5" xfId="0" applyNumberFormat="1" applyFont="1" applyFill="1" applyBorder="1" applyAlignment="1">
      <alignment horizontal="center" vertical="top"/>
    </xf>
    <xf numFmtId="49" fontId="3" fillId="2" borderId="42" xfId="0" applyNumberFormat="1" applyFont="1" applyFill="1" applyBorder="1" applyAlignment="1">
      <alignment horizontal="center" vertical="top"/>
    </xf>
    <xf numFmtId="49" fontId="3" fillId="2" borderId="49"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2" fillId="7" borderId="27" xfId="0" applyNumberFormat="1" applyFont="1" applyFill="1" applyBorder="1" applyAlignment="1">
      <alignment horizontal="center" vertical="top" wrapText="1"/>
    </xf>
    <xf numFmtId="166" fontId="3" fillId="7" borderId="35" xfId="0" applyNumberFormat="1" applyFont="1" applyFill="1" applyBorder="1" applyAlignment="1">
      <alignment horizontal="center" vertical="top"/>
    </xf>
    <xf numFmtId="49" fontId="3" fillId="8" borderId="49" xfId="0" applyNumberFormat="1" applyFont="1" applyFill="1" applyBorder="1" applyAlignment="1">
      <alignment horizontal="center" vertical="top"/>
    </xf>
    <xf numFmtId="166" fontId="8" fillId="8" borderId="60" xfId="0" applyNumberFormat="1" applyFont="1" applyFill="1" applyBorder="1" applyAlignment="1">
      <alignment vertical="top" wrapText="1"/>
    </xf>
    <xf numFmtId="166" fontId="4" fillId="7" borderId="13" xfId="0" applyNumberFormat="1" applyFont="1" applyFill="1" applyBorder="1" applyAlignment="1">
      <alignment horizontal="center" vertical="top" wrapText="1"/>
    </xf>
    <xf numFmtId="166" fontId="3" fillId="8" borderId="60" xfId="0" applyNumberFormat="1" applyFont="1" applyFill="1" applyBorder="1" applyAlignment="1">
      <alignment horizontal="center" vertical="top"/>
    </xf>
    <xf numFmtId="166" fontId="3" fillId="8" borderId="6" xfId="0" applyNumberFormat="1" applyFont="1" applyFill="1" applyBorder="1" applyAlignment="1">
      <alignment horizontal="center" vertical="top"/>
    </xf>
    <xf numFmtId="166" fontId="3" fillId="8" borderId="34" xfId="0" applyNumberFormat="1" applyFont="1" applyFill="1" applyBorder="1" applyAlignment="1">
      <alignment horizontal="center" vertical="top"/>
    </xf>
    <xf numFmtId="166" fontId="18" fillId="8" borderId="34" xfId="0" applyNumberFormat="1" applyFont="1" applyFill="1" applyBorder="1" applyAlignment="1">
      <alignment horizontal="left" vertical="top" wrapText="1"/>
    </xf>
    <xf numFmtId="3" fontId="2" fillId="8" borderId="60" xfId="0" applyNumberFormat="1" applyFont="1" applyFill="1" applyBorder="1" applyAlignment="1">
      <alignment horizontal="center" vertical="top"/>
    </xf>
    <xf numFmtId="3" fontId="6" fillId="8" borderId="60" xfId="0" applyNumberFormat="1" applyFont="1" applyFill="1" applyBorder="1" applyAlignment="1">
      <alignment horizontal="center" vertical="top" wrapText="1"/>
    </xf>
    <xf numFmtId="3" fontId="6" fillId="8" borderId="39" xfId="0" applyNumberFormat="1" applyFont="1" applyFill="1" applyBorder="1" applyAlignment="1">
      <alignment horizontal="center" vertical="top" wrapText="1"/>
    </xf>
    <xf numFmtId="166" fontId="3" fillId="7" borderId="14" xfId="0" applyNumberFormat="1" applyFont="1" applyFill="1" applyBorder="1" applyAlignment="1">
      <alignment horizontal="center" vertical="top"/>
    </xf>
    <xf numFmtId="166" fontId="2" fillId="7" borderId="74" xfId="0" applyNumberFormat="1" applyFont="1" applyFill="1" applyBorder="1" applyAlignment="1">
      <alignment horizontal="center" vertical="top"/>
    </xf>
    <xf numFmtId="166" fontId="2" fillId="3" borderId="74" xfId="0" applyNumberFormat="1" applyFont="1" applyFill="1" applyBorder="1" applyAlignment="1">
      <alignment horizontal="center" vertical="top"/>
    </xf>
    <xf numFmtId="166" fontId="2" fillId="7" borderId="61" xfId="0" applyNumberFormat="1" applyFont="1" applyFill="1" applyBorder="1" applyAlignment="1">
      <alignment horizontal="left" vertical="top" wrapText="1"/>
    </xf>
    <xf numFmtId="49" fontId="2" fillId="7" borderId="13" xfId="0" applyNumberFormat="1" applyFont="1" applyFill="1" applyBorder="1" applyAlignment="1">
      <alignment horizontal="center" vertical="top"/>
    </xf>
    <xf numFmtId="49" fontId="2" fillId="7" borderId="74" xfId="0" applyNumberFormat="1" applyFont="1" applyFill="1" applyBorder="1" applyAlignment="1">
      <alignment horizontal="center" vertical="top"/>
    </xf>
    <xf numFmtId="49" fontId="2" fillId="7" borderId="14" xfId="0" applyNumberFormat="1" applyFont="1" applyFill="1" applyBorder="1" applyAlignment="1">
      <alignment horizontal="center" vertical="top"/>
    </xf>
    <xf numFmtId="49" fontId="2" fillId="7" borderId="15" xfId="0" applyNumberFormat="1" applyFont="1" applyFill="1" applyBorder="1" applyAlignment="1">
      <alignment horizontal="center" vertical="top"/>
    </xf>
    <xf numFmtId="166" fontId="3" fillId="7" borderId="13" xfId="0" applyNumberFormat="1" applyFont="1" applyFill="1" applyBorder="1" applyAlignment="1">
      <alignment vertical="top" wrapText="1"/>
    </xf>
    <xf numFmtId="3" fontId="6" fillId="8" borderId="32" xfId="0" applyNumberFormat="1" applyFont="1" applyFill="1" applyBorder="1" applyAlignment="1">
      <alignment horizontal="center" vertical="top" wrapText="1"/>
    </xf>
    <xf numFmtId="3" fontId="6" fillId="8" borderId="33" xfId="0" applyNumberFormat="1" applyFont="1" applyFill="1" applyBorder="1" applyAlignment="1">
      <alignment horizontal="center" vertical="top" wrapText="1"/>
    </xf>
    <xf numFmtId="166" fontId="11" fillId="8" borderId="0" xfId="0" applyNumberFormat="1" applyFont="1" applyFill="1" applyBorder="1" applyAlignment="1">
      <alignment horizontal="center" vertical="center" textRotation="90" wrapText="1"/>
    </xf>
    <xf numFmtId="0" fontId="2" fillId="7" borderId="81" xfId="0" applyFont="1" applyFill="1" applyBorder="1" applyAlignment="1">
      <alignment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49" xfId="0" applyNumberFormat="1" applyFont="1" applyFill="1" applyBorder="1" applyAlignment="1">
      <alignment horizontal="center" vertical="top"/>
    </xf>
    <xf numFmtId="0" fontId="2" fillId="7" borderId="7" xfId="0" applyFont="1" applyFill="1" applyBorder="1" applyAlignment="1">
      <alignment vertical="top" wrapText="1"/>
    </xf>
    <xf numFmtId="166" fontId="2" fillId="7" borderId="6" xfId="0" applyNumberFormat="1" applyFont="1" applyFill="1" applyBorder="1" applyAlignment="1">
      <alignment horizontal="center" vertical="center"/>
    </xf>
    <xf numFmtId="166" fontId="3" fillId="9" borderId="7"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3" fillId="3" borderId="28" xfId="0" applyNumberFormat="1" applyFont="1" applyFill="1" applyBorder="1" applyAlignment="1">
      <alignment horizontal="center" vertical="top" wrapText="1"/>
    </xf>
    <xf numFmtId="3" fontId="2" fillId="7" borderId="1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2" fillId="7" borderId="104" xfId="0" applyNumberFormat="1" applyFont="1" applyFill="1" applyBorder="1" applyAlignment="1">
      <alignment vertical="top" wrapText="1"/>
    </xf>
    <xf numFmtId="3" fontId="2" fillId="7" borderId="21" xfId="0" applyNumberFormat="1" applyFont="1" applyFill="1" applyBorder="1" applyAlignment="1">
      <alignment horizontal="center" vertical="top"/>
    </xf>
    <xf numFmtId="166" fontId="18" fillId="7" borderId="0" xfId="0" applyNumberFormat="1" applyFont="1" applyFill="1" applyBorder="1" applyAlignment="1">
      <alignment horizontal="center" vertical="top"/>
    </xf>
    <xf numFmtId="166" fontId="2" fillId="7" borderId="100" xfId="0" applyNumberFormat="1" applyFont="1" applyFill="1" applyBorder="1" applyAlignment="1">
      <alignment horizontal="center" vertical="top" wrapText="1"/>
    </xf>
    <xf numFmtId="166" fontId="13" fillId="7"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8" fillId="7" borderId="18"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49" fontId="2" fillId="7" borderId="109" xfId="0" applyNumberFormat="1" applyFont="1" applyFill="1" applyBorder="1" applyAlignment="1">
      <alignment horizontal="center" vertical="top"/>
    </xf>
    <xf numFmtId="49" fontId="2" fillId="0" borderId="90" xfId="0" applyNumberFormat="1" applyFont="1" applyFill="1" applyBorder="1" applyAlignment="1">
      <alignment horizontal="center" vertical="top"/>
    </xf>
    <xf numFmtId="49" fontId="2" fillId="0" borderId="116" xfId="0" applyNumberFormat="1" applyFont="1" applyFill="1" applyBorder="1" applyAlignment="1">
      <alignment horizontal="center" vertical="top"/>
    </xf>
    <xf numFmtId="49" fontId="2" fillId="0" borderId="100"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0" fontId="8" fillId="7" borderId="7" xfId="0" applyFont="1" applyFill="1" applyBorder="1" applyAlignment="1">
      <alignment horizontal="left" vertical="top" wrapText="1"/>
    </xf>
    <xf numFmtId="49" fontId="3" fillId="7" borderId="11" xfId="0" applyNumberFormat="1" applyFont="1" applyFill="1" applyBorder="1" applyAlignment="1">
      <alignment horizontal="center" vertical="top"/>
    </xf>
    <xf numFmtId="3" fontId="2" fillId="7" borderId="28" xfId="0" applyNumberFormat="1" applyFont="1" applyFill="1" applyBorder="1" applyAlignment="1">
      <alignment horizontal="center" vertical="top" wrapText="1"/>
    </xf>
    <xf numFmtId="3" fontId="2" fillId="7" borderId="18"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0" fontId="8" fillId="7" borderId="29" xfId="0" applyFont="1" applyFill="1" applyBorder="1" applyAlignment="1">
      <alignment horizontal="left" vertical="top" wrapText="1"/>
    </xf>
    <xf numFmtId="166" fontId="3" fillId="8" borderId="11"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49" fontId="2" fillId="0" borderId="20" xfId="0" applyNumberFormat="1" applyFont="1" applyFill="1" applyBorder="1" applyAlignment="1">
      <alignment horizontal="center" vertical="top"/>
    </xf>
    <xf numFmtId="49" fontId="2" fillId="0" borderId="21" xfId="0" applyNumberFormat="1" applyFont="1" applyFill="1" applyBorder="1" applyAlignment="1">
      <alignment horizontal="center" vertical="top"/>
    </xf>
    <xf numFmtId="49" fontId="2" fillId="0" borderId="0" xfId="0" applyNumberFormat="1" applyFont="1" applyFill="1" applyBorder="1" applyAlignment="1">
      <alignment horizontal="center" vertical="top"/>
    </xf>
    <xf numFmtId="49" fontId="2" fillId="0" borderId="18" xfId="0" applyNumberFormat="1" applyFont="1" applyFill="1" applyBorder="1" applyAlignment="1">
      <alignment horizontal="center" vertical="top"/>
    </xf>
    <xf numFmtId="0" fontId="0" fillId="7" borderId="49" xfId="0" applyFill="1" applyBorder="1" applyAlignment="1">
      <alignment vertical="top" wrapText="1"/>
    </xf>
    <xf numFmtId="49" fontId="3" fillId="7" borderId="28" xfId="0" applyNumberFormat="1" applyFont="1" applyFill="1" applyBorder="1" applyAlignment="1">
      <alignment horizontal="center" vertical="top"/>
    </xf>
    <xf numFmtId="166" fontId="3" fillId="7" borderId="28" xfId="0" applyNumberFormat="1" applyFont="1" applyFill="1" applyBorder="1" applyAlignment="1">
      <alignment horizontal="center" vertical="top" wrapText="1"/>
    </xf>
    <xf numFmtId="166" fontId="3" fillId="7" borderId="20" xfId="0" applyNumberFormat="1" applyFont="1" applyFill="1" applyBorder="1" applyAlignment="1">
      <alignment horizontal="center" vertical="top" wrapText="1"/>
    </xf>
    <xf numFmtId="0" fontId="8" fillId="7" borderId="27" xfId="0" applyFont="1" applyFill="1" applyBorder="1" applyAlignment="1">
      <alignment horizontal="center" wrapText="1"/>
    </xf>
    <xf numFmtId="166" fontId="3" fillId="7" borderId="60" xfId="0" applyNumberFormat="1" applyFont="1" applyFill="1" applyBorder="1" applyAlignment="1">
      <alignment horizontal="center" vertical="top" wrapText="1"/>
    </xf>
    <xf numFmtId="3" fontId="2" fillId="7" borderId="90" xfId="0" applyNumberFormat="1" applyFont="1" applyFill="1" applyBorder="1" applyAlignment="1">
      <alignment horizontal="center" vertical="top"/>
    </xf>
    <xf numFmtId="166" fontId="3" fillId="7" borderId="20" xfId="0" applyNumberFormat="1" applyFont="1" applyFill="1" applyBorder="1" applyAlignment="1">
      <alignment horizontal="center" vertical="top" wrapText="1"/>
    </xf>
    <xf numFmtId="3" fontId="2" fillId="7" borderId="20" xfId="0" applyNumberFormat="1" applyFont="1" applyFill="1" applyBorder="1" applyAlignment="1">
      <alignment horizontal="center" vertical="top"/>
    </xf>
    <xf numFmtId="166" fontId="2" fillId="7" borderId="37" xfId="0" applyNumberFormat="1" applyFont="1" applyFill="1" applyBorder="1" applyAlignment="1">
      <alignment horizontal="left" vertical="top" wrapText="1"/>
    </xf>
    <xf numFmtId="3" fontId="2" fillId="7" borderId="60"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2" fillId="7" borderId="96" xfId="0" applyNumberFormat="1" applyFont="1" applyFill="1" applyBorder="1" applyAlignment="1">
      <alignment horizontal="left" vertical="top" wrapText="1"/>
    </xf>
    <xf numFmtId="49" fontId="2" fillId="0" borderId="60"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3" fontId="2" fillId="7" borderId="1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49" xfId="0" applyNumberFormat="1" applyFont="1" applyFill="1" applyBorder="1" applyAlignment="1">
      <alignment horizontal="center" vertical="top"/>
    </xf>
    <xf numFmtId="166" fontId="18" fillId="7" borderId="102" xfId="0" applyNumberFormat="1" applyFont="1" applyFill="1" applyBorder="1" applyAlignment="1">
      <alignment vertical="top" wrapText="1"/>
    </xf>
    <xf numFmtId="166" fontId="43" fillId="7" borderId="81" xfId="0" applyNumberFormat="1" applyFont="1" applyFill="1" applyBorder="1" applyAlignment="1">
      <alignment horizontal="center" vertical="top"/>
    </xf>
    <xf numFmtId="0" fontId="40" fillId="0" borderId="34" xfId="0" applyFont="1" applyFill="1" applyBorder="1" applyAlignment="1">
      <alignment vertical="center"/>
    </xf>
    <xf numFmtId="0" fontId="2" fillId="0" borderId="34" xfId="0" applyFont="1" applyFill="1" applyBorder="1" applyAlignment="1">
      <alignment vertical="top"/>
    </xf>
    <xf numFmtId="0" fontId="2" fillId="0" borderId="0" xfId="0" applyFont="1" applyFill="1" applyBorder="1" applyAlignment="1">
      <alignment horizontal="left" vertical="top"/>
    </xf>
    <xf numFmtId="0" fontId="30" fillId="0" borderId="0" xfId="0" applyFont="1" applyFill="1" applyAlignment="1">
      <alignment horizontal="justify" vertical="center"/>
    </xf>
    <xf numFmtId="0" fontId="3" fillId="0" borderId="0" xfId="0" applyFont="1" applyFill="1" applyAlignment="1">
      <alignment horizontal="justify" vertical="center"/>
    </xf>
    <xf numFmtId="166" fontId="2" fillId="0" borderId="96" xfId="0" applyNumberFormat="1" applyFont="1" applyFill="1" applyBorder="1" applyAlignment="1">
      <alignment horizontal="center" vertical="top"/>
    </xf>
    <xf numFmtId="3" fontId="13" fillId="7" borderId="111" xfId="0" applyNumberFormat="1" applyFont="1" applyFill="1" applyBorder="1" applyAlignment="1">
      <alignment horizontal="center" vertical="top"/>
    </xf>
    <xf numFmtId="3" fontId="2" fillId="7" borderId="47"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3" fillId="2" borderId="49"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166" fontId="2" fillId="7" borderId="7" xfId="0" applyNumberFormat="1" applyFont="1" applyFill="1" applyBorder="1" applyAlignment="1">
      <alignment vertical="top" wrapText="1"/>
    </xf>
    <xf numFmtId="49" fontId="3" fillId="9"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166" fontId="2" fillId="7" borderId="37" xfId="0" applyNumberFormat="1" applyFont="1" applyFill="1" applyBorder="1" applyAlignment="1">
      <alignment horizontal="left" vertical="top" wrapText="1"/>
    </xf>
    <xf numFmtId="0" fontId="2" fillId="7" borderId="37" xfId="0" applyFont="1" applyFill="1" applyBorder="1" applyAlignment="1">
      <alignment vertical="top" wrapText="1"/>
    </xf>
    <xf numFmtId="3" fontId="2" fillId="7" borderId="20" xfId="0" applyNumberFormat="1" applyFont="1" applyFill="1" applyBorder="1" applyAlignment="1">
      <alignment horizontal="center" vertical="top" wrapText="1"/>
    </xf>
    <xf numFmtId="3" fontId="13"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3" fontId="2" fillId="7" borderId="60"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2" fillId="7" borderId="104" xfId="0" applyNumberFormat="1" applyFont="1" applyFill="1" applyBorder="1" applyAlignment="1">
      <alignment vertical="top" wrapText="1"/>
    </xf>
    <xf numFmtId="3" fontId="2" fillId="7" borderId="21"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23" fillId="3" borderId="35" xfId="0" applyNumberFormat="1" applyFont="1" applyFill="1" applyBorder="1" applyAlignment="1">
      <alignment horizontal="center" vertical="top" wrapText="1"/>
    </xf>
    <xf numFmtId="166" fontId="3" fillId="7" borderId="35"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2" fillId="7" borderId="8" xfId="0" applyNumberFormat="1" applyFont="1" applyFill="1" applyBorder="1" applyAlignment="1">
      <alignment horizontal="center" vertical="top" wrapText="1"/>
    </xf>
    <xf numFmtId="166" fontId="2" fillId="7" borderId="23" xfId="0" applyNumberFormat="1" applyFont="1" applyFill="1" applyBorder="1" applyAlignment="1">
      <alignment horizontal="center"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2" fillId="7" borderId="80" xfId="0" applyNumberFormat="1" applyFont="1" applyFill="1" applyBorder="1" applyAlignment="1">
      <alignment horizontal="left" vertical="top" wrapText="1"/>
    </xf>
    <xf numFmtId="3" fontId="2" fillId="7" borderId="49"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wrapText="1"/>
    </xf>
    <xf numFmtId="3" fontId="2" fillId="7" borderId="47" xfId="0"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49" xfId="0" applyNumberFormat="1" applyFont="1" applyFill="1" applyBorder="1" applyAlignment="1">
      <alignment horizontal="center" vertical="top"/>
    </xf>
    <xf numFmtId="0" fontId="0" fillId="7" borderId="7" xfId="0" applyFill="1" applyBorder="1" applyAlignment="1">
      <alignment vertical="top" wrapText="1"/>
    </xf>
    <xf numFmtId="165" fontId="2" fillId="0" borderId="22" xfId="0" applyNumberFormat="1" applyFont="1" applyBorder="1" applyAlignment="1">
      <alignment horizontal="center"/>
    </xf>
    <xf numFmtId="0" fontId="2" fillId="0" borderId="6" xfId="0" applyFont="1" applyBorder="1" applyAlignment="1">
      <alignment vertical="top"/>
    </xf>
    <xf numFmtId="3" fontId="2" fillId="7" borderId="105" xfId="0" applyNumberFormat="1" applyFont="1" applyFill="1" applyBorder="1" applyAlignment="1">
      <alignment horizontal="center" vertical="top" wrapText="1"/>
    </xf>
    <xf numFmtId="3" fontId="2" fillId="7" borderId="109" xfId="0" applyNumberFormat="1" applyFont="1" applyFill="1" applyBorder="1" applyAlignment="1">
      <alignment horizontal="center" vertical="top" wrapText="1"/>
    </xf>
    <xf numFmtId="3" fontId="2" fillId="7" borderId="108" xfId="0" applyNumberFormat="1" applyFont="1" applyFill="1" applyBorder="1" applyAlignment="1">
      <alignment horizontal="center" vertical="top" wrapText="1"/>
    </xf>
    <xf numFmtId="166" fontId="2" fillId="7" borderId="23" xfId="0" applyNumberFormat="1" applyFont="1" applyFill="1" applyBorder="1" applyAlignment="1">
      <alignment horizontal="right" vertical="top" wrapText="1"/>
    </xf>
    <xf numFmtId="0" fontId="8" fillId="7" borderId="18" xfId="0" applyFont="1" applyFill="1" applyBorder="1" applyAlignment="1">
      <alignment horizontal="center" vertical="top" wrapText="1"/>
    </xf>
    <xf numFmtId="0" fontId="8" fillId="0" borderId="18" xfId="0" applyFont="1" applyBorder="1" applyAlignment="1">
      <alignment horizontal="center" vertical="top" wrapText="1"/>
    </xf>
    <xf numFmtId="166" fontId="2" fillId="7" borderId="89" xfId="0" applyNumberFormat="1" applyFont="1" applyFill="1" applyBorder="1" applyAlignment="1">
      <alignment horizontal="left" vertical="top" wrapText="1"/>
    </xf>
    <xf numFmtId="3" fontId="28" fillId="7" borderId="90" xfId="0" applyNumberFormat="1" applyFont="1" applyFill="1" applyBorder="1" applyAlignment="1">
      <alignment horizontal="center" vertical="center" wrapText="1"/>
    </xf>
    <xf numFmtId="3" fontId="6" fillId="7" borderId="91" xfId="0" applyNumberFormat="1" applyFont="1" applyFill="1" applyBorder="1" applyAlignment="1">
      <alignment horizontal="center" vertical="center" wrapText="1"/>
    </xf>
    <xf numFmtId="3" fontId="6" fillId="7" borderId="100" xfId="0" applyNumberFormat="1" applyFont="1" applyFill="1" applyBorder="1" applyAlignment="1">
      <alignment horizontal="center" vertical="center" wrapText="1"/>
    </xf>
    <xf numFmtId="166" fontId="2" fillId="7" borderId="120" xfId="0" applyNumberFormat="1" applyFont="1" applyFill="1" applyBorder="1" applyAlignment="1">
      <alignment horizontal="center" vertical="top"/>
    </xf>
    <xf numFmtId="3" fontId="18" fillId="0" borderId="79" xfId="0" applyNumberFormat="1" applyFont="1" applyFill="1" applyBorder="1" applyAlignment="1">
      <alignment horizontal="center" vertical="top"/>
    </xf>
    <xf numFmtId="3" fontId="2" fillId="7" borderId="109" xfId="0" applyNumberFormat="1" applyFont="1" applyFill="1" applyBorder="1" applyAlignment="1">
      <alignment horizontal="center" vertical="top"/>
    </xf>
    <xf numFmtId="166" fontId="18" fillId="7" borderId="44" xfId="0" applyNumberFormat="1" applyFont="1" applyFill="1" applyBorder="1" applyAlignment="1">
      <alignment horizontal="center" vertical="top"/>
    </xf>
    <xf numFmtId="166" fontId="18" fillId="7" borderId="37" xfId="0" applyNumberFormat="1" applyFont="1" applyFill="1" applyBorder="1" applyAlignment="1">
      <alignment vertical="top" wrapText="1"/>
    </xf>
    <xf numFmtId="166" fontId="23" fillId="3" borderId="49" xfId="0" applyNumberFormat="1" applyFont="1" applyFill="1" applyBorder="1" applyAlignment="1">
      <alignment horizontal="center" vertical="top" wrapText="1"/>
    </xf>
    <xf numFmtId="166" fontId="23" fillId="7" borderId="35" xfId="0" applyNumberFormat="1" applyFont="1" applyFill="1" applyBorder="1" applyAlignment="1">
      <alignment horizontal="center" vertical="top"/>
    </xf>
    <xf numFmtId="166" fontId="2" fillId="0" borderId="22" xfId="0" applyNumberFormat="1" applyFont="1" applyBorder="1" applyAlignment="1">
      <alignment horizontal="center" vertical="top" wrapText="1"/>
    </xf>
    <xf numFmtId="166" fontId="3" fillId="8" borderId="22" xfId="0" applyNumberFormat="1" applyFont="1" applyFill="1" applyBorder="1" applyAlignment="1">
      <alignment horizontal="center" vertical="top" wrapText="1"/>
    </xf>
    <xf numFmtId="166" fontId="3" fillId="5" borderId="10" xfId="0" applyNumberFormat="1" applyFont="1" applyFill="1" applyBorder="1" applyAlignment="1">
      <alignment horizontal="center" vertical="top" wrapText="1"/>
    </xf>
    <xf numFmtId="49" fontId="3" fillId="7" borderId="11"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3" fontId="18" fillId="7" borderId="111" xfId="0" applyNumberFormat="1" applyFont="1" applyFill="1" applyBorder="1" applyAlignment="1">
      <alignment horizontal="center" vertical="top"/>
    </xf>
    <xf numFmtId="49" fontId="18" fillId="0" borderId="35" xfId="0" applyNumberFormat="1" applyFont="1" applyFill="1" applyBorder="1" applyAlignment="1">
      <alignment horizontal="center" vertical="top"/>
    </xf>
    <xf numFmtId="3" fontId="18" fillId="7" borderId="49" xfId="0" applyNumberFormat="1" applyFont="1" applyFill="1" applyBorder="1" applyAlignment="1">
      <alignment horizontal="center" vertical="top"/>
    </xf>
    <xf numFmtId="166" fontId="2" fillId="7" borderId="8" xfId="0" applyNumberFormat="1" applyFont="1" applyFill="1" applyBorder="1" applyAlignment="1">
      <alignment horizontal="center" vertical="top" wrapText="1"/>
    </xf>
    <xf numFmtId="166" fontId="2" fillId="7" borderId="23" xfId="0" applyNumberFormat="1" applyFont="1" applyFill="1" applyBorder="1" applyAlignment="1">
      <alignment horizontal="center" vertical="top" wrapText="1"/>
    </xf>
    <xf numFmtId="3" fontId="2" fillId="7" borderId="18" xfId="0" applyNumberFormat="1" applyFont="1" applyFill="1" applyBorder="1" applyAlignment="1">
      <alignment horizontal="center" vertical="top"/>
    </xf>
    <xf numFmtId="3" fontId="2" fillId="7" borderId="49" xfId="0" applyNumberFormat="1" applyFont="1" applyFill="1" applyBorder="1" applyAlignment="1">
      <alignment horizontal="center" vertical="top"/>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0" fontId="2" fillId="7" borderId="8" xfId="0" applyFont="1" applyFill="1" applyBorder="1" applyAlignment="1">
      <alignment horizontal="center" vertical="top"/>
    </xf>
    <xf numFmtId="0" fontId="2" fillId="7" borderId="23" xfId="0" applyFont="1" applyFill="1" applyBorder="1" applyAlignment="1">
      <alignment horizontal="center" vertical="top"/>
    </xf>
    <xf numFmtId="166" fontId="2" fillId="13" borderId="23" xfId="0" applyNumberFormat="1" applyFont="1" applyFill="1" applyBorder="1" applyAlignment="1">
      <alignment horizontal="center" vertical="top"/>
    </xf>
    <xf numFmtId="166" fontId="2" fillId="13" borderId="6" xfId="0" applyNumberFormat="1" applyFont="1" applyFill="1" applyBorder="1" applyAlignment="1">
      <alignment horizontal="center" vertical="top"/>
    </xf>
    <xf numFmtId="166" fontId="2" fillId="13" borderId="23" xfId="0" applyNumberFormat="1" applyFont="1" applyFill="1" applyBorder="1" applyAlignment="1">
      <alignment horizontal="center" vertical="top" wrapText="1"/>
    </xf>
    <xf numFmtId="166" fontId="2" fillId="13" borderId="8" xfId="0" applyNumberFormat="1" applyFont="1" applyFill="1" applyBorder="1" applyAlignment="1">
      <alignment horizontal="center" vertical="top"/>
    </xf>
    <xf numFmtId="166" fontId="2" fillId="13" borderId="60" xfId="0" applyNumberFormat="1" applyFont="1" applyFill="1" applyBorder="1" applyAlignment="1">
      <alignment horizontal="center" vertical="top"/>
    </xf>
    <xf numFmtId="166" fontId="2" fillId="13" borderId="34" xfId="0" applyNumberFormat="1" applyFont="1" applyFill="1" applyBorder="1" applyAlignment="1">
      <alignment horizontal="center" vertical="top"/>
    </xf>
    <xf numFmtId="166" fontId="2" fillId="13" borderId="65" xfId="0" applyNumberFormat="1" applyFont="1" applyFill="1" applyBorder="1" applyAlignment="1">
      <alignment horizontal="center" vertical="top"/>
    </xf>
    <xf numFmtId="3" fontId="18" fillId="7" borderId="35" xfId="0" applyNumberFormat="1" applyFont="1" applyFill="1" applyBorder="1" applyAlignment="1">
      <alignment horizontal="center" vertical="top"/>
    </xf>
    <xf numFmtId="0" fontId="2" fillId="0" borderId="0" xfId="0" applyFont="1" applyFill="1" applyAlignment="1">
      <alignment horizontal="left"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2" fillId="7" borderId="104" xfId="0" applyNumberFormat="1" applyFont="1" applyFill="1" applyBorder="1" applyAlignment="1">
      <alignment horizontal="left" vertical="top" wrapText="1"/>
    </xf>
    <xf numFmtId="166" fontId="3" fillId="0" borderId="35" xfId="0" applyNumberFormat="1" applyFont="1" applyBorder="1" applyAlignment="1">
      <alignment horizontal="center" vertical="top"/>
    </xf>
    <xf numFmtId="166" fontId="2" fillId="7" borderId="48" xfId="0" applyNumberFormat="1" applyFont="1" applyFill="1" applyBorder="1" applyAlignment="1">
      <alignment vertical="top" wrapText="1"/>
    </xf>
    <xf numFmtId="0" fontId="0" fillId="7" borderId="53" xfId="0" applyFill="1" applyBorder="1" applyAlignment="1">
      <alignment vertical="top" wrapText="1"/>
    </xf>
    <xf numFmtId="166" fontId="2" fillId="2" borderId="71" xfId="0" applyNumberFormat="1" applyFont="1" applyFill="1" applyBorder="1" applyAlignment="1">
      <alignment horizontal="center" vertical="top" wrapText="1"/>
    </xf>
    <xf numFmtId="166" fontId="2" fillId="2" borderId="72" xfId="0" applyNumberFormat="1" applyFont="1" applyFill="1" applyBorder="1" applyAlignment="1">
      <alignment horizontal="center" vertical="top" wrapText="1"/>
    </xf>
    <xf numFmtId="166" fontId="2" fillId="7" borderId="11" xfId="0" applyNumberFormat="1" applyFont="1" applyFill="1" applyBorder="1" applyAlignment="1">
      <alignment horizontal="left" vertical="top" wrapText="1"/>
    </xf>
    <xf numFmtId="166" fontId="2" fillId="7" borderId="37" xfId="0" applyNumberFormat="1" applyFont="1" applyFill="1" applyBorder="1" applyAlignment="1">
      <alignment horizontal="left" vertical="top" wrapText="1"/>
    </xf>
    <xf numFmtId="166" fontId="2" fillId="7" borderId="35" xfId="0" applyNumberFormat="1" applyFont="1" applyFill="1" applyBorder="1" applyAlignment="1">
      <alignment horizontal="left" vertical="top" wrapText="1"/>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2" fillId="7" borderId="28" xfId="0" applyNumberFormat="1" applyFont="1" applyFill="1" applyBorder="1" applyAlignment="1">
      <alignment horizontal="left" vertical="top" wrapText="1"/>
    </xf>
    <xf numFmtId="49" fontId="3" fillId="7" borderId="49" xfId="0" applyNumberFormat="1" applyFont="1" applyFill="1" applyBorder="1" applyAlignment="1">
      <alignment horizontal="center" vertical="top"/>
    </xf>
    <xf numFmtId="166" fontId="2" fillId="7" borderId="47" xfId="0" applyNumberFormat="1" applyFont="1" applyFill="1" applyBorder="1" applyAlignment="1">
      <alignment vertical="top" wrapText="1"/>
    </xf>
    <xf numFmtId="166" fontId="2" fillId="7" borderId="20" xfId="0" applyNumberFormat="1" applyFont="1" applyFill="1" applyBorder="1" applyAlignment="1">
      <alignment horizontal="center" vertical="center" textRotation="90" wrapText="1"/>
    </xf>
    <xf numFmtId="166" fontId="2" fillId="7" borderId="49" xfId="0" applyNumberFormat="1" applyFont="1" applyFill="1" applyBorder="1" applyAlignment="1">
      <alignment vertical="top" wrapText="1"/>
    </xf>
    <xf numFmtId="166" fontId="8" fillId="7" borderId="35" xfId="0" applyNumberFormat="1" applyFont="1" applyFill="1" applyBorder="1" applyAlignment="1">
      <alignment vertical="top" wrapText="1"/>
    </xf>
    <xf numFmtId="166" fontId="2" fillId="7" borderId="7" xfId="0" applyNumberFormat="1" applyFont="1" applyFill="1" applyBorder="1" applyAlignment="1">
      <alignment horizontal="left" vertical="top" wrapText="1"/>
    </xf>
    <xf numFmtId="166" fontId="2" fillId="0" borderId="29" xfId="0" applyNumberFormat="1" applyFont="1" applyFill="1" applyBorder="1" applyAlignment="1">
      <alignment horizontal="left" vertical="top" wrapText="1"/>
    </xf>
    <xf numFmtId="3" fontId="2" fillId="0" borderId="28"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3" fillId="7" borderId="42"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166" fontId="8" fillId="7" borderId="29" xfId="0" applyNumberFormat="1" applyFont="1" applyFill="1" applyBorder="1" applyAlignment="1">
      <alignment vertical="top" wrapText="1"/>
    </xf>
    <xf numFmtId="166" fontId="2" fillId="7" borderId="20" xfId="0" applyNumberFormat="1" applyFont="1" applyFill="1" applyBorder="1" applyAlignment="1">
      <alignment horizontal="left" vertical="top" wrapText="1"/>
    </xf>
    <xf numFmtId="166" fontId="8" fillId="7" borderId="11" xfId="0" applyNumberFormat="1" applyFont="1" applyFill="1" applyBorder="1" applyAlignment="1">
      <alignment horizontal="center" vertical="center" textRotation="90" wrapText="1"/>
    </xf>
    <xf numFmtId="3" fontId="2" fillId="0" borderId="21" xfId="0" applyNumberFormat="1" applyFont="1" applyFill="1" applyBorder="1" applyAlignment="1">
      <alignment horizontal="center" vertical="top"/>
    </xf>
    <xf numFmtId="3" fontId="2" fillId="0" borderId="27"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2" fillId="7" borderId="28" xfId="0" applyNumberFormat="1" applyFont="1" applyFill="1" applyBorder="1" applyAlignment="1">
      <alignment vertical="top" wrapText="1"/>
    </xf>
    <xf numFmtId="166" fontId="3" fillId="7" borderId="11" xfId="0" applyNumberFormat="1" applyFont="1" applyFill="1" applyBorder="1" applyAlignment="1">
      <alignment horizontal="center" vertical="top" wrapText="1"/>
    </xf>
    <xf numFmtId="166" fontId="2" fillId="0" borderId="37" xfId="0" applyNumberFormat="1" applyFont="1" applyFill="1" applyBorder="1" applyAlignment="1">
      <alignment horizontal="left" vertical="top" wrapText="1"/>
    </xf>
    <xf numFmtId="166" fontId="3" fillId="7" borderId="20"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49" fontId="3" fillId="9" borderId="5" xfId="0" applyNumberFormat="1" applyFont="1" applyFill="1" applyBorder="1" applyAlignment="1">
      <alignment horizontal="center" vertical="top"/>
    </xf>
    <xf numFmtId="49" fontId="3" fillId="2" borderId="42" xfId="0" applyNumberFormat="1" applyFont="1" applyFill="1" applyBorder="1" applyAlignment="1">
      <alignment horizontal="center" vertical="top"/>
    </xf>
    <xf numFmtId="49" fontId="3" fillId="2" borderId="49" xfId="0" applyNumberFormat="1" applyFont="1" applyFill="1" applyBorder="1" applyAlignment="1">
      <alignment horizontal="center" vertical="top"/>
    </xf>
    <xf numFmtId="0" fontId="8" fillId="7" borderId="7" xfId="0" applyFont="1" applyFill="1" applyBorder="1" applyAlignment="1">
      <alignment horizontal="left" vertical="top" wrapText="1"/>
    </xf>
    <xf numFmtId="166" fontId="4" fillId="3" borderId="11" xfId="0" applyNumberFormat="1" applyFont="1" applyFill="1" applyBorder="1" applyAlignment="1">
      <alignment horizontal="center" vertical="center" textRotation="90" wrapText="1"/>
    </xf>
    <xf numFmtId="0" fontId="0" fillId="7" borderId="11" xfId="0" applyFill="1" applyBorder="1" applyAlignment="1">
      <alignment horizontal="left" vertical="top" wrapText="1"/>
    </xf>
    <xf numFmtId="166" fontId="3" fillId="3" borderId="11" xfId="0" applyNumberFormat="1" applyFont="1" applyFill="1" applyBorder="1" applyAlignment="1">
      <alignment horizontal="center" vertical="top" wrapText="1"/>
    </xf>
    <xf numFmtId="166" fontId="3" fillId="3" borderId="49"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0" fontId="2" fillId="7" borderId="28" xfId="0" applyFont="1" applyFill="1" applyBorder="1" applyAlignment="1">
      <alignment horizontal="left" vertical="top" wrapText="1"/>
    </xf>
    <xf numFmtId="166" fontId="2" fillId="7" borderId="37" xfId="0" applyNumberFormat="1" applyFont="1" applyFill="1" applyBorder="1" applyAlignment="1">
      <alignment vertical="top" wrapText="1"/>
    </xf>
    <xf numFmtId="3" fontId="2" fillId="7" borderId="47"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0" fontId="4" fillId="0" borderId="11" xfId="0" applyFont="1" applyFill="1" applyBorder="1" applyAlignment="1">
      <alignment horizontal="center" vertical="center" textRotation="90" wrapText="1"/>
    </xf>
    <xf numFmtId="166" fontId="2" fillId="7" borderId="46" xfId="0" applyNumberFormat="1" applyFont="1" applyFill="1" applyBorder="1" applyAlignment="1">
      <alignment vertical="top" wrapText="1"/>
    </xf>
    <xf numFmtId="3" fontId="2" fillId="7" borderId="18" xfId="0" applyNumberFormat="1" applyFont="1" applyFill="1" applyBorder="1" applyAlignment="1">
      <alignment horizontal="center" vertical="top"/>
    </xf>
    <xf numFmtId="166" fontId="2" fillId="7" borderId="46" xfId="0" applyNumberFormat="1" applyFont="1" applyFill="1" applyBorder="1" applyAlignment="1">
      <alignment horizontal="left" vertical="top" wrapText="1"/>
    </xf>
    <xf numFmtId="166" fontId="2" fillId="7" borderId="48" xfId="0" applyNumberFormat="1" applyFont="1" applyFill="1" applyBorder="1" applyAlignment="1">
      <alignment horizontal="left" vertical="top" wrapText="1"/>
    </xf>
    <xf numFmtId="3" fontId="2" fillId="0" borderId="47" xfId="0" applyNumberFormat="1" applyFont="1" applyFill="1" applyBorder="1" applyAlignment="1">
      <alignment horizontal="center" vertical="top"/>
    </xf>
    <xf numFmtId="3" fontId="2" fillId="7" borderId="60" xfId="0" applyNumberFormat="1" applyFont="1" applyFill="1" applyBorder="1" applyAlignment="1">
      <alignment horizontal="center" vertical="top"/>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166" fontId="3" fillId="3" borderId="28" xfId="0" applyNumberFormat="1" applyFont="1" applyFill="1" applyBorder="1" applyAlignment="1">
      <alignment horizontal="center" vertical="top" wrapText="1"/>
    </xf>
    <xf numFmtId="166" fontId="3" fillId="3" borderId="47" xfId="0" applyNumberFormat="1" applyFont="1" applyFill="1" applyBorder="1" applyAlignment="1">
      <alignment horizontal="center" vertical="top" wrapText="1"/>
    </xf>
    <xf numFmtId="166" fontId="3" fillId="3" borderId="35" xfId="0" applyNumberFormat="1" applyFont="1" applyFill="1" applyBorder="1" applyAlignment="1">
      <alignment horizontal="center" vertical="top" wrapText="1"/>
    </xf>
    <xf numFmtId="3" fontId="13" fillId="7" borderId="20" xfId="0" applyNumberFormat="1" applyFont="1" applyFill="1" applyBorder="1" applyAlignment="1">
      <alignment horizontal="center" vertical="top" wrapText="1"/>
    </xf>
    <xf numFmtId="0" fontId="2" fillId="7" borderId="37" xfId="0" applyFont="1" applyFill="1" applyBorder="1" applyAlignment="1">
      <alignment vertical="top" wrapText="1"/>
    </xf>
    <xf numFmtId="3" fontId="2" fillId="0" borderId="1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8" fillId="7" borderId="18" xfId="0" applyNumberFormat="1" applyFont="1" applyFill="1" applyBorder="1" applyAlignment="1">
      <alignment horizontal="center" vertical="top" wrapText="1"/>
    </xf>
    <xf numFmtId="49" fontId="3" fillId="7" borderId="20"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166" fontId="2" fillId="7" borderId="21" xfId="0" applyNumberFormat="1" applyFont="1" applyFill="1" applyBorder="1" applyAlignment="1">
      <alignment horizontal="center" vertical="top" wrapText="1"/>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wrapText="1"/>
    </xf>
    <xf numFmtId="3" fontId="2" fillId="7" borderId="47" xfId="0" applyNumberFormat="1" applyFont="1" applyFill="1" applyBorder="1" applyAlignment="1">
      <alignment horizontal="center" vertical="top" wrapText="1"/>
    </xf>
    <xf numFmtId="166" fontId="2" fillId="7" borderId="80" xfId="0" applyNumberFormat="1" applyFont="1" applyFill="1" applyBorder="1" applyAlignment="1">
      <alignment horizontal="left" vertical="top" wrapText="1"/>
    </xf>
    <xf numFmtId="166" fontId="8" fillId="7" borderId="18" xfId="0" applyNumberFormat="1" applyFont="1" applyFill="1" applyBorder="1" applyAlignment="1">
      <alignment vertical="top" wrapText="1"/>
    </xf>
    <xf numFmtId="166" fontId="8" fillId="7" borderId="49" xfId="0" applyNumberFormat="1" applyFont="1" applyFill="1" applyBorder="1" applyAlignment="1">
      <alignment vertical="top" wrapText="1"/>
    </xf>
    <xf numFmtId="3" fontId="2" fillId="7" borderId="21" xfId="0" applyNumberFormat="1" applyFont="1" applyFill="1" applyBorder="1" applyAlignment="1">
      <alignment horizontal="center" vertical="top"/>
    </xf>
    <xf numFmtId="166" fontId="2" fillId="7" borderId="18" xfId="0" applyNumberFormat="1" applyFont="1" applyFill="1" applyBorder="1" applyAlignment="1">
      <alignment horizontal="center" vertical="center" wrapText="1"/>
    </xf>
    <xf numFmtId="166" fontId="3" fillId="7" borderId="20"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166" fontId="18" fillId="7" borderId="18" xfId="0" applyNumberFormat="1" applyFont="1" applyFill="1" applyBorder="1" applyAlignment="1">
      <alignment horizontal="center" vertical="center" wrapText="1"/>
    </xf>
    <xf numFmtId="166" fontId="2" fillId="2" borderId="32" xfId="0" applyNumberFormat="1" applyFont="1" applyFill="1" applyBorder="1" applyAlignment="1">
      <alignment horizontal="center" vertical="top" wrapText="1"/>
    </xf>
    <xf numFmtId="0" fontId="2" fillId="7" borderId="104" xfId="0" applyFont="1" applyFill="1" applyBorder="1" applyAlignment="1">
      <alignment vertical="top" wrapText="1"/>
    </xf>
    <xf numFmtId="0" fontId="2" fillId="7" borderId="37" xfId="0" applyFont="1" applyFill="1" applyBorder="1" applyAlignment="1">
      <alignment horizontal="left" vertical="top" wrapText="1"/>
    </xf>
    <xf numFmtId="166" fontId="2" fillId="7" borderId="27"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center" textRotation="90"/>
    </xf>
    <xf numFmtId="166" fontId="2" fillId="7" borderId="29" xfId="0" applyNumberFormat="1" applyFont="1" applyFill="1" applyBorder="1" applyAlignment="1">
      <alignment horizontal="left" vertical="top" wrapText="1"/>
    </xf>
    <xf numFmtId="166" fontId="2" fillId="0" borderId="18" xfId="0" applyNumberFormat="1" applyFont="1" applyBorder="1" applyAlignment="1">
      <alignment horizontal="center" vertical="top" wrapText="1"/>
    </xf>
    <xf numFmtId="166" fontId="3" fillId="0" borderId="49" xfId="0" applyNumberFormat="1" applyFont="1" applyBorder="1" applyAlignment="1">
      <alignment horizontal="center" vertical="top"/>
    </xf>
    <xf numFmtId="0" fontId="0" fillId="7" borderId="7" xfId="0" applyFill="1" applyBorder="1" applyAlignment="1">
      <alignment vertical="top" wrapText="1"/>
    </xf>
    <xf numFmtId="166" fontId="3" fillId="7" borderId="35" xfId="0" applyNumberFormat="1" applyFont="1" applyFill="1" applyBorder="1" applyAlignment="1">
      <alignment horizontal="center" vertical="top"/>
    </xf>
    <xf numFmtId="166" fontId="8" fillId="7" borderId="18" xfId="0" applyNumberFormat="1" applyFont="1" applyFill="1" applyBorder="1" applyAlignment="1">
      <alignment horizontal="center" vertical="center" wrapText="1"/>
    </xf>
    <xf numFmtId="166" fontId="3" fillId="7" borderId="28" xfId="0" applyNumberFormat="1" applyFont="1" applyFill="1" applyBorder="1" applyAlignment="1">
      <alignment horizontal="center" vertical="top"/>
    </xf>
    <xf numFmtId="0" fontId="18" fillId="7" borderId="29" xfId="0" applyFont="1" applyFill="1" applyBorder="1" applyAlignment="1">
      <alignment vertical="top" wrapText="1"/>
    </xf>
    <xf numFmtId="49" fontId="3" fillId="0" borderId="35" xfId="0" applyNumberFormat="1" applyFont="1" applyBorder="1" applyAlignment="1">
      <alignment horizontal="center" vertical="top"/>
    </xf>
    <xf numFmtId="0" fontId="8" fillId="7" borderId="29" xfId="0" applyFont="1" applyFill="1" applyBorder="1" applyAlignment="1">
      <alignment horizontal="left" vertical="top" wrapText="1"/>
    </xf>
    <xf numFmtId="166" fontId="23" fillId="3" borderId="35" xfId="0" applyNumberFormat="1" applyFont="1" applyFill="1" applyBorder="1" applyAlignment="1">
      <alignment horizontal="center" vertical="top" wrapText="1"/>
    </xf>
    <xf numFmtId="0" fontId="2" fillId="7" borderId="7" xfId="0" applyFont="1" applyFill="1" applyBorder="1" applyAlignment="1">
      <alignment vertical="top" wrapText="1"/>
    </xf>
    <xf numFmtId="3" fontId="2" fillId="7" borderId="49" xfId="0" applyNumberFormat="1" applyFont="1" applyFill="1" applyBorder="1" applyAlignment="1">
      <alignment horizontal="center" vertical="top"/>
    </xf>
    <xf numFmtId="166" fontId="2" fillId="7" borderId="104" xfId="0" applyNumberFormat="1" applyFont="1" applyFill="1" applyBorder="1" applyAlignment="1">
      <alignment vertical="top" wrapText="1"/>
    </xf>
    <xf numFmtId="3" fontId="2" fillId="0" borderId="105" xfId="0" applyNumberFormat="1" applyFont="1" applyFill="1" applyBorder="1" applyAlignment="1">
      <alignment horizontal="center" vertical="top"/>
    </xf>
    <xf numFmtId="3" fontId="2" fillId="0" borderId="109" xfId="0" applyNumberFormat="1" applyFont="1" applyFill="1" applyBorder="1" applyAlignment="1">
      <alignment horizontal="center" vertical="top"/>
    </xf>
    <xf numFmtId="3" fontId="2" fillId="0" borderId="111" xfId="0" applyNumberFormat="1" applyFont="1" applyFill="1" applyBorder="1" applyAlignment="1">
      <alignment horizontal="center" vertical="top"/>
    </xf>
    <xf numFmtId="3" fontId="2" fillId="0" borderId="108" xfId="0" applyNumberFormat="1" applyFont="1" applyFill="1" applyBorder="1" applyAlignment="1">
      <alignment horizontal="center" vertical="top"/>
    </xf>
    <xf numFmtId="3" fontId="2" fillId="7" borderId="49"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8" fillId="7" borderId="18" xfId="0" applyNumberFormat="1" applyFont="1" applyFill="1" applyBorder="1" applyAlignment="1">
      <alignment vertical="top" wrapText="1"/>
    </xf>
    <xf numFmtId="166" fontId="3" fillId="7" borderId="35" xfId="0" applyNumberFormat="1" applyFont="1" applyFill="1" applyBorder="1" applyAlignment="1">
      <alignment horizontal="center" vertical="top"/>
    </xf>
    <xf numFmtId="49" fontId="2" fillId="7" borderId="90" xfId="0" applyNumberFormat="1" applyFont="1" applyFill="1" applyBorder="1" applyAlignment="1">
      <alignment horizontal="center" vertical="top"/>
    </xf>
    <xf numFmtId="0" fontId="2" fillId="7" borderId="104" xfId="0" applyFont="1" applyFill="1" applyBorder="1" applyAlignment="1">
      <alignment horizontal="left" vertical="top" wrapText="1"/>
    </xf>
    <xf numFmtId="166" fontId="2" fillId="7" borderId="7" xfId="0" applyNumberFormat="1" applyFont="1" applyFill="1" applyBorder="1" applyAlignment="1">
      <alignment horizontal="left" vertical="top" wrapText="1"/>
    </xf>
    <xf numFmtId="3" fontId="2" fillId="7" borderId="11" xfId="0" applyNumberFormat="1" applyFont="1" applyFill="1" applyBorder="1" applyAlignment="1">
      <alignment horizontal="center" vertical="top"/>
    </xf>
    <xf numFmtId="0" fontId="2" fillId="7" borderId="104" xfId="0" applyFont="1" applyFill="1" applyBorder="1" applyAlignment="1">
      <alignment vertical="top" wrapText="1"/>
    </xf>
    <xf numFmtId="0" fontId="18" fillId="7" borderId="29" xfId="0" applyFont="1" applyFill="1" applyBorder="1" applyAlignment="1">
      <alignment vertical="top" wrapText="1"/>
    </xf>
    <xf numFmtId="0" fontId="2" fillId="7" borderId="7" xfId="0" applyFont="1" applyFill="1" applyBorder="1" applyAlignment="1">
      <alignment vertical="top" wrapText="1"/>
    </xf>
    <xf numFmtId="3" fontId="2" fillId="7" borderId="47"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0" borderId="0" xfId="0" applyNumberFormat="1" applyFont="1" applyAlignment="1">
      <alignment horizontal="lef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2" fillId="7" borderId="35" xfId="0" applyNumberFormat="1" applyFont="1" applyFill="1" applyBorder="1" applyAlignment="1">
      <alignment horizontal="left" vertical="top" wrapText="1"/>
    </xf>
    <xf numFmtId="0" fontId="2" fillId="7" borderId="104" xfId="0" applyFont="1" applyFill="1" applyBorder="1" applyAlignment="1">
      <alignment horizontal="left" vertical="top" wrapText="1"/>
    </xf>
    <xf numFmtId="166" fontId="3" fillId="9" borderId="34" xfId="0" applyNumberFormat="1" applyFont="1" applyFill="1" applyBorder="1" applyAlignment="1">
      <alignment horizontal="center" vertical="top"/>
    </xf>
    <xf numFmtId="166" fontId="2" fillId="7" borderId="11" xfId="0" applyNumberFormat="1" applyFont="1" applyFill="1" applyBorder="1" applyAlignment="1">
      <alignment vertical="top" wrapText="1"/>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3" fillId="3" borderId="49"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166" fontId="2" fillId="7" borderId="7" xfId="0" applyNumberFormat="1" applyFont="1" applyFill="1" applyBorder="1" applyAlignment="1">
      <alignment vertical="top" wrapText="1"/>
    </xf>
    <xf numFmtId="166" fontId="2" fillId="7" borderId="49" xfId="0" applyNumberFormat="1" applyFont="1" applyFill="1" applyBorder="1" applyAlignment="1">
      <alignment vertical="top" wrapText="1"/>
    </xf>
    <xf numFmtId="166" fontId="3" fillId="7" borderId="20" xfId="0" applyNumberFormat="1" applyFont="1" applyFill="1" applyBorder="1" applyAlignment="1">
      <alignment horizontal="center" vertical="top" wrapText="1"/>
    </xf>
    <xf numFmtId="49" fontId="3" fillId="9" borderId="5"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42" xfId="0" applyNumberFormat="1" applyFont="1" applyFill="1" applyBorder="1" applyAlignment="1">
      <alignment horizontal="center" vertical="top"/>
    </xf>
    <xf numFmtId="49" fontId="3" fillId="2" borderId="49"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3" fillId="7" borderId="42"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2" fillId="2" borderId="71" xfId="0" applyNumberFormat="1" applyFont="1" applyFill="1" applyBorder="1" applyAlignment="1">
      <alignment horizontal="center" vertical="top" wrapText="1"/>
    </xf>
    <xf numFmtId="166" fontId="2" fillId="2" borderId="72" xfId="0" applyNumberFormat="1" applyFont="1" applyFill="1" applyBorder="1" applyAlignment="1">
      <alignment horizontal="center" vertical="top" wrapText="1"/>
    </xf>
    <xf numFmtId="3" fontId="2" fillId="0" borderId="21"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2" fillId="7" borderId="104" xfId="0" applyNumberFormat="1" applyFont="1" applyFill="1" applyBorder="1" applyAlignment="1">
      <alignment horizontal="left" vertical="top" wrapText="1"/>
    </xf>
    <xf numFmtId="166" fontId="2" fillId="7" borderId="48" xfId="0" applyNumberFormat="1" applyFont="1" applyFill="1" applyBorder="1" applyAlignment="1">
      <alignment vertical="top" wrapText="1"/>
    </xf>
    <xf numFmtId="0" fontId="0" fillId="7" borderId="53" xfId="0" applyFill="1" applyBorder="1" applyAlignment="1">
      <alignment vertical="top" wrapText="1"/>
    </xf>
    <xf numFmtId="166" fontId="2" fillId="7" borderId="37" xfId="0" applyNumberFormat="1" applyFont="1" applyFill="1" applyBorder="1" applyAlignment="1">
      <alignment horizontal="left" vertical="top" wrapText="1"/>
    </xf>
    <xf numFmtId="0" fontId="2" fillId="7" borderId="37" xfId="0" applyFont="1" applyFill="1" applyBorder="1" applyAlignment="1">
      <alignment vertical="top" wrapText="1"/>
    </xf>
    <xf numFmtId="3" fontId="2" fillId="0" borderId="18" xfId="0" applyNumberFormat="1" applyFont="1" applyFill="1" applyBorder="1" applyAlignment="1">
      <alignment horizontal="center" vertical="top"/>
    </xf>
    <xf numFmtId="166" fontId="3" fillId="3" borderId="28" xfId="0" applyNumberFormat="1" applyFont="1" applyFill="1" applyBorder="1" applyAlignment="1">
      <alignment horizontal="center" vertical="top" wrapText="1"/>
    </xf>
    <xf numFmtId="166" fontId="3" fillId="3" borderId="47" xfId="0" applyNumberFormat="1" applyFont="1" applyFill="1" applyBorder="1" applyAlignment="1">
      <alignment horizontal="center" vertical="top" wrapText="1"/>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3" fontId="2" fillId="7" borderId="60"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2" fillId="7" borderId="46" xfId="0" applyNumberFormat="1" applyFont="1" applyFill="1" applyBorder="1" applyAlignment="1">
      <alignment vertical="top" wrapText="1"/>
    </xf>
    <xf numFmtId="3" fontId="2" fillId="7" borderId="49" xfId="0" applyNumberFormat="1" applyFont="1" applyFill="1" applyBorder="1" applyAlignment="1">
      <alignment horizontal="center" vertical="top"/>
    </xf>
    <xf numFmtId="166" fontId="14" fillId="7" borderId="11" xfId="0" applyNumberFormat="1" applyFont="1" applyFill="1" applyBorder="1" applyAlignment="1">
      <alignment horizontal="center" vertical="center" textRotation="90" wrapText="1"/>
    </xf>
    <xf numFmtId="166" fontId="2" fillId="7" borderId="104" xfId="0" applyNumberFormat="1" applyFont="1" applyFill="1" applyBorder="1" applyAlignment="1">
      <alignment vertical="top" wrapText="1"/>
    </xf>
    <xf numFmtId="0" fontId="8" fillId="7" borderId="29" xfId="0" applyFont="1" applyFill="1" applyBorder="1" applyAlignment="1">
      <alignment horizontal="left" vertical="top" wrapText="1"/>
    </xf>
    <xf numFmtId="0" fontId="2" fillId="7" borderId="7" xfId="0" applyFont="1" applyFill="1" applyBorder="1" applyAlignment="1">
      <alignment vertical="top" wrapText="1"/>
    </xf>
    <xf numFmtId="166" fontId="3" fillId="7" borderId="20"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0" fontId="18" fillId="7" borderId="29" xfId="0" applyFont="1" applyFill="1" applyBorder="1" applyAlignment="1">
      <alignment vertical="top" wrapText="1"/>
    </xf>
    <xf numFmtId="166" fontId="3" fillId="7" borderId="35" xfId="0" applyNumberFormat="1" applyFont="1" applyFill="1" applyBorder="1" applyAlignment="1">
      <alignment horizontal="center" vertical="top"/>
    </xf>
    <xf numFmtId="0" fontId="2" fillId="7" borderId="37" xfId="0"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3" fillId="0" borderId="49" xfId="0" applyNumberFormat="1" applyFont="1" applyBorder="1" applyAlignment="1">
      <alignment horizontal="center" vertical="top"/>
    </xf>
    <xf numFmtId="166" fontId="2" fillId="2" borderId="32" xfId="0" applyNumberFormat="1" applyFont="1" applyFill="1" applyBorder="1" applyAlignment="1">
      <alignment horizontal="center" vertical="top" wrapText="1"/>
    </xf>
    <xf numFmtId="166" fontId="2" fillId="7" borderId="28" xfId="0" applyNumberFormat="1" applyFont="1" applyFill="1" applyBorder="1" applyAlignment="1">
      <alignment horizontal="center" vertical="center" textRotation="90" wrapText="1"/>
    </xf>
    <xf numFmtId="3" fontId="2" fillId="7" borderId="21"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3" fontId="2" fillId="7" borderId="47" xfId="0" applyNumberFormat="1" applyFont="1" applyFill="1" applyBorder="1" applyAlignment="1">
      <alignment horizontal="center" vertical="top" wrapText="1"/>
    </xf>
    <xf numFmtId="166" fontId="2" fillId="7" borderId="80" xfId="0" applyNumberFormat="1" applyFont="1" applyFill="1" applyBorder="1" applyAlignment="1">
      <alignment horizontal="left" vertical="top" wrapText="1"/>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wrapText="1"/>
    </xf>
    <xf numFmtId="0" fontId="2" fillId="7" borderId="81" xfId="0" applyFont="1" applyFill="1" applyBorder="1" applyAlignment="1">
      <alignment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166" fontId="2" fillId="7" borderId="37" xfId="0" applyNumberFormat="1" applyFont="1" applyFill="1" applyBorder="1" applyAlignment="1">
      <alignment horizontal="left" vertical="top" wrapText="1"/>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2" fillId="7" borderId="28" xfId="0" applyNumberFormat="1" applyFont="1" applyFill="1" applyBorder="1" applyAlignment="1">
      <alignment horizontal="left" vertical="top" wrapText="1"/>
    </xf>
    <xf numFmtId="49" fontId="3" fillId="7" borderId="49" xfId="0" applyNumberFormat="1" applyFont="1" applyFill="1" applyBorder="1" applyAlignment="1">
      <alignment horizontal="center" vertical="top"/>
    </xf>
    <xf numFmtId="0" fontId="0" fillId="7" borderId="28" xfId="0" applyFill="1" applyBorder="1" applyAlignment="1">
      <alignment vertical="top" wrapText="1"/>
    </xf>
    <xf numFmtId="166" fontId="2" fillId="7" borderId="47" xfId="0" applyNumberFormat="1" applyFont="1" applyFill="1" applyBorder="1" applyAlignment="1">
      <alignment vertical="top" wrapText="1"/>
    </xf>
    <xf numFmtId="166" fontId="2" fillId="7" borderId="20" xfId="0" applyNumberFormat="1" applyFont="1" applyFill="1" applyBorder="1" applyAlignment="1">
      <alignment horizontal="center" vertical="center" textRotation="90" wrapText="1"/>
    </xf>
    <xf numFmtId="166" fontId="2" fillId="7" borderId="49" xfId="0" applyNumberFormat="1" applyFont="1" applyFill="1" applyBorder="1" applyAlignment="1">
      <alignment vertical="top" wrapText="1"/>
    </xf>
    <xf numFmtId="166" fontId="2" fillId="7" borderId="7" xfId="0" applyNumberFormat="1" applyFont="1" applyFill="1" applyBorder="1" applyAlignment="1">
      <alignment horizontal="left" vertical="top" wrapText="1"/>
    </xf>
    <xf numFmtId="3" fontId="2" fillId="0" borderId="20"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8" fillId="7" borderId="29" xfId="0" applyNumberFormat="1" applyFont="1" applyFill="1" applyBorder="1" applyAlignment="1">
      <alignment vertical="top" wrapText="1"/>
    </xf>
    <xf numFmtId="166" fontId="2" fillId="7" borderId="20" xfId="0" applyNumberFormat="1" applyFont="1" applyFill="1" applyBorder="1" applyAlignment="1">
      <alignment horizontal="left" vertical="top" wrapText="1"/>
    </xf>
    <xf numFmtId="3" fontId="2" fillId="0" borderId="21" xfId="0" applyNumberFormat="1" applyFont="1" applyFill="1" applyBorder="1" applyAlignment="1">
      <alignment horizontal="center" vertical="top"/>
    </xf>
    <xf numFmtId="166" fontId="3" fillId="2" borderId="49"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0" fontId="2" fillId="7" borderId="28" xfId="0" applyFont="1" applyFill="1" applyBorder="1" applyAlignment="1">
      <alignment horizontal="left" vertical="top" wrapText="1"/>
    </xf>
    <xf numFmtId="166" fontId="2" fillId="7" borderId="37" xfId="0" applyNumberFormat="1" applyFont="1" applyFill="1" applyBorder="1" applyAlignment="1">
      <alignment vertical="top" wrapText="1"/>
    </xf>
    <xf numFmtId="3" fontId="2" fillId="7" borderId="47"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2" fillId="7" borderId="48" xfId="0" applyNumberFormat="1" applyFont="1" applyFill="1" applyBorder="1" applyAlignment="1">
      <alignment horizontal="left" vertical="top" wrapText="1"/>
    </xf>
    <xf numFmtId="3" fontId="2" fillId="7" borderId="60" xfId="0" applyNumberFormat="1" applyFont="1" applyFill="1" applyBorder="1" applyAlignment="1">
      <alignment horizontal="center" vertical="top"/>
    </xf>
    <xf numFmtId="0" fontId="2" fillId="7" borderId="37" xfId="0" applyFont="1" applyFill="1" applyBorder="1" applyAlignment="1">
      <alignment vertical="top" wrapText="1"/>
    </xf>
    <xf numFmtId="3" fontId="2" fillId="0" borderId="18"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3" fontId="2" fillId="7" borderId="47" xfId="0" applyNumberFormat="1" applyFont="1" applyFill="1" applyBorder="1" applyAlignment="1">
      <alignment horizontal="center" vertical="top" wrapText="1"/>
    </xf>
    <xf numFmtId="166" fontId="2" fillId="7" borderId="80" xfId="0" applyNumberFormat="1" applyFont="1" applyFill="1" applyBorder="1" applyAlignment="1">
      <alignment horizontal="left" vertical="top" wrapText="1"/>
    </xf>
    <xf numFmtId="166" fontId="2" fillId="7" borderId="34" xfId="0" applyNumberFormat="1" applyFont="1" applyFill="1" applyBorder="1" applyAlignment="1">
      <alignment vertical="top" wrapText="1"/>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166" fontId="2" fillId="7" borderId="29" xfId="0" applyNumberFormat="1" applyFont="1" applyFill="1" applyBorder="1" applyAlignment="1">
      <alignment horizontal="left" vertical="top" wrapText="1"/>
    </xf>
    <xf numFmtId="3" fontId="2" fillId="0" borderId="52" xfId="0" applyNumberFormat="1" applyFont="1" applyFill="1" applyBorder="1" applyAlignment="1">
      <alignment horizontal="left" vertical="top" wrapText="1"/>
    </xf>
    <xf numFmtId="0" fontId="0" fillId="0" borderId="52" xfId="0" applyFill="1" applyBorder="1" applyAlignment="1">
      <alignment horizontal="left" vertical="top" wrapText="1"/>
    </xf>
    <xf numFmtId="166" fontId="3" fillId="7" borderId="35" xfId="0" applyNumberFormat="1" applyFont="1" applyFill="1" applyBorder="1" applyAlignment="1">
      <alignment horizontal="center" vertical="top"/>
    </xf>
    <xf numFmtId="0" fontId="2" fillId="7" borderId="7" xfId="0" applyFont="1" applyFill="1" applyBorder="1" applyAlignment="1">
      <alignment vertical="top" wrapText="1"/>
    </xf>
    <xf numFmtId="3" fontId="2" fillId="7" borderId="49" xfId="0" applyNumberFormat="1" applyFont="1" applyFill="1" applyBorder="1" applyAlignment="1">
      <alignment horizontal="center" vertical="top"/>
    </xf>
    <xf numFmtId="3" fontId="2" fillId="0" borderId="81" xfId="0" applyNumberFormat="1" applyFont="1" applyFill="1" applyBorder="1" applyAlignment="1">
      <alignment horizontal="center" vertical="top"/>
    </xf>
    <xf numFmtId="3" fontId="2" fillId="0" borderId="107" xfId="0" applyNumberFormat="1" applyFont="1" applyFill="1" applyBorder="1" applyAlignment="1">
      <alignment horizontal="center" vertical="top"/>
    </xf>
    <xf numFmtId="3" fontId="2" fillId="0" borderId="99" xfId="0" applyNumberFormat="1" applyFont="1" applyFill="1" applyBorder="1" applyAlignment="1">
      <alignment horizontal="center" vertical="top"/>
    </xf>
    <xf numFmtId="0" fontId="2" fillId="7" borderId="28" xfId="0" applyFont="1" applyFill="1" applyBorder="1" applyAlignment="1">
      <alignment horizontal="center" vertical="top"/>
    </xf>
    <xf numFmtId="0" fontId="2" fillId="7" borderId="35" xfId="0" applyFont="1" applyFill="1" applyBorder="1" applyAlignment="1">
      <alignment horizontal="center" vertical="top"/>
    </xf>
    <xf numFmtId="0" fontId="2" fillId="0" borderId="34" xfId="0" applyFont="1" applyBorder="1" applyAlignment="1">
      <alignment vertical="top"/>
    </xf>
    <xf numFmtId="0" fontId="4" fillId="7" borderId="11" xfId="0" applyFont="1" applyFill="1" applyBorder="1" applyAlignment="1">
      <alignment horizontal="center" vertical="center" textRotation="90" wrapText="1"/>
    </xf>
    <xf numFmtId="166" fontId="7" fillId="7" borderId="49" xfId="0" applyNumberFormat="1" applyFont="1" applyFill="1" applyBorder="1" applyAlignment="1">
      <alignment horizontal="left" vertical="top" wrapText="1"/>
    </xf>
    <xf numFmtId="166" fontId="2" fillId="3" borderId="5" xfId="0" applyNumberFormat="1" applyFont="1" applyFill="1" applyBorder="1" applyAlignment="1">
      <alignment vertical="top" wrapText="1"/>
    </xf>
    <xf numFmtId="3" fontId="2" fillId="7" borderId="11" xfId="0" applyNumberFormat="1" applyFont="1" applyFill="1" applyBorder="1" applyAlignment="1">
      <alignment horizontal="center" vertical="top" wrapText="1"/>
    </xf>
    <xf numFmtId="0" fontId="2" fillId="7" borderId="45" xfId="0" applyFont="1" applyFill="1" applyBorder="1" applyAlignment="1">
      <alignment horizontal="center" vertical="center"/>
    </xf>
    <xf numFmtId="166" fontId="2" fillId="7" borderId="45" xfId="0" applyNumberFormat="1" applyFont="1" applyFill="1" applyBorder="1" applyAlignment="1">
      <alignment vertical="top"/>
    </xf>
    <xf numFmtId="166" fontId="2" fillId="7" borderId="8" xfId="0" applyNumberFormat="1" applyFont="1" applyFill="1" applyBorder="1" applyAlignment="1">
      <alignment vertical="top"/>
    </xf>
    <xf numFmtId="166" fontId="2" fillId="7" borderId="7" xfId="0" applyNumberFormat="1" applyFont="1" applyFill="1" applyBorder="1" applyAlignment="1">
      <alignment vertical="top"/>
    </xf>
    <xf numFmtId="166" fontId="2" fillId="7" borderId="25" xfId="0" applyNumberFormat="1" applyFont="1" applyFill="1" applyBorder="1" applyAlignment="1">
      <alignment vertical="top"/>
    </xf>
    <xf numFmtId="166" fontId="2" fillId="7" borderId="52" xfId="0" applyNumberFormat="1" applyFont="1" applyFill="1" applyBorder="1" applyAlignment="1">
      <alignment vertical="top"/>
    </xf>
    <xf numFmtId="166" fontId="2" fillId="7" borderId="26" xfId="0" applyNumberFormat="1" applyFont="1" applyFill="1" applyBorder="1" applyAlignment="1">
      <alignment vertical="top"/>
    </xf>
    <xf numFmtId="166" fontId="2" fillId="7" borderId="27" xfId="0" applyNumberFormat="1" applyFont="1" applyFill="1" applyBorder="1" applyAlignment="1">
      <alignment vertical="top"/>
    </xf>
    <xf numFmtId="166" fontId="2" fillId="0" borderId="6" xfId="0" applyNumberFormat="1" applyFont="1" applyBorder="1" applyAlignment="1">
      <alignment horizontal="center" vertical="top"/>
    </xf>
    <xf numFmtId="166" fontId="2" fillId="0" borderId="34" xfId="0" applyNumberFormat="1" applyFont="1" applyBorder="1" applyAlignment="1">
      <alignment horizontal="center" vertical="top"/>
    </xf>
    <xf numFmtId="3" fontId="2" fillId="0" borderId="18"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3" fontId="2" fillId="7" borderId="18"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3" fontId="2" fillId="7" borderId="11" xfId="0" applyNumberFormat="1" applyFont="1" applyFill="1" applyBorder="1" applyAlignment="1">
      <alignment horizontal="center" vertical="top"/>
    </xf>
    <xf numFmtId="3" fontId="2" fillId="7" borderId="49" xfId="0" applyNumberFormat="1" applyFont="1" applyFill="1" applyBorder="1" applyAlignment="1">
      <alignment horizontal="center" vertical="top"/>
    </xf>
    <xf numFmtId="166" fontId="2" fillId="7" borderId="80" xfId="0" applyNumberFormat="1" applyFont="1" applyFill="1" applyBorder="1" applyAlignment="1">
      <alignment horizontal="left" vertical="top" wrapText="1"/>
    </xf>
    <xf numFmtId="166" fontId="2" fillId="7" borderId="101" xfId="0" applyNumberFormat="1" applyFont="1" applyFill="1" applyBorder="1" applyAlignment="1">
      <alignment vertical="top" wrapText="1"/>
    </xf>
    <xf numFmtId="166" fontId="3" fillId="3" borderId="1" xfId="0" applyNumberFormat="1" applyFont="1" applyFill="1" applyBorder="1" applyAlignment="1">
      <alignment horizontal="center" vertical="top" wrapText="1"/>
    </xf>
    <xf numFmtId="3" fontId="2" fillId="0" borderId="27" xfId="0" applyNumberFormat="1" applyFont="1" applyFill="1" applyBorder="1" applyAlignment="1">
      <alignment horizontal="center" vertical="top" wrapText="1"/>
    </xf>
    <xf numFmtId="166" fontId="2" fillId="3" borderId="30" xfId="0" applyNumberFormat="1" applyFont="1" applyFill="1" applyBorder="1" applyAlignment="1">
      <alignment horizontal="center" vertical="top" wrapText="1"/>
    </xf>
    <xf numFmtId="166" fontId="2" fillId="3" borderId="11" xfId="0" applyNumberFormat="1" applyFont="1" applyFill="1" applyBorder="1" applyAlignment="1">
      <alignment horizontal="center" vertical="top" wrapText="1"/>
    </xf>
    <xf numFmtId="166" fontId="8" fillId="7" borderId="7" xfId="0" applyNumberFormat="1" applyFont="1" applyFill="1" applyBorder="1" applyAlignment="1">
      <alignment vertical="top" wrapText="1"/>
    </xf>
    <xf numFmtId="0" fontId="0" fillId="0" borderId="11" xfId="0" applyBorder="1" applyAlignment="1">
      <alignment wrapText="1"/>
    </xf>
    <xf numFmtId="0" fontId="0" fillId="7" borderId="11" xfId="0" applyFill="1" applyBorder="1" applyAlignment="1">
      <alignment wrapText="1"/>
    </xf>
    <xf numFmtId="0" fontId="2" fillId="7" borderId="80" xfId="0" applyFont="1" applyFill="1" applyBorder="1" applyAlignment="1">
      <alignment vertical="top" wrapText="1"/>
    </xf>
    <xf numFmtId="0" fontId="2" fillId="7" borderId="89" xfId="0" applyFont="1" applyFill="1" applyBorder="1" applyAlignment="1">
      <alignment vertical="top" wrapText="1"/>
    </xf>
    <xf numFmtId="3" fontId="2" fillId="0" borderId="100" xfId="0" applyNumberFormat="1" applyFont="1" applyFill="1" applyBorder="1" applyAlignment="1">
      <alignment horizontal="center" vertical="top"/>
    </xf>
    <xf numFmtId="49" fontId="3" fillId="7" borderId="0" xfId="0" applyNumberFormat="1" applyFont="1" applyFill="1" applyBorder="1" applyAlignment="1">
      <alignment horizontal="center" vertical="top"/>
    </xf>
    <xf numFmtId="0" fontId="8" fillId="7" borderId="30" xfId="0" applyFont="1" applyFill="1" applyBorder="1" applyAlignment="1">
      <alignment vertical="top" wrapText="1"/>
    </xf>
    <xf numFmtId="0" fontId="0" fillId="0" borderId="30" xfId="0" applyBorder="1" applyAlignment="1">
      <alignment horizontal="center" vertical="center" wrapText="1"/>
    </xf>
    <xf numFmtId="166" fontId="13" fillId="7" borderId="65" xfId="0" applyNumberFormat="1" applyFont="1" applyFill="1" applyBorder="1" applyAlignment="1">
      <alignment horizontal="center" vertical="top"/>
    </xf>
    <xf numFmtId="0" fontId="2" fillId="7" borderId="86" xfId="0" applyFont="1" applyFill="1" applyBorder="1" applyAlignment="1">
      <alignment vertical="top" wrapText="1"/>
    </xf>
    <xf numFmtId="3" fontId="2" fillId="7" borderId="11" xfId="0" applyNumberFormat="1" applyFont="1" applyFill="1" applyBorder="1" applyAlignment="1">
      <alignment horizontal="center" vertical="center"/>
    </xf>
    <xf numFmtId="3" fontId="2" fillId="7" borderId="18" xfId="0" applyNumberFormat="1" applyFont="1" applyFill="1" applyBorder="1" applyAlignment="1">
      <alignment vertical="top"/>
    </xf>
    <xf numFmtId="3" fontId="2" fillId="7" borderId="18" xfId="0" applyNumberFormat="1" applyFont="1" applyFill="1" applyBorder="1" applyAlignment="1">
      <alignment horizontal="center" vertical="top"/>
    </xf>
    <xf numFmtId="3" fontId="2" fillId="7" borderId="49" xfId="0" applyNumberFormat="1" applyFont="1" applyFill="1" applyBorder="1" applyAlignment="1">
      <alignment horizontal="center" vertical="top"/>
    </xf>
    <xf numFmtId="0" fontId="2" fillId="7" borderId="18" xfId="0" applyNumberFormat="1" applyFont="1" applyFill="1" applyBorder="1" applyAlignment="1">
      <alignment horizontal="center" vertical="top" wrapText="1"/>
    </xf>
    <xf numFmtId="166" fontId="2" fillId="7" borderId="104" xfId="0" applyNumberFormat="1" applyFont="1" applyFill="1" applyBorder="1" applyAlignment="1">
      <alignment horizontal="left" vertical="top" wrapText="1"/>
    </xf>
    <xf numFmtId="166" fontId="2" fillId="7" borderId="11" xfId="0" applyNumberFormat="1" applyFont="1" applyFill="1" applyBorder="1" applyAlignment="1">
      <alignment horizontal="center" vertical="center" textRotation="90" wrapText="1"/>
    </xf>
    <xf numFmtId="49" fontId="3" fillId="7" borderId="49" xfId="0" applyNumberFormat="1" applyFont="1" applyFill="1" applyBorder="1" applyAlignment="1">
      <alignment horizontal="center" vertical="top"/>
    </xf>
    <xf numFmtId="166" fontId="2" fillId="7" borderId="11" xfId="0" applyNumberFormat="1" applyFont="1" applyFill="1" applyBorder="1" applyAlignment="1">
      <alignment vertical="top" wrapText="1"/>
    </xf>
    <xf numFmtId="166" fontId="2" fillId="7" borderId="28" xfId="0" applyNumberFormat="1" applyFont="1" applyFill="1" applyBorder="1" applyAlignment="1">
      <alignment vertical="top" wrapText="1"/>
    </xf>
    <xf numFmtId="49" fontId="3" fillId="7" borderId="35"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xf>
    <xf numFmtId="166" fontId="2" fillId="7" borderId="7"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2" fillId="7" borderId="28" xfId="0" applyNumberFormat="1" applyFont="1" applyFill="1" applyBorder="1" applyAlignment="1">
      <alignment horizontal="center" vertical="center" textRotation="90" wrapText="1"/>
    </xf>
    <xf numFmtId="166" fontId="2" fillId="0" borderId="7" xfId="0" applyNumberFormat="1" applyFont="1" applyFill="1" applyBorder="1" applyAlignment="1">
      <alignment horizontal="left" vertical="top" wrapText="1"/>
    </xf>
    <xf numFmtId="0" fontId="2" fillId="7" borderId="86" xfId="0" applyFont="1" applyFill="1" applyBorder="1" applyAlignment="1">
      <alignment vertical="top"/>
    </xf>
    <xf numFmtId="166" fontId="2" fillId="7" borderId="105" xfId="0" applyNumberFormat="1" applyFont="1" applyFill="1" applyBorder="1" applyAlignment="1">
      <alignment horizontal="center" vertical="center" textRotation="90" wrapText="1"/>
    </xf>
    <xf numFmtId="49" fontId="3" fillId="7" borderId="111" xfId="0" applyNumberFormat="1" applyFont="1" applyFill="1" applyBorder="1" applyAlignment="1">
      <alignment horizontal="center" vertical="top"/>
    </xf>
    <xf numFmtId="166" fontId="2" fillId="7" borderId="108" xfId="0" applyNumberFormat="1" applyFont="1" applyFill="1" applyBorder="1" applyAlignment="1">
      <alignment horizontal="center" vertical="top"/>
    </xf>
    <xf numFmtId="166" fontId="3" fillId="7" borderId="118" xfId="0" applyNumberFormat="1" applyFont="1" applyFill="1" applyBorder="1" applyAlignment="1">
      <alignment vertical="top"/>
    </xf>
    <xf numFmtId="166" fontId="2" fillId="7" borderId="81" xfId="0" applyNumberFormat="1" applyFont="1" applyFill="1" applyBorder="1" applyAlignment="1">
      <alignment horizontal="center" vertical="center" textRotation="90" wrapText="1"/>
    </xf>
    <xf numFmtId="49" fontId="3" fillId="7" borderId="99" xfId="0" applyNumberFormat="1" applyFont="1" applyFill="1" applyBorder="1" applyAlignment="1">
      <alignment horizontal="center" vertical="top"/>
    </xf>
    <xf numFmtId="166" fontId="2" fillId="7" borderId="79" xfId="0" applyNumberFormat="1" applyFont="1" applyFill="1" applyBorder="1" applyAlignment="1">
      <alignment horizontal="center" vertical="top"/>
    </xf>
    <xf numFmtId="166" fontId="2" fillId="7" borderId="115" xfId="0" applyNumberFormat="1" applyFont="1" applyFill="1" applyBorder="1" applyAlignment="1">
      <alignment horizontal="center" vertical="top"/>
    </xf>
    <xf numFmtId="166" fontId="2" fillId="7" borderId="114"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8" fillId="7" borderId="7" xfId="0" applyNumberFormat="1" applyFont="1" applyFill="1" applyBorder="1" applyAlignment="1">
      <alignment vertical="top" wrapText="1"/>
    </xf>
    <xf numFmtId="166" fontId="45" fillId="7" borderId="34"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xf>
    <xf numFmtId="3" fontId="2" fillId="7" borderId="20" xfId="0" applyNumberFormat="1" applyFont="1" applyFill="1" applyBorder="1" applyAlignment="1">
      <alignment horizontal="center" vertical="top" wrapText="1"/>
    </xf>
    <xf numFmtId="166" fontId="2" fillId="7" borderId="49" xfId="0" applyNumberFormat="1" applyFont="1" applyFill="1" applyBorder="1" applyAlignment="1">
      <alignment vertical="top" wrapText="1"/>
    </xf>
    <xf numFmtId="166" fontId="3" fillId="9" borderId="7"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2" fillId="7" borderId="46" xfId="0" applyNumberFormat="1" applyFont="1" applyFill="1" applyBorder="1" applyAlignment="1">
      <alignment vertical="top" wrapText="1"/>
    </xf>
    <xf numFmtId="166" fontId="3" fillId="2" borderId="49" xfId="0" applyNumberFormat="1" applyFont="1" applyFill="1" applyBorder="1" applyAlignment="1">
      <alignment horizontal="center" vertical="top"/>
    </xf>
    <xf numFmtId="166" fontId="2" fillId="7" borderId="29" xfId="0" applyNumberFormat="1" applyFont="1" applyFill="1" applyBorder="1" applyAlignment="1">
      <alignment horizontal="left" vertical="top" wrapText="1"/>
    </xf>
    <xf numFmtId="166" fontId="2" fillId="7" borderId="18" xfId="0" applyNumberFormat="1" applyFont="1" applyFill="1" applyBorder="1" applyAlignment="1">
      <alignment horizontal="center" vertical="top" wrapText="1"/>
    </xf>
    <xf numFmtId="3" fontId="2" fillId="7" borderId="49"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2" fillId="7" borderId="46" xfId="0" applyNumberFormat="1" applyFont="1" applyFill="1" applyBorder="1" applyAlignment="1">
      <alignment vertical="top" wrapText="1"/>
    </xf>
    <xf numFmtId="3" fontId="2" fillId="7" borderId="20" xfId="0" applyNumberFormat="1" applyFont="1" applyFill="1" applyBorder="1" applyAlignment="1">
      <alignment horizontal="center" vertical="top" wrapText="1"/>
    </xf>
    <xf numFmtId="166" fontId="2" fillId="7" borderId="104" xfId="0" applyNumberFormat="1" applyFont="1" applyFill="1" applyBorder="1" applyAlignment="1">
      <alignment horizontal="left" vertical="top" wrapText="1"/>
    </xf>
    <xf numFmtId="0" fontId="2" fillId="7" borderId="37" xfId="0" applyFont="1" applyFill="1" applyBorder="1" applyAlignment="1">
      <alignment vertical="top" wrapText="1"/>
    </xf>
    <xf numFmtId="3" fontId="2" fillId="7" borderId="11" xfId="0" applyNumberFormat="1" applyFont="1" applyFill="1" applyBorder="1" applyAlignment="1">
      <alignment horizontal="center" vertical="top" wrapText="1"/>
    </xf>
    <xf numFmtId="166" fontId="2" fillId="7" borderId="7"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2" fillId="7" borderId="80" xfId="0" applyNumberFormat="1" applyFont="1" applyFill="1" applyBorder="1" applyAlignment="1">
      <alignment horizontal="left" vertical="top" wrapText="1"/>
    </xf>
    <xf numFmtId="3" fontId="2" fillId="7" borderId="21" xfId="0" applyNumberFormat="1" applyFont="1" applyFill="1" applyBorder="1" applyAlignment="1">
      <alignment horizontal="center" vertical="top" wrapText="1"/>
    </xf>
    <xf numFmtId="3" fontId="31" fillId="7" borderId="0" xfId="0" applyNumberFormat="1" applyFont="1" applyFill="1" applyAlignment="1">
      <alignment horizontal="left" vertical="top" wrapText="1"/>
    </xf>
    <xf numFmtId="3" fontId="2" fillId="7" borderId="21" xfId="0" applyNumberFormat="1" applyFont="1" applyFill="1" applyBorder="1" applyAlignment="1">
      <alignment horizontal="left" vertical="top" wrapText="1"/>
    </xf>
    <xf numFmtId="0" fontId="8" fillId="0" borderId="27" xfId="0" applyFont="1" applyBorder="1" applyAlignment="1">
      <alignment horizontal="left" wrapText="1"/>
    </xf>
    <xf numFmtId="0" fontId="0" fillId="0" borderId="27" xfId="0" applyBorder="1" applyAlignment="1">
      <alignment horizontal="lef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166" fontId="2" fillId="7" borderId="28" xfId="0" applyNumberFormat="1" applyFont="1" applyFill="1" applyBorder="1" applyAlignment="1">
      <alignment horizontal="left" vertical="top" wrapText="1"/>
    </xf>
    <xf numFmtId="166" fontId="3" fillId="7" borderId="49" xfId="0" applyNumberFormat="1" applyFont="1" applyFill="1" applyBorder="1" applyAlignment="1">
      <alignment horizontal="center" vertical="top"/>
    </xf>
    <xf numFmtId="0" fontId="2" fillId="7" borderId="110" xfId="0" applyFont="1" applyFill="1" applyBorder="1" applyAlignment="1">
      <alignment horizontal="left" vertical="top" wrapText="1"/>
    </xf>
    <xf numFmtId="0" fontId="0" fillId="7" borderId="19" xfId="0" applyFill="1" applyBorder="1" applyAlignment="1">
      <alignment horizontal="left" vertical="top" wrapText="1"/>
    </xf>
    <xf numFmtId="0" fontId="2" fillId="7" borderId="20" xfId="0" applyFont="1" applyFill="1" applyBorder="1" applyAlignment="1">
      <alignment horizontal="left" vertical="top" wrapText="1"/>
    </xf>
    <xf numFmtId="0" fontId="2" fillId="7" borderId="11" xfId="0" applyFont="1" applyFill="1" applyBorder="1" applyAlignment="1">
      <alignment horizontal="left" vertical="top" wrapText="1"/>
    </xf>
    <xf numFmtId="0" fontId="0" fillId="7" borderId="11" xfId="0" applyFill="1" applyBorder="1" applyAlignment="1">
      <alignment horizontal="left" vertical="top" wrapText="1"/>
    </xf>
    <xf numFmtId="166" fontId="3" fillId="7" borderId="20" xfId="0" applyNumberFormat="1" applyFont="1" applyFill="1" applyBorder="1" applyAlignment="1">
      <alignment horizontal="center" vertical="center" textRotation="90" wrapText="1"/>
    </xf>
    <xf numFmtId="0" fontId="0" fillId="7" borderId="28" xfId="0" applyFill="1" applyBorder="1" applyAlignment="1">
      <alignment horizontal="center" vertical="center" textRotation="90" wrapText="1"/>
    </xf>
    <xf numFmtId="3" fontId="2" fillId="7" borderId="18" xfId="0" applyNumberFormat="1" applyFont="1" applyFill="1" applyBorder="1" applyAlignment="1">
      <alignment horizontal="left" vertical="top" wrapText="1"/>
    </xf>
    <xf numFmtId="0" fontId="8" fillId="0" borderId="27" xfId="0" applyFont="1" applyBorder="1" applyAlignment="1">
      <alignment horizontal="left" vertical="top" wrapText="1"/>
    </xf>
    <xf numFmtId="166" fontId="3" fillId="9" borderId="34" xfId="0" applyNumberFormat="1" applyFont="1" applyFill="1" applyBorder="1" applyAlignment="1">
      <alignment horizontal="center" vertical="top"/>
    </xf>
    <xf numFmtId="166" fontId="2" fillId="7" borderId="47" xfId="0" applyNumberFormat="1" applyFont="1" applyFill="1" applyBorder="1" applyAlignment="1">
      <alignment horizontal="left" vertical="top" wrapText="1"/>
    </xf>
    <xf numFmtId="166" fontId="2" fillId="7" borderId="35" xfId="0" applyNumberFormat="1" applyFont="1" applyFill="1" applyBorder="1" applyAlignment="1">
      <alignment horizontal="left" vertical="top" wrapText="1"/>
    </xf>
    <xf numFmtId="0" fontId="7" fillId="7" borderId="11" xfId="0" applyFont="1" applyFill="1" applyBorder="1" applyAlignment="1">
      <alignment vertical="top" wrapText="1"/>
    </xf>
    <xf numFmtId="0" fontId="0" fillId="0" borderId="11" xfId="0" applyBorder="1" applyAlignment="1">
      <alignment vertical="top" wrapText="1"/>
    </xf>
    <xf numFmtId="0" fontId="4" fillId="0" borderId="11" xfId="0" applyFont="1" applyFill="1" applyBorder="1" applyAlignment="1">
      <alignment horizontal="center" vertical="center" textRotation="90" wrapText="1"/>
    </xf>
    <xf numFmtId="0" fontId="0" fillId="0" borderId="11" xfId="0" applyBorder="1" applyAlignment="1">
      <alignment horizontal="center" vertical="center" textRotation="90" wrapText="1"/>
    </xf>
    <xf numFmtId="0" fontId="0" fillId="0" borderId="28" xfId="0" applyBorder="1" applyAlignment="1">
      <alignment horizontal="center" vertical="center" textRotation="90" wrapText="1"/>
    </xf>
    <xf numFmtId="0" fontId="2" fillId="0" borderId="51" xfId="0" applyNumberFormat="1" applyFont="1" applyBorder="1" applyAlignment="1">
      <alignment horizontal="center" vertical="center" textRotation="90" shrinkToFit="1"/>
    </xf>
    <xf numFmtId="0" fontId="2" fillId="0" borderId="44" xfId="0" applyNumberFormat="1" applyFont="1" applyBorder="1" applyAlignment="1">
      <alignment horizontal="center" vertical="center" textRotation="90" shrinkToFit="1"/>
    </xf>
    <xf numFmtId="0" fontId="2" fillId="0" borderId="33" xfId="0" applyNumberFormat="1" applyFont="1" applyBorder="1" applyAlignment="1">
      <alignment horizontal="center" vertical="center" textRotation="90" shrinkToFit="1"/>
    </xf>
    <xf numFmtId="0" fontId="2" fillId="0" borderId="40" xfId="0" applyFont="1" applyBorder="1" applyAlignment="1">
      <alignment horizontal="center" vertical="center" textRotation="90" shrinkToFit="1"/>
    </xf>
    <xf numFmtId="0" fontId="2" fillId="0" borderId="6" xfId="0" applyFont="1" applyBorder="1" applyAlignment="1">
      <alignment horizontal="center" vertical="center" textRotation="90" shrinkToFit="1"/>
    </xf>
    <xf numFmtId="0" fontId="2" fillId="0" borderId="67" xfId="0" applyFont="1" applyBorder="1" applyAlignment="1">
      <alignment horizontal="center" vertical="center" textRotation="90" shrinkToFit="1"/>
    </xf>
    <xf numFmtId="166" fontId="2" fillId="0" borderId="45" xfId="0" applyNumberFormat="1" applyFont="1" applyBorder="1" applyAlignment="1">
      <alignment horizontal="center" vertical="center" textRotation="90" wrapText="1"/>
    </xf>
    <xf numFmtId="0" fontId="8" fillId="0" borderId="34" xfId="0" applyFont="1" applyBorder="1" applyAlignment="1">
      <alignment horizontal="center" vertical="center" textRotation="90" wrapText="1"/>
    </xf>
    <xf numFmtId="0" fontId="8" fillId="0" borderId="73" xfId="0" applyFont="1" applyBorder="1" applyAlignment="1">
      <alignment horizontal="center" vertical="center" textRotation="90" wrapText="1"/>
    </xf>
    <xf numFmtId="0" fontId="2" fillId="7" borderId="25" xfId="0" applyFont="1" applyFill="1" applyBorder="1" applyAlignment="1">
      <alignment horizontal="center" vertical="center" textRotation="90" wrapText="1" shrinkToFit="1"/>
    </xf>
    <xf numFmtId="0" fontId="2" fillId="7" borderId="11" xfId="0" applyFont="1" applyFill="1" applyBorder="1" applyAlignment="1">
      <alignment horizontal="center" vertical="center" textRotation="90" wrapText="1" shrinkToFit="1"/>
    </xf>
    <xf numFmtId="0" fontId="2" fillId="7" borderId="30" xfId="0" applyFont="1" applyFill="1" applyBorder="1" applyAlignment="1">
      <alignment horizontal="center" vertical="center" textRotation="90" wrapText="1" shrinkToFit="1"/>
    </xf>
    <xf numFmtId="49" fontId="5" fillId="6" borderId="69" xfId="0" applyNumberFormat="1" applyFont="1" applyFill="1" applyBorder="1" applyAlignment="1">
      <alignment horizontal="left" vertical="top" wrapText="1"/>
    </xf>
    <xf numFmtId="49" fontId="5" fillId="6" borderId="74" xfId="0" applyNumberFormat="1" applyFont="1" applyFill="1" applyBorder="1" applyAlignment="1">
      <alignment horizontal="left" vertical="top" wrapText="1"/>
    </xf>
    <xf numFmtId="49" fontId="5" fillId="6" borderId="70" xfId="0" applyNumberFormat="1" applyFont="1" applyFill="1" applyBorder="1" applyAlignment="1">
      <alignment horizontal="left" vertical="top" wrapText="1"/>
    </xf>
    <xf numFmtId="0" fontId="5" fillId="5" borderId="68" xfId="0" applyFont="1" applyFill="1" applyBorder="1" applyAlignment="1">
      <alignment horizontal="left" vertical="top" wrapText="1"/>
    </xf>
    <xf numFmtId="0" fontId="5" fillId="5" borderId="63" xfId="0" applyFont="1" applyFill="1" applyBorder="1" applyAlignment="1">
      <alignment horizontal="left" vertical="top" wrapText="1"/>
    </xf>
    <xf numFmtId="0" fontId="5" fillId="5" borderId="43" xfId="0" applyFont="1" applyFill="1" applyBorder="1" applyAlignment="1">
      <alignment horizontal="left" vertical="top" wrapText="1"/>
    </xf>
    <xf numFmtId="0" fontId="3" fillId="9" borderId="38" xfId="0" applyFont="1" applyFill="1" applyBorder="1" applyAlignment="1">
      <alignment horizontal="left" vertical="top"/>
    </xf>
    <xf numFmtId="0" fontId="3" fillId="9" borderId="63" xfId="0" applyFont="1" applyFill="1" applyBorder="1" applyAlignment="1">
      <alignment horizontal="left" vertical="top"/>
    </xf>
    <xf numFmtId="0" fontId="3" fillId="9" borderId="43" xfId="0" applyFont="1" applyFill="1" applyBorder="1" applyAlignment="1">
      <alignment horizontal="left" vertical="top"/>
    </xf>
    <xf numFmtId="0" fontId="3" fillId="2" borderId="38" xfId="0" applyFont="1" applyFill="1" applyBorder="1" applyAlignment="1">
      <alignment horizontal="left" vertical="top" wrapText="1"/>
    </xf>
    <xf numFmtId="0" fontId="3" fillId="2" borderId="63" xfId="0" applyFont="1" applyFill="1" applyBorder="1" applyAlignment="1">
      <alignment horizontal="left" vertical="top" wrapText="1"/>
    </xf>
    <xf numFmtId="0" fontId="3" fillId="2" borderId="43" xfId="0" applyFont="1" applyFill="1" applyBorder="1" applyAlignment="1">
      <alignment horizontal="left" vertical="top" wrapText="1"/>
    </xf>
    <xf numFmtId="3" fontId="19" fillId="0" borderId="0" xfId="0" applyNumberFormat="1" applyFont="1" applyAlignment="1">
      <alignment horizontal="center" vertical="top" wrapText="1"/>
    </xf>
    <xf numFmtId="0" fontId="20" fillId="0" borderId="0" xfId="0" applyFont="1" applyBorder="1" applyAlignment="1">
      <alignment horizontal="center" vertical="top" wrapText="1"/>
    </xf>
    <xf numFmtId="0" fontId="19" fillId="0" borderId="0" xfId="0" applyFont="1" applyBorder="1" applyAlignment="1">
      <alignment horizontal="center" vertical="top"/>
    </xf>
    <xf numFmtId="0" fontId="2" fillId="0" borderId="32" xfId="0" applyFont="1" applyBorder="1" applyAlignment="1">
      <alignment horizontal="right" vertical="top"/>
    </xf>
    <xf numFmtId="0" fontId="0" fillId="0" borderId="32" xfId="0" applyFont="1" applyBorder="1" applyAlignment="1">
      <alignment vertical="top"/>
    </xf>
    <xf numFmtId="0" fontId="2" fillId="0" borderId="5" xfId="0" applyFont="1" applyBorder="1" applyAlignment="1">
      <alignment horizontal="center" vertical="center" textRotation="90" shrinkToFit="1"/>
    </xf>
    <xf numFmtId="0" fontId="2" fillId="0" borderId="7" xfId="0" applyFont="1" applyBorder="1" applyAlignment="1">
      <alignment horizontal="center" vertical="center" textRotation="90" shrinkToFit="1"/>
    </xf>
    <xf numFmtId="0" fontId="2" fillId="0" borderId="9" xfId="0" applyFont="1" applyBorder="1" applyAlignment="1">
      <alignment horizontal="center" vertical="center" textRotation="90" shrinkToFit="1"/>
    </xf>
    <xf numFmtId="0" fontId="2" fillId="0" borderId="25" xfId="0" applyFont="1" applyBorder="1" applyAlignment="1">
      <alignment horizontal="center" vertical="center" textRotation="90" shrinkToFit="1"/>
    </xf>
    <xf numFmtId="0" fontId="2" fillId="0" borderId="11" xfId="0" applyFont="1" applyBorder="1" applyAlignment="1">
      <alignment horizontal="center" vertical="center" textRotation="90" shrinkToFit="1"/>
    </xf>
    <xf numFmtId="0" fontId="2" fillId="0" borderId="30" xfId="0" applyFont="1" applyBorder="1" applyAlignment="1">
      <alignment horizontal="center" vertical="center" textRotation="90" shrinkToFit="1"/>
    </xf>
    <xf numFmtId="0" fontId="2" fillId="0" borderId="42" xfId="0" applyFont="1" applyBorder="1" applyAlignment="1">
      <alignment horizontal="center" vertical="center" shrinkToFit="1"/>
    </xf>
    <xf numFmtId="0" fontId="2" fillId="0" borderId="49" xfId="0" applyFont="1" applyBorder="1" applyAlignment="1">
      <alignment horizontal="center" vertical="center" shrinkToFit="1"/>
    </xf>
    <xf numFmtId="0" fontId="2" fillId="0" borderId="57" xfId="0" applyFont="1" applyBorder="1" applyAlignment="1">
      <alignment horizontal="center" vertical="center" shrinkToFit="1"/>
    </xf>
    <xf numFmtId="0" fontId="2" fillId="0" borderId="3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51" xfId="0" applyFont="1" applyBorder="1" applyAlignment="1">
      <alignment horizontal="center" vertical="center" textRotation="90" shrinkToFit="1"/>
    </xf>
    <xf numFmtId="0" fontId="2" fillId="0" borderId="44" xfId="0" applyFont="1" applyBorder="1" applyAlignment="1">
      <alignment horizontal="center" vertical="center" textRotation="90" shrinkToFit="1"/>
    </xf>
    <xf numFmtId="0" fontId="2" fillId="0" borderId="33" xfId="0" applyFont="1" applyBorder="1" applyAlignment="1">
      <alignment horizontal="center" vertical="center" textRotation="90" shrinkToFit="1"/>
    </xf>
    <xf numFmtId="166" fontId="22" fillId="7" borderId="37" xfId="0" applyNumberFormat="1" applyFont="1" applyFill="1" applyBorder="1" applyAlignment="1">
      <alignment horizontal="left" vertical="top" wrapText="1"/>
    </xf>
    <xf numFmtId="0" fontId="0" fillId="0" borderId="29" xfId="0" applyBorder="1" applyAlignment="1">
      <alignment horizontal="left" vertical="top" wrapText="1"/>
    </xf>
    <xf numFmtId="166" fontId="7" fillId="3" borderId="25" xfId="0" applyNumberFormat="1" applyFont="1" applyFill="1" applyBorder="1" applyAlignment="1">
      <alignment horizontal="left" vertical="top" wrapText="1"/>
    </xf>
    <xf numFmtId="0" fontId="0" fillId="0" borderId="11" xfId="0" applyBorder="1" applyAlignment="1">
      <alignment horizontal="left" vertical="top" wrapText="1"/>
    </xf>
    <xf numFmtId="166" fontId="4" fillId="0" borderId="25" xfId="0" applyNumberFormat="1" applyFont="1" applyFill="1" applyBorder="1" applyAlignment="1">
      <alignment horizontal="center" vertical="center" textRotation="90" wrapText="1"/>
    </xf>
    <xf numFmtId="166" fontId="2" fillId="7" borderId="49" xfId="0" applyNumberFormat="1" applyFont="1" applyFill="1" applyBorder="1" applyAlignment="1">
      <alignment horizontal="left" vertical="top" wrapText="1"/>
    </xf>
    <xf numFmtId="166" fontId="2" fillId="7" borderId="20" xfId="0" applyNumberFormat="1" applyFont="1" applyFill="1" applyBorder="1" applyAlignment="1">
      <alignment vertical="top" wrapText="1"/>
    </xf>
    <xf numFmtId="166" fontId="2" fillId="7" borderId="28" xfId="0" applyNumberFormat="1" applyFont="1" applyFill="1" applyBorder="1" applyAlignment="1">
      <alignment vertical="top" wrapText="1"/>
    </xf>
    <xf numFmtId="0" fontId="22" fillId="7" borderId="48" xfId="0" applyFont="1" applyFill="1" applyBorder="1" applyAlignment="1">
      <alignment horizontal="left" vertical="top" wrapText="1"/>
    </xf>
    <xf numFmtId="0" fontId="26" fillId="7" borderId="48" xfId="0" applyFont="1" applyFill="1" applyBorder="1" applyAlignment="1">
      <alignment horizontal="left" vertical="top" wrapText="1"/>
    </xf>
    <xf numFmtId="166" fontId="3" fillId="7" borderId="20" xfId="0" applyNumberFormat="1" applyFont="1" applyFill="1" applyBorder="1" applyAlignment="1">
      <alignment horizontal="center" vertical="top" textRotation="90" wrapText="1"/>
    </xf>
    <xf numFmtId="0" fontId="0" fillId="7" borderId="11" xfId="0" applyFont="1" applyFill="1" applyBorder="1" applyAlignment="1">
      <alignment horizontal="center" vertical="top" textRotation="90" wrapText="1"/>
    </xf>
    <xf numFmtId="0" fontId="0" fillId="7" borderId="28" xfId="0" applyFont="1" applyFill="1" applyBorder="1" applyAlignment="1">
      <alignment horizontal="center" vertical="top" textRotation="90" wrapText="1"/>
    </xf>
    <xf numFmtId="166" fontId="2" fillId="7" borderId="11" xfId="0" applyNumberFormat="1" applyFont="1" applyFill="1" applyBorder="1" applyAlignment="1">
      <alignment vertical="top" wrapText="1"/>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3" fillId="2" borderId="49" xfId="0" applyNumberFormat="1" applyFont="1" applyFill="1" applyBorder="1" applyAlignment="1">
      <alignment horizontal="center" vertical="top"/>
    </xf>
    <xf numFmtId="166" fontId="3" fillId="7" borderId="20" xfId="0" applyNumberFormat="1" applyFont="1" applyFill="1" applyBorder="1" applyAlignment="1">
      <alignment horizontal="center" vertical="top" wrapText="1"/>
    </xf>
    <xf numFmtId="166" fontId="3" fillId="7" borderId="18" xfId="0" applyNumberFormat="1" applyFont="1" applyFill="1" applyBorder="1" applyAlignment="1">
      <alignment horizontal="center" vertical="top"/>
    </xf>
    <xf numFmtId="0" fontId="0" fillId="0" borderId="28" xfId="0" applyBorder="1" applyAlignment="1">
      <alignment horizontal="left" vertical="top" wrapText="1"/>
    </xf>
    <xf numFmtId="166" fontId="3" fillId="3" borderId="20" xfId="0" applyNumberFormat="1" applyFont="1" applyFill="1" applyBorder="1" applyAlignment="1">
      <alignment horizontal="center" vertical="top" wrapText="1"/>
    </xf>
    <xf numFmtId="166" fontId="3" fillId="3" borderId="11" xfId="0" applyNumberFormat="1" applyFont="1" applyFill="1" applyBorder="1" applyAlignment="1">
      <alignment horizontal="center" vertical="top" wrapText="1"/>
    </xf>
    <xf numFmtId="166" fontId="3" fillId="3" borderId="18" xfId="0" applyNumberFormat="1" applyFont="1" applyFill="1" applyBorder="1" applyAlignment="1">
      <alignment horizontal="center" vertical="top"/>
    </xf>
    <xf numFmtId="166" fontId="7" fillId="7" borderId="25" xfId="0" applyNumberFormat="1" applyFont="1" applyFill="1" applyBorder="1" applyAlignment="1">
      <alignment horizontal="left" vertical="top" wrapText="1"/>
    </xf>
    <xf numFmtId="166" fontId="7" fillId="7" borderId="11" xfId="0" applyNumberFormat="1" applyFont="1" applyFill="1" applyBorder="1" applyAlignment="1">
      <alignment horizontal="left" vertical="top" wrapText="1"/>
    </xf>
    <xf numFmtId="166" fontId="4" fillId="7" borderId="25" xfId="0" applyNumberFormat="1" applyFont="1" applyFill="1" applyBorder="1" applyAlignment="1">
      <alignment horizontal="center" vertical="center" textRotation="90" wrapText="1"/>
    </xf>
    <xf numFmtId="166" fontId="4" fillId="7" borderId="11" xfId="0" applyNumberFormat="1" applyFont="1" applyFill="1" applyBorder="1" applyAlignment="1">
      <alignment horizontal="center" vertical="center" textRotation="90" wrapText="1"/>
    </xf>
    <xf numFmtId="166" fontId="3" fillId="0" borderId="20" xfId="0" applyNumberFormat="1" applyFont="1" applyFill="1" applyBorder="1" applyAlignment="1">
      <alignment horizontal="center" vertical="top" wrapText="1"/>
    </xf>
    <xf numFmtId="166" fontId="3" fillId="0" borderId="11" xfId="0" applyNumberFormat="1" applyFont="1" applyFill="1" applyBorder="1" applyAlignment="1">
      <alignment horizontal="center" vertical="top" wrapText="1"/>
    </xf>
    <xf numFmtId="49" fontId="3" fillId="0" borderId="18" xfId="0" applyNumberFormat="1" applyFont="1" applyBorder="1" applyAlignment="1">
      <alignment horizontal="center" vertical="top"/>
    </xf>
    <xf numFmtId="49" fontId="2" fillId="7" borderId="48" xfId="0" applyNumberFormat="1" applyFont="1" applyFill="1" applyBorder="1" applyAlignment="1">
      <alignment horizontal="left" vertical="top" wrapText="1"/>
    </xf>
    <xf numFmtId="0" fontId="8" fillId="7" borderId="48" xfId="0" applyFont="1" applyFill="1" applyBorder="1" applyAlignment="1">
      <alignment horizontal="left" vertical="top" wrapText="1"/>
    </xf>
    <xf numFmtId="166" fontId="3" fillId="7" borderId="27" xfId="0" applyNumberFormat="1" applyFont="1" applyFill="1" applyBorder="1" applyAlignment="1">
      <alignment horizontal="center" vertical="top"/>
    </xf>
    <xf numFmtId="166" fontId="2" fillId="7" borderId="47" xfId="0" applyNumberFormat="1" applyFont="1" applyFill="1" applyBorder="1" applyAlignment="1">
      <alignment vertical="top" wrapText="1"/>
    </xf>
    <xf numFmtId="166" fontId="2" fillId="7" borderId="49" xfId="0" applyNumberFormat="1" applyFont="1" applyFill="1" applyBorder="1" applyAlignment="1">
      <alignment vertical="top" wrapText="1"/>
    </xf>
    <xf numFmtId="166" fontId="3" fillId="0" borderId="49" xfId="0" applyNumberFormat="1" applyFont="1" applyFill="1" applyBorder="1" applyAlignment="1">
      <alignment horizontal="center" vertical="top" wrapText="1"/>
    </xf>
    <xf numFmtId="49" fontId="3" fillId="9" borderId="5"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9" borderId="9" xfId="0" applyNumberFormat="1" applyFont="1" applyFill="1" applyBorder="1" applyAlignment="1">
      <alignment horizontal="center" vertical="top"/>
    </xf>
    <xf numFmtId="49" fontId="3" fillId="2" borderId="42" xfId="0" applyNumberFormat="1" applyFont="1" applyFill="1" applyBorder="1" applyAlignment="1">
      <alignment horizontal="center" vertical="top"/>
    </xf>
    <xf numFmtId="49" fontId="3" fillId="2" borderId="49" xfId="0" applyNumberFormat="1" applyFont="1" applyFill="1" applyBorder="1" applyAlignment="1">
      <alignment horizontal="center" vertical="top"/>
    </xf>
    <xf numFmtId="49" fontId="3" fillId="2" borderId="57"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30" xfId="0" applyNumberFormat="1" applyFont="1" applyFill="1" applyBorder="1" applyAlignment="1">
      <alignment horizontal="center" vertical="top"/>
    </xf>
    <xf numFmtId="166" fontId="2" fillId="7" borderId="25" xfId="0" applyNumberFormat="1" applyFont="1" applyFill="1" applyBorder="1" applyAlignment="1">
      <alignment horizontal="left" vertical="top" wrapText="1"/>
    </xf>
    <xf numFmtId="166" fontId="2" fillId="7" borderId="11" xfId="0" applyNumberFormat="1" applyFont="1" applyFill="1" applyBorder="1" applyAlignment="1">
      <alignment horizontal="left" vertical="top" wrapText="1"/>
    </xf>
    <xf numFmtId="166" fontId="2" fillId="7" borderId="30" xfId="0" applyNumberFormat="1" applyFont="1" applyFill="1" applyBorder="1" applyAlignment="1">
      <alignment horizontal="left" vertical="top" wrapText="1"/>
    </xf>
    <xf numFmtId="166" fontId="2" fillId="7" borderId="20" xfId="0" applyNumberFormat="1" applyFont="1" applyFill="1" applyBorder="1" applyAlignment="1">
      <alignment horizontal="center" vertical="center" textRotation="90" wrapText="1"/>
    </xf>
    <xf numFmtId="166" fontId="8" fillId="7" borderId="11" xfId="0" applyNumberFormat="1" applyFont="1" applyFill="1" applyBorder="1" applyAlignment="1">
      <alignment horizontal="center" vertical="center" textRotation="90" wrapText="1"/>
    </xf>
    <xf numFmtId="166" fontId="2" fillId="7" borderId="46" xfId="0" applyNumberFormat="1" applyFont="1" applyFill="1" applyBorder="1" applyAlignment="1">
      <alignment vertical="top" wrapText="1"/>
    </xf>
    <xf numFmtId="166" fontId="8" fillId="7" borderId="19" xfId="0" applyNumberFormat="1" applyFont="1" applyFill="1" applyBorder="1" applyAlignment="1">
      <alignment vertical="top"/>
    </xf>
    <xf numFmtId="3" fontId="2" fillId="7" borderId="47" xfId="0" applyNumberFormat="1" applyFont="1" applyFill="1" applyBorder="1" applyAlignment="1">
      <alignment horizontal="center" vertical="top"/>
    </xf>
    <xf numFmtId="3" fontId="8" fillId="7" borderId="35" xfId="0" applyNumberFormat="1" applyFont="1" applyFill="1" applyBorder="1" applyAlignment="1">
      <alignment vertical="top"/>
    </xf>
    <xf numFmtId="3" fontId="2" fillId="7" borderId="20" xfId="0" applyNumberFormat="1" applyFont="1" applyFill="1" applyBorder="1" applyAlignment="1">
      <alignment horizontal="center" vertical="top"/>
    </xf>
    <xf numFmtId="3" fontId="8" fillId="0" borderId="28" xfId="0" applyNumberFormat="1" applyFont="1" applyBorder="1" applyAlignment="1">
      <alignment vertical="top"/>
    </xf>
    <xf numFmtId="166" fontId="4" fillId="0" borderId="25"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wrapText="1"/>
    </xf>
    <xf numFmtId="166" fontId="4" fillId="0" borderId="30" xfId="0" applyNumberFormat="1" applyFont="1" applyFill="1" applyBorder="1" applyAlignment="1">
      <alignment horizontal="center" vertical="top" wrapText="1"/>
    </xf>
    <xf numFmtId="166" fontId="3" fillId="2" borderId="75" xfId="0" applyNumberFormat="1" applyFont="1" applyFill="1" applyBorder="1" applyAlignment="1">
      <alignment horizontal="right" vertical="top"/>
    </xf>
    <xf numFmtId="166" fontId="3" fillId="2" borderId="71" xfId="0" applyNumberFormat="1" applyFont="1" applyFill="1" applyBorder="1" applyAlignment="1">
      <alignment horizontal="right" vertical="top"/>
    </xf>
    <xf numFmtId="166" fontId="3" fillId="2" borderId="72" xfId="0" applyNumberFormat="1" applyFont="1" applyFill="1" applyBorder="1" applyAlignment="1">
      <alignment horizontal="right" vertical="top"/>
    </xf>
    <xf numFmtId="166" fontId="2" fillId="2" borderId="71" xfId="0" applyNumberFormat="1" applyFont="1" applyFill="1" applyBorder="1" applyAlignment="1">
      <alignment horizontal="center" vertical="top" wrapText="1"/>
    </xf>
    <xf numFmtId="166" fontId="2" fillId="2" borderId="72" xfId="0" applyNumberFormat="1" applyFont="1" applyFill="1" applyBorder="1" applyAlignment="1">
      <alignment horizontal="center" vertical="top" wrapText="1"/>
    </xf>
    <xf numFmtId="166" fontId="3" fillId="2" borderId="75" xfId="0" applyNumberFormat="1" applyFont="1" applyFill="1" applyBorder="1" applyAlignment="1">
      <alignment horizontal="left" vertical="top"/>
    </xf>
    <xf numFmtId="166" fontId="3" fillId="2" borderId="71" xfId="0" applyNumberFormat="1" applyFont="1" applyFill="1" applyBorder="1" applyAlignment="1">
      <alignment horizontal="left" vertical="top"/>
    </xf>
    <xf numFmtId="166" fontId="3" fillId="2" borderId="72" xfId="0" applyNumberFormat="1" applyFont="1" applyFill="1" applyBorder="1" applyAlignment="1">
      <alignment horizontal="left" vertical="top"/>
    </xf>
    <xf numFmtId="166" fontId="3" fillId="7" borderId="25" xfId="0" applyNumberFormat="1" applyFont="1" applyFill="1" applyBorder="1" applyAlignment="1">
      <alignment vertical="top" wrapText="1"/>
    </xf>
    <xf numFmtId="166" fontId="2" fillId="7" borderId="26" xfId="0" applyNumberFormat="1" applyFont="1" applyFill="1" applyBorder="1" applyAlignment="1">
      <alignment horizontal="left" vertical="top" wrapText="1"/>
    </xf>
    <xf numFmtId="0" fontId="8" fillId="7" borderId="18" xfId="0" applyFont="1" applyFill="1" applyBorder="1" applyAlignment="1">
      <alignment horizontal="left" vertical="top" wrapText="1"/>
    </xf>
    <xf numFmtId="166" fontId="3" fillId="7" borderId="11" xfId="0" applyNumberFormat="1" applyFont="1" applyFill="1" applyBorder="1" applyAlignment="1">
      <alignment vertical="top" wrapText="1"/>
    </xf>
    <xf numFmtId="0" fontId="0" fillId="7" borderId="28" xfId="0" applyFill="1" applyBorder="1" applyAlignment="1">
      <alignment vertical="top" wrapText="1"/>
    </xf>
    <xf numFmtId="49" fontId="3" fillId="2" borderId="11" xfId="0" applyNumberFormat="1" applyFont="1" applyFill="1" applyBorder="1" applyAlignment="1">
      <alignment horizontal="center" vertical="top"/>
    </xf>
    <xf numFmtId="0" fontId="8" fillId="7" borderId="49" xfId="0" applyFont="1" applyFill="1" applyBorder="1" applyAlignment="1">
      <alignment vertical="top" wrapText="1"/>
    </xf>
    <xf numFmtId="0" fontId="8" fillId="7" borderId="35" xfId="0" applyFont="1" applyFill="1" applyBorder="1" applyAlignment="1">
      <alignment vertical="top" wrapText="1"/>
    </xf>
    <xf numFmtId="0" fontId="0" fillId="0" borderId="11" xfId="0" applyBorder="1" applyAlignment="1">
      <alignment horizontal="center" vertical="center" wrapText="1"/>
    </xf>
    <xf numFmtId="0" fontId="0" fillId="0" borderId="28" xfId="0" applyBorder="1" applyAlignment="1">
      <alignment horizontal="center" vertical="center" wrapText="1"/>
    </xf>
    <xf numFmtId="3" fontId="2" fillId="7" borderId="18" xfId="0" applyNumberFormat="1" applyFont="1" applyFill="1" applyBorder="1" applyAlignment="1">
      <alignment horizontal="center" vertical="top"/>
    </xf>
    <xf numFmtId="3" fontId="8" fillId="7" borderId="18" xfId="0" applyNumberFormat="1" applyFont="1" applyFill="1" applyBorder="1" applyAlignment="1">
      <alignment vertical="top"/>
    </xf>
    <xf numFmtId="166" fontId="8" fillId="7" borderId="28" xfId="0" applyNumberFormat="1" applyFont="1" applyFill="1" applyBorder="1" applyAlignment="1">
      <alignment vertical="top" wrapText="1"/>
    </xf>
    <xf numFmtId="166" fontId="2" fillId="7" borderId="35" xfId="0" applyNumberFormat="1" applyFont="1" applyFill="1" applyBorder="1" applyAlignment="1">
      <alignment vertical="top" wrapText="1"/>
    </xf>
    <xf numFmtId="166" fontId="2" fillId="7" borderId="48" xfId="0" applyNumberFormat="1" applyFont="1" applyFill="1" applyBorder="1" applyAlignment="1">
      <alignment vertical="top" wrapText="1"/>
    </xf>
    <xf numFmtId="166" fontId="8" fillId="7" borderId="19" xfId="0" applyNumberFormat="1" applyFont="1" applyFill="1" applyBorder="1" applyAlignment="1">
      <alignment vertical="top" wrapText="1"/>
    </xf>
    <xf numFmtId="166" fontId="3" fillId="9" borderId="5"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2" fillId="7" borderId="42" xfId="0" applyNumberFormat="1" applyFont="1" applyFill="1" applyBorder="1" applyAlignment="1">
      <alignment vertical="top" wrapText="1"/>
    </xf>
    <xf numFmtId="166" fontId="2" fillId="7" borderId="57" xfId="0" applyNumberFormat="1" applyFont="1" applyFill="1" applyBorder="1" applyAlignment="1">
      <alignment vertical="top" wrapText="1"/>
    </xf>
    <xf numFmtId="166" fontId="3" fillId="7" borderId="42" xfId="0" applyNumberFormat="1" applyFont="1" applyFill="1" applyBorder="1" applyAlignment="1">
      <alignment horizontal="center" vertical="top"/>
    </xf>
    <xf numFmtId="166" fontId="3" fillId="7" borderId="57" xfId="0" applyNumberFormat="1" applyFont="1" applyFill="1" applyBorder="1" applyAlignment="1">
      <alignment horizontal="center" vertical="top"/>
    </xf>
    <xf numFmtId="3" fontId="2" fillId="7" borderId="31" xfId="0" applyNumberFormat="1" applyFont="1" applyFill="1" applyBorder="1" applyAlignment="1">
      <alignment horizontal="left" vertical="top" wrapText="1"/>
    </xf>
    <xf numFmtId="0" fontId="8" fillId="7" borderId="11" xfId="0" applyFont="1" applyFill="1" applyBorder="1" applyAlignment="1">
      <alignment vertical="top" wrapText="1"/>
    </xf>
    <xf numFmtId="166" fontId="2" fillId="7" borderId="11" xfId="0" applyNumberFormat="1" applyFont="1" applyFill="1" applyBorder="1" applyAlignment="1">
      <alignment horizontal="center" vertical="center" textRotation="90" wrapText="1"/>
    </xf>
    <xf numFmtId="0" fontId="0" fillId="0" borderId="11" xfId="0" applyBorder="1" applyAlignment="1">
      <alignment horizontal="center" wrapText="1"/>
    </xf>
    <xf numFmtId="0" fontId="8" fillId="7" borderId="28" xfId="0" applyFont="1" applyFill="1" applyBorder="1" applyAlignment="1">
      <alignment vertical="top" wrapText="1"/>
    </xf>
    <xf numFmtId="166" fontId="2" fillId="7" borderId="11" xfId="0" applyNumberFormat="1" applyFont="1" applyFill="1" applyBorder="1" applyAlignment="1">
      <alignment horizontal="center" vertical="center" textRotation="90"/>
    </xf>
    <xf numFmtId="166" fontId="2" fillId="7" borderId="28" xfId="0" applyNumberFormat="1" applyFont="1" applyFill="1" applyBorder="1" applyAlignment="1">
      <alignment horizontal="center" vertical="center" textRotation="90"/>
    </xf>
    <xf numFmtId="166" fontId="2" fillId="7" borderId="20" xfId="0" applyNumberFormat="1" applyFont="1" applyFill="1" applyBorder="1" applyAlignment="1">
      <alignment horizontal="center" vertical="center" textRotation="90"/>
    </xf>
    <xf numFmtId="49" fontId="3" fillId="7" borderId="49" xfId="0" applyNumberFormat="1" applyFont="1" applyFill="1" applyBorder="1" applyAlignment="1">
      <alignment horizontal="center" vertical="top"/>
    </xf>
    <xf numFmtId="166" fontId="6" fillId="7" borderId="20" xfId="0" applyNumberFormat="1" applyFont="1" applyFill="1" applyBorder="1" applyAlignment="1">
      <alignment horizontal="center" vertical="center" textRotation="90" wrapText="1"/>
    </xf>
    <xf numFmtId="0" fontId="8" fillId="0" borderId="11" xfId="0" applyFont="1" applyBorder="1" applyAlignment="1">
      <alignment vertical="center" textRotation="90" wrapText="1"/>
    </xf>
    <xf numFmtId="0" fontId="8" fillId="7" borderId="27" xfId="0" applyFont="1" applyFill="1" applyBorder="1" applyAlignment="1">
      <alignment horizontal="left" vertical="top" wrapText="1"/>
    </xf>
    <xf numFmtId="166" fontId="2" fillId="0" borderId="48" xfId="0" applyNumberFormat="1" applyFont="1" applyFill="1" applyBorder="1" applyAlignment="1">
      <alignment horizontal="left" vertical="top" wrapText="1"/>
    </xf>
    <xf numFmtId="0" fontId="0" fillId="0" borderId="19" xfId="0" applyBorder="1" applyAlignment="1">
      <alignment vertical="top"/>
    </xf>
    <xf numFmtId="166" fontId="2" fillId="0" borderId="46" xfId="0" applyNumberFormat="1" applyFont="1" applyFill="1" applyBorder="1" applyAlignment="1">
      <alignment horizontal="left" vertical="top" wrapText="1"/>
    </xf>
    <xf numFmtId="166" fontId="2" fillId="0" borderId="19" xfId="0" applyNumberFormat="1" applyFont="1" applyFill="1" applyBorder="1" applyAlignment="1">
      <alignment horizontal="left" vertical="top" wrapText="1"/>
    </xf>
    <xf numFmtId="166" fontId="2" fillId="7" borderId="46" xfId="0" applyNumberFormat="1" applyFont="1" applyFill="1" applyBorder="1" applyAlignment="1">
      <alignment horizontal="left" vertical="top" wrapText="1"/>
    </xf>
    <xf numFmtId="0" fontId="0" fillId="0" borderId="96" xfId="0" applyBorder="1" applyAlignment="1">
      <alignment vertical="top" wrapText="1"/>
    </xf>
    <xf numFmtId="166" fontId="2" fillId="3" borderId="20" xfId="0" applyNumberFormat="1" applyFont="1" applyFill="1" applyBorder="1" applyAlignment="1">
      <alignment vertical="top" wrapText="1"/>
    </xf>
    <xf numFmtId="1" fontId="2" fillId="0" borderId="11" xfId="0" applyNumberFormat="1" applyFont="1" applyFill="1" applyBorder="1" applyAlignment="1">
      <alignment horizontal="center" vertical="top"/>
    </xf>
    <xf numFmtId="0" fontId="0" fillId="0" borderId="28" xfId="0" applyBorder="1" applyAlignment="1">
      <alignment vertical="top"/>
    </xf>
    <xf numFmtId="1" fontId="2" fillId="7" borderId="11" xfId="0" applyNumberFormat="1" applyFont="1" applyFill="1" applyBorder="1" applyAlignment="1">
      <alignment horizontal="center" vertical="top"/>
    </xf>
    <xf numFmtId="1" fontId="2" fillId="7" borderId="18" xfId="0" applyNumberFormat="1" applyFont="1" applyFill="1" applyBorder="1" applyAlignment="1">
      <alignment horizontal="center" vertical="top"/>
    </xf>
    <xf numFmtId="0" fontId="0" fillId="7" borderId="18" xfId="0" applyFill="1" applyBorder="1" applyAlignment="1">
      <alignment vertical="top"/>
    </xf>
    <xf numFmtId="166" fontId="8" fillId="7" borderId="35" xfId="0" applyNumberFormat="1" applyFont="1" applyFill="1" applyBorder="1" applyAlignment="1">
      <alignment vertical="top" wrapText="1"/>
    </xf>
    <xf numFmtId="166" fontId="2" fillId="7" borderId="48" xfId="0" applyNumberFormat="1" applyFont="1" applyFill="1" applyBorder="1" applyAlignment="1">
      <alignment horizontal="left" vertical="top" wrapText="1"/>
    </xf>
    <xf numFmtId="166" fontId="8" fillId="7" borderId="19" xfId="0" applyNumberFormat="1" applyFont="1" applyFill="1" applyBorder="1" applyAlignment="1">
      <alignment horizontal="left" vertical="top" wrapText="1"/>
    </xf>
    <xf numFmtId="0" fontId="0" fillId="0" borderId="30" xfId="0" applyFont="1" applyBorder="1" applyAlignment="1">
      <alignment vertical="top"/>
    </xf>
    <xf numFmtId="166" fontId="3" fillId="0" borderId="30" xfId="0" applyNumberFormat="1" applyFont="1" applyFill="1" applyBorder="1" applyAlignment="1">
      <alignment horizontal="center" vertical="top" wrapText="1"/>
    </xf>
    <xf numFmtId="166" fontId="3" fillId="0" borderId="35" xfId="0" applyNumberFormat="1" applyFont="1" applyBorder="1" applyAlignment="1">
      <alignment horizontal="center" vertical="top"/>
    </xf>
    <xf numFmtId="166" fontId="3" fillId="0" borderId="38" xfId="0" applyNumberFormat="1" applyFont="1" applyBorder="1" applyAlignment="1">
      <alignment horizontal="center" vertical="top"/>
    </xf>
    <xf numFmtId="166" fontId="3" fillId="0" borderId="64" xfId="0" applyNumberFormat="1" applyFont="1" applyBorder="1" applyAlignment="1">
      <alignment horizontal="center" vertical="top"/>
    </xf>
    <xf numFmtId="166" fontId="2" fillId="7" borderId="7" xfId="0" applyNumberFormat="1" applyFont="1" applyFill="1" applyBorder="1" applyAlignment="1">
      <alignment vertical="top" wrapText="1"/>
    </xf>
    <xf numFmtId="0" fontId="0" fillId="7" borderId="9" xfId="0" applyFill="1" applyBorder="1" applyAlignment="1">
      <alignment vertical="top" wrapText="1"/>
    </xf>
    <xf numFmtId="0" fontId="0" fillId="7" borderId="18" xfId="0" applyFill="1" applyBorder="1" applyAlignment="1">
      <alignment horizontal="left" vertical="top" wrapText="1"/>
    </xf>
    <xf numFmtId="3" fontId="2" fillId="7" borderId="26" xfId="0" applyNumberFormat="1" applyFont="1" applyFill="1" applyBorder="1" applyAlignment="1">
      <alignment horizontal="left" vertical="top" wrapText="1"/>
    </xf>
    <xf numFmtId="0" fontId="0" fillId="0" borderId="18" xfId="0" applyBorder="1" applyAlignment="1">
      <alignment horizontal="left" vertical="top" wrapText="1"/>
    </xf>
    <xf numFmtId="166" fontId="3" fillId="8" borderId="68" xfId="0" applyNumberFormat="1" applyFont="1" applyFill="1" applyBorder="1" applyAlignment="1">
      <alignment horizontal="right" vertical="top" wrapText="1"/>
    </xf>
    <xf numFmtId="166" fontId="8" fillId="8" borderId="63" xfId="0" applyNumberFormat="1" applyFont="1" applyFill="1" applyBorder="1" applyAlignment="1">
      <alignment horizontal="right" vertical="top" wrapText="1"/>
    </xf>
    <xf numFmtId="166" fontId="8" fillId="8" borderId="43" xfId="0" applyNumberFormat="1" applyFont="1" applyFill="1" applyBorder="1" applyAlignment="1">
      <alignment horizontal="right" vertical="top" wrapText="1"/>
    </xf>
    <xf numFmtId="166" fontId="2" fillId="7" borderId="65" xfId="0" applyNumberFormat="1" applyFont="1" applyFill="1" applyBorder="1" applyAlignment="1">
      <alignment horizontal="left" vertical="top" wrapText="1"/>
    </xf>
    <xf numFmtId="166" fontId="2" fillId="7" borderId="76" xfId="0" applyNumberFormat="1" applyFont="1" applyFill="1" applyBorder="1" applyAlignment="1">
      <alignment horizontal="left" vertical="top" wrapText="1"/>
    </xf>
    <xf numFmtId="166" fontId="2" fillId="7" borderId="54" xfId="0" applyNumberFormat="1" applyFont="1" applyFill="1" applyBorder="1" applyAlignment="1">
      <alignment horizontal="left" vertical="top" wrapText="1"/>
    </xf>
    <xf numFmtId="166" fontId="2" fillId="0" borderId="68" xfId="0" applyNumberFormat="1" applyFont="1" applyBorder="1" applyAlignment="1">
      <alignment horizontal="left" vertical="top" wrapText="1"/>
    </xf>
    <xf numFmtId="166" fontId="2" fillId="0" borderId="63" xfId="0" applyNumberFormat="1" applyFont="1" applyBorder="1" applyAlignment="1">
      <alignment horizontal="left" vertical="top" wrapText="1"/>
    </xf>
    <xf numFmtId="166" fontId="2" fillId="0" borderId="43" xfId="0" applyNumberFormat="1" applyFont="1" applyBorder="1" applyAlignment="1">
      <alignment horizontal="left" vertical="top" wrapText="1"/>
    </xf>
    <xf numFmtId="166" fontId="2" fillId="3" borderId="65" xfId="0" applyNumberFormat="1" applyFont="1" applyFill="1" applyBorder="1" applyAlignment="1">
      <alignment horizontal="left" vertical="top" wrapText="1"/>
    </xf>
    <xf numFmtId="166" fontId="2" fillId="3" borderId="76" xfId="0" applyNumberFormat="1" applyFont="1" applyFill="1" applyBorder="1" applyAlignment="1">
      <alignment horizontal="left" vertical="top" wrapText="1"/>
    </xf>
    <xf numFmtId="166" fontId="2" fillId="3" borderId="54" xfId="0" applyNumberFormat="1" applyFont="1" applyFill="1" applyBorder="1" applyAlignment="1">
      <alignment horizontal="left" vertical="top" wrapText="1"/>
    </xf>
    <xf numFmtId="166" fontId="3" fillId="2" borderId="32" xfId="0" applyNumberFormat="1" applyFont="1" applyFill="1" applyBorder="1" applyAlignment="1">
      <alignment horizontal="right" vertical="top"/>
    </xf>
    <xf numFmtId="166" fontId="2" fillId="2" borderId="56" xfId="0" applyNumberFormat="1" applyFont="1" applyFill="1" applyBorder="1" applyAlignment="1">
      <alignment horizontal="center" vertical="top" wrapText="1"/>
    </xf>
    <xf numFmtId="166" fontId="3" fillId="9" borderId="75" xfId="0" applyNumberFormat="1" applyFont="1" applyFill="1" applyBorder="1" applyAlignment="1">
      <alignment horizontal="right" vertical="top"/>
    </xf>
    <xf numFmtId="166" fontId="3" fillId="9" borderId="71" xfId="0" applyNumberFormat="1" applyFont="1" applyFill="1" applyBorder="1" applyAlignment="1">
      <alignment horizontal="right" vertical="top"/>
    </xf>
    <xf numFmtId="166" fontId="3" fillId="9" borderId="72" xfId="0" applyNumberFormat="1" applyFont="1" applyFill="1" applyBorder="1" applyAlignment="1">
      <alignment horizontal="right" vertical="top"/>
    </xf>
    <xf numFmtId="166" fontId="2" fillId="9" borderId="56" xfId="0" applyNumberFormat="1" applyFont="1" applyFill="1" applyBorder="1" applyAlignment="1">
      <alignment horizontal="center" vertical="top"/>
    </xf>
    <xf numFmtId="166" fontId="2" fillId="9" borderId="71" xfId="0" applyNumberFormat="1" applyFont="1" applyFill="1" applyBorder="1" applyAlignment="1">
      <alignment horizontal="center" vertical="top"/>
    </xf>
    <xf numFmtId="166" fontId="2" fillId="9" borderId="72" xfId="0" applyNumberFormat="1" applyFont="1" applyFill="1" applyBorder="1" applyAlignment="1">
      <alignment horizontal="center" vertical="top"/>
    </xf>
    <xf numFmtId="166" fontId="3" fillId="5" borderId="75" xfId="0" applyNumberFormat="1" applyFont="1" applyFill="1" applyBorder="1" applyAlignment="1">
      <alignment horizontal="right" vertical="top"/>
    </xf>
    <xf numFmtId="166" fontId="3" fillId="5" borderId="71" xfId="0" applyNumberFormat="1" applyFont="1" applyFill="1" applyBorder="1" applyAlignment="1">
      <alignment horizontal="right" vertical="top"/>
    </xf>
    <xf numFmtId="166" fontId="3" fillId="5" borderId="72" xfId="0" applyNumberFormat="1" applyFont="1" applyFill="1" applyBorder="1" applyAlignment="1">
      <alignment horizontal="right" vertical="top"/>
    </xf>
    <xf numFmtId="166" fontId="2" fillId="5" borderId="56" xfId="0" applyNumberFormat="1" applyFont="1" applyFill="1" applyBorder="1" applyAlignment="1">
      <alignment horizontal="center" vertical="top"/>
    </xf>
    <xf numFmtId="166" fontId="2" fillId="5" borderId="71" xfId="0" applyNumberFormat="1" applyFont="1" applyFill="1" applyBorder="1" applyAlignment="1">
      <alignment horizontal="center" vertical="top"/>
    </xf>
    <xf numFmtId="166" fontId="2" fillId="5" borderId="72" xfId="0" applyNumberFormat="1" applyFont="1" applyFill="1" applyBorder="1" applyAlignment="1">
      <alignment horizontal="center" vertical="top"/>
    </xf>
    <xf numFmtId="0" fontId="3" fillId="0" borderId="0" xfId="0" applyNumberFormat="1" applyFont="1" applyFill="1" applyAlignment="1">
      <alignment horizontal="center" vertical="top"/>
    </xf>
    <xf numFmtId="0" fontId="2" fillId="0" borderId="45" xfId="0" applyFont="1" applyBorder="1" applyAlignment="1">
      <alignment horizontal="center" vertical="center" textRotation="90" wrapText="1"/>
    </xf>
    <xf numFmtId="0" fontId="2" fillId="0" borderId="34" xfId="0" applyFont="1" applyBorder="1" applyAlignment="1">
      <alignment horizontal="center" vertical="center" textRotation="90" wrapText="1"/>
    </xf>
    <xf numFmtId="0" fontId="2" fillId="0" borderId="73" xfId="0" applyFont="1" applyBorder="1" applyAlignment="1">
      <alignment horizontal="center" vertical="center" textRotation="90" wrapText="1"/>
    </xf>
    <xf numFmtId="3" fontId="2" fillId="0" borderId="47" xfId="0" applyNumberFormat="1" applyFont="1" applyFill="1" applyBorder="1" applyAlignment="1">
      <alignment horizontal="center" vertical="top"/>
    </xf>
    <xf numFmtId="3" fontId="2" fillId="0" borderId="35" xfId="0" applyNumberFormat="1" applyFont="1" applyFill="1" applyBorder="1" applyAlignment="1">
      <alignment horizontal="center" vertical="top"/>
    </xf>
    <xf numFmtId="3" fontId="2" fillId="7" borderId="60" xfId="0" applyNumberFormat="1" applyFont="1" applyFill="1" applyBorder="1" applyAlignment="1">
      <alignment horizontal="center" vertical="top"/>
    </xf>
    <xf numFmtId="3" fontId="8" fillId="0" borderId="76" xfId="0" applyNumberFormat="1" applyFont="1" applyBorder="1" applyAlignment="1">
      <alignment vertical="top"/>
    </xf>
    <xf numFmtId="1" fontId="2" fillId="7" borderId="49" xfId="0" applyNumberFormat="1" applyFont="1" applyFill="1" applyBorder="1" applyAlignment="1">
      <alignment horizontal="center" vertical="top"/>
    </xf>
    <xf numFmtId="0" fontId="0" fillId="0" borderId="35" xfId="0" applyBorder="1" applyAlignment="1">
      <alignment vertical="top"/>
    </xf>
    <xf numFmtId="0" fontId="3" fillId="0" borderId="69" xfId="0" applyFont="1" applyBorder="1" applyAlignment="1">
      <alignment horizontal="center" vertical="center"/>
    </xf>
    <xf numFmtId="0" fontId="3" fillId="0" borderId="74" xfId="0" applyFont="1" applyBorder="1" applyAlignment="1">
      <alignment horizontal="center" vertical="center"/>
    </xf>
    <xf numFmtId="0" fontId="2" fillId="0" borderId="63" xfId="0" applyFont="1" applyBorder="1" applyAlignment="1">
      <alignment horizontal="center" vertical="center"/>
    </xf>
    <xf numFmtId="166" fontId="3" fillId="5" borderId="68" xfId="0" applyNumberFormat="1" applyFont="1" applyFill="1" applyBorder="1" applyAlignment="1">
      <alignment horizontal="right" vertical="top" wrapText="1"/>
    </xf>
    <xf numFmtId="166" fontId="3" fillId="5" borderId="63" xfId="0" applyNumberFormat="1" applyFont="1" applyFill="1" applyBorder="1" applyAlignment="1">
      <alignment horizontal="right" vertical="top" wrapText="1"/>
    </xf>
    <xf numFmtId="166" fontId="3" fillId="5" borderId="43" xfId="0" applyNumberFormat="1" applyFont="1" applyFill="1" applyBorder="1" applyAlignment="1">
      <alignment horizontal="right" vertical="top" wrapText="1"/>
    </xf>
    <xf numFmtId="166" fontId="2" fillId="3" borderId="68" xfId="0" applyNumberFormat="1" applyFont="1" applyFill="1" applyBorder="1" applyAlignment="1">
      <alignment horizontal="left" vertical="top" wrapText="1"/>
    </xf>
    <xf numFmtId="166" fontId="2" fillId="3" borderId="63" xfId="0" applyNumberFormat="1" applyFont="1" applyFill="1" applyBorder="1" applyAlignment="1">
      <alignment horizontal="left" vertical="top" wrapText="1"/>
    </xf>
    <xf numFmtId="166" fontId="2" fillId="3" borderId="43" xfId="0" applyNumberFormat="1" applyFont="1" applyFill="1" applyBorder="1" applyAlignment="1">
      <alignment horizontal="left" vertical="top" wrapText="1"/>
    </xf>
    <xf numFmtId="0" fontId="2" fillId="3" borderId="65" xfId="0" applyFont="1" applyFill="1" applyBorder="1" applyAlignment="1">
      <alignment horizontal="left" vertical="top" wrapText="1"/>
    </xf>
    <xf numFmtId="0" fontId="2" fillId="3" borderId="76" xfId="0" applyFont="1" applyFill="1" applyBorder="1" applyAlignment="1">
      <alignment horizontal="left" vertical="top" wrapText="1"/>
    </xf>
    <xf numFmtId="0" fontId="2" fillId="3" borderId="54" xfId="0" applyFont="1" applyFill="1" applyBorder="1" applyAlignment="1">
      <alignment horizontal="left" vertical="top" wrapText="1"/>
    </xf>
    <xf numFmtId="166" fontId="3" fillId="4" borderId="73" xfId="0" applyNumberFormat="1" applyFont="1" applyFill="1" applyBorder="1" applyAlignment="1">
      <alignment horizontal="right" vertical="top" wrapText="1"/>
    </xf>
    <xf numFmtId="166" fontId="3" fillId="4" borderId="32" xfId="0" applyNumberFormat="1" applyFont="1" applyFill="1" applyBorder="1" applyAlignment="1">
      <alignment horizontal="right" vertical="top" wrapText="1"/>
    </xf>
    <xf numFmtId="166" fontId="3" fillId="4" borderId="33" xfId="0" applyNumberFormat="1" applyFont="1" applyFill="1" applyBorder="1" applyAlignment="1">
      <alignment horizontal="right" vertical="top" wrapText="1"/>
    </xf>
    <xf numFmtId="166" fontId="2" fillId="7" borderId="68" xfId="0" applyNumberFormat="1" applyFont="1" applyFill="1" applyBorder="1" applyAlignment="1">
      <alignment horizontal="left" vertical="top" wrapText="1"/>
    </xf>
    <xf numFmtId="166" fontId="2" fillId="7" borderId="63" xfId="0" applyNumberFormat="1" applyFont="1" applyFill="1" applyBorder="1" applyAlignment="1">
      <alignment horizontal="left" vertical="top" wrapText="1"/>
    </xf>
    <xf numFmtId="166" fontId="2" fillId="7" borderId="43" xfId="0" applyNumberFormat="1" applyFont="1" applyFill="1" applyBorder="1" applyAlignment="1">
      <alignment horizontal="left" vertical="top" wrapText="1"/>
    </xf>
    <xf numFmtId="166" fontId="3" fillId="8" borderId="68" xfId="0" applyNumberFormat="1" applyFont="1" applyFill="1" applyBorder="1" applyAlignment="1">
      <alignment horizontal="left" vertical="top" wrapText="1"/>
    </xf>
    <xf numFmtId="166" fontId="3" fillId="8" borderId="63" xfId="0" applyNumberFormat="1" applyFont="1" applyFill="1" applyBorder="1" applyAlignment="1">
      <alignment horizontal="left" vertical="top" wrapText="1"/>
    </xf>
    <xf numFmtId="166" fontId="3" fillId="8" borderId="43" xfId="0" applyNumberFormat="1" applyFont="1" applyFill="1" applyBorder="1" applyAlignment="1">
      <alignment horizontal="left" vertical="top" wrapText="1"/>
    </xf>
    <xf numFmtId="166" fontId="2" fillId="8" borderId="68" xfId="0" applyNumberFormat="1" applyFont="1" applyFill="1" applyBorder="1" applyAlignment="1">
      <alignment horizontal="left" vertical="top" wrapText="1"/>
    </xf>
    <xf numFmtId="166" fontId="2" fillId="8" borderId="68" xfId="0" applyNumberFormat="1" applyFont="1" applyFill="1" applyBorder="1" applyAlignment="1">
      <alignment vertical="top" wrapText="1"/>
    </xf>
    <xf numFmtId="166" fontId="8" fillId="8" borderId="63" xfId="0" applyNumberFormat="1" applyFont="1" applyFill="1" applyBorder="1" applyAlignment="1">
      <alignment vertical="top" wrapText="1"/>
    </xf>
    <xf numFmtId="166" fontId="8" fillId="8" borderId="43" xfId="0" applyNumberFormat="1" applyFont="1" applyFill="1" applyBorder="1" applyAlignment="1">
      <alignment vertical="top" wrapText="1"/>
    </xf>
    <xf numFmtId="166" fontId="3" fillId="0" borderId="32" xfId="0" applyNumberFormat="1" applyFont="1" applyFill="1" applyBorder="1" applyAlignment="1">
      <alignment horizontal="center" vertical="top" wrapText="1"/>
    </xf>
    <xf numFmtId="3" fontId="3" fillId="7" borderId="56" xfId="0" applyNumberFormat="1" applyFont="1" applyFill="1" applyBorder="1" applyAlignment="1">
      <alignment horizontal="center" vertical="center" wrapText="1"/>
    </xf>
    <xf numFmtId="3" fontId="3" fillId="7" borderId="71" xfId="0" applyNumberFormat="1" applyFont="1" applyFill="1" applyBorder="1" applyAlignment="1">
      <alignment horizontal="center" vertical="center" wrapText="1"/>
    </xf>
    <xf numFmtId="3" fontId="3" fillId="7" borderId="72" xfId="0" applyNumberFormat="1" applyFont="1" applyFill="1" applyBorder="1" applyAlignment="1">
      <alignment horizontal="center" vertical="center" wrapText="1"/>
    </xf>
    <xf numFmtId="166" fontId="3" fillId="5" borderId="69" xfId="0" applyNumberFormat="1" applyFont="1" applyFill="1" applyBorder="1" applyAlignment="1">
      <alignment horizontal="right" vertical="top" wrapText="1"/>
    </xf>
    <xf numFmtId="166" fontId="3" fillId="5" borderId="74" xfId="0" applyNumberFormat="1" applyFont="1" applyFill="1" applyBorder="1" applyAlignment="1">
      <alignment horizontal="right" vertical="top" wrapText="1"/>
    </xf>
    <xf numFmtId="166" fontId="3" fillId="5" borderId="70" xfId="0" applyNumberFormat="1" applyFont="1" applyFill="1" applyBorder="1" applyAlignment="1">
      <alignment horizontal="right" vertical="top" wrapText="1"/>
    </xf>
    <xf numFmtId="166" fontId="3" fillId="3" borderId="49" xfId="0" applyNumberFormat="1" applyFont="1" applyFill="1" applyBorder="1" applyAlignment="1">
      <alignment horizontal="center" vertical="top"/>
    </xf>
    <xf numFmtId="0" fontId="0" fillId="7" borderId="81" xfId="0" applyFill="1" applyBorder="1" applyAlignment="1">
      <alignment horizontal="left" vertical="top" wrapText="1"/>
    </xf>
    <xf numFmtId="3" fontId="2" fillId="7" borderId="27" xfId="0" applyNumberFormat="1" applyFont="1" applyFill="1" applyBorder="1" applyAlignment="1">
      <alignment horizontal="left" vertical="top" wrapText="1"/>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166" fontId="3" fillId="3" borderId="25" xfId="0" applyNumberFormat="1" applyFont="1" applyFill="1" applyBorder="1" applyAlignment="1">
      <alignment vertical="top" wrapText="1"/>
    </xf>
    <xf numFmtId="0" fontId="0" fillId="0" borderId="28" xfId="0" applyBorder="1" applyAlignment="1">
      <alignment vertical="top" wrapText="1"/>
    </xf>
    <xf numFmtId="166" fontId="8" fillId="0" borderId="49" xfId="0" applyNumberFormat="1" applyFont="1" applyBorder="1" applyAlignment="1">
      <alignment horizontal="left" vertical="top" wrapText="1"/>
    </xf>
    <xf numFmtId="3" fontId="22" fillId="7" borderId="18" xfId="0" applyNumberFormat="1" applyFont="1" applyFill="1" applyBorder="1" applyAlignment="1">
      <alignment horizontal="center" vertical="top" wrapText="1"/>
    </xf>
    <xf numFmtId="0" fontId="0" fillId="0" borderId="18" xfId="0" applyBorder="1" applyAlignment="1">
      <alignment horizontal="center" vertical="top" wrapText="1"/>
    </xf>
    <xf numFmtId="0" fontId="0" fillId="0" borderId="29" xfId="0" applyBorder="1" applyAlignment="1">
      <alignment vertical="top"/>
    </xf>
    <xf numFmtId="166" fontId="8" fillId="7" borderId="49" xfId="0" applyNumberFormat="1" applyFont="1" applyFill="1" applyBorder="1" applyAlignment="1">
      <alignment horizontal="left" vertical="top" wrapText="1"/>
    </xf>
    <xf numFmtId="3" fontId="2" fillId="3" borderId="18" xfId="0" applyNumberFormat="1" applyFont="1" applyFill="1" applyBorder="1" applyAlignment="1">
      <alignment horizontal="left" vertical="top" wrapText="1"/>
    </xf>
    <xf numFmtId="0" fontId="2" fillId="0" borderId="27" xfId="0" applyFont="1" applyBorder="1" applyAlignment="1">
      <alignment vertical="top" wrapText="1"/>
    </xf>
    <xf numFmtId="0" fontId="8" fillId="7" borderId="27" xfId="0" applyFont="1" applyFill="1" applyBorder="1" applyAlignment="1">
      <alignment vertical="top" wrapText="1"/>
    </xf>
    <xf numFmtId="166" fontId="7" fillId="3" borderId="11" xfId="0" applyNumberFormat="1" applyFont="1" applyFill="1" applyBorder="1" applyAlignment="1">
      <alignment horizontal="left" vertical="top" wrapText="1"/>
    </xf>
    <xf numFmtId="0" fontId="8" fillId="0" borderId="11" xfId="0" applyFont="1" applyBorder="1" applyAlignment="1">
      <alignment horizontal="left" vertical="top" wrapText="1"/>
    </xf>
    <xf numFmtId="166" fontId="4" fillId="3" borderId="25" xfId="0" applyNumberFormat="1" applyFont="1" applyFill="1" applyBorder="1" applyAlignment="1">
      <alignment horizontal="center" vertical="center" textRotation="90" wrapText="1"/>
    </xf>
    <xf numFmtId="166" fontId="4" fillId="3" borderId="11" xfId="0" applyNumberFormat="1" applyFont="1" applyFill="1" applyBorder="1" applyAlignment="1">
      <alignment horizontal="center" vertical="center" textRotation="90" wrapText="1"/>
    </xf>
    <xf numFmtId="0" fontId="8" fillId="0" borderId="11" xfId="0" applyFont="1" applyBorder="1" applyAlignment="1">
      <alignment horizontal="center" vertical="center" textRotation="90" wrapText="1"/>
    </xf>
    <xf numFmtId="166" fontId="8" fillId="7" borderId="99" xfId="0" applyNumberFormat="1" applyFont="1" applyFill="1" applyBorder="1" applyAlignment="1">
      <alignment horizontal="left" vertical="top" wrapText="1"/>
    </xf>
    <xf numFmtId="49" fontId="3" fillId="7" borderId="49" xfId="0" applyNumberFormat="1" applyFont="1" applyFill="1" applyBorder="1" applyAlignment="1">
      <alignment horizontal="center" vertical="top" wrapText="1"/>
    </xf>
    <xf numFmtId="166" fontId="3" fillId="3" borderId="28" xfId="0" applyNumberFormat="1" applyFont="1" applyFill="1" applyBorder="1" applyAlignment="1">
      <alignment horizontal="center" vertical="top" wrapText="1"/>
    </xf>
    <xf numFmtId="166" fontId="3" fillId="3" borderId="47" xfId="0" applyNumberFormat="1" applyFont="1" applyFill="1" applyBorder="1" applyAlignment="1">
      <alignment horizontal="center" vertical="top" wrapText="1"/>
    </xf>
    <xf numFmtId="166" fontId="3" fillId="3" borderId="35" xfId="0" applyNumberFormat="1" applyFont="1" applyFill="1" applyBorder="1" applyAlignment="1">
      <alignment horizontal="center" vertical="top" wrapText="1"/>
    </xf>
    <xf numFmtId="0" fontId="2" fillId="7" borderId="11" xfId="0" applyFont="1" applyFill="1" applyBorder="1" applyAlignment="1">
      <alignment horizontal="center" vertical="top" wrapText="1"/>
    </xf>
    <xf numFmtId="3" fontId="13" fillId="7" borderId="20" xfId="0" applyNumberFormat="1" applyFont="1" applyFill="1" applyBorder="1" applyAlignment="1">
      <alignment horizontal="center" vertical="top" wrapText="1"/>
    </xf>
    <xf numFmtId="0" fontId="13" fillId="7" borderId="11" xfId="0" applyFont="1" applyFill="1" applyBorder="1" applyAlignment="1">
      <alignment horizontal="center" vertical="top" wrapText="1"/>
    </xf>
    <xf numFmtId="166" fontId="6" fillId="7" borderId="25" xfId="0" applyNumberFormat="1" applyFont="1" applyFill="1" applyBorder="1" applyAlignment="1">
      <alignment horizontal="center" vertical="center" textRotation="90" wrapText="1"/>
    </xf>
    <xf numFmtId="166" fontId="2" fillId="0" borderId="37" xfId="0" applyNumberFormat="1" applyFont="1" applyFill="1" applyBorder="1" applyAlignment="1">
      <alignment horizontal="left" vertical="top" wrapText="1"/>
    </xf>
    <xf numFmtId="166" fontId="2" fillId="0" borderId="29" xfId="0" applyNumberFormat="1" applyFont="1" applyFill="1" applyBorder="1" applyAlignment="1">
      <alignment horizontal="left" vertical="top" wrapText="1"/>
    </xf>
    <xf numFmtId="0" fontId="2" fillId="7" borderId="18" xfId="0" applyFont="1" applyFill="1" applyBorder="1" applyAlignment="1">
      <alignment horizontal="left" vertical="top" wrapText="1"/>
    </xf>
    <xf numFmtId="0" fontId="2" fillId="7" borderId="27" xfId="0" applyFont="1" applyFill="1" applyBorder="1" applyAlignment="1">
      <alignment horizontal="left" vertical="top" wrapText="1"/>
    </xf>
    <xf numFmtId="0" fontId="0" fillId="7" borderId="27" xfId="0" applyFill="1" applyBorder="1" applyAlignment="1">
      <alignment horizontal="left" vertical="top" wrapText="1"/>
    </xf>
    <xf numFmtId="166" fontId="2" fillId="7" borderId="93" xfId="0" applyNumberFormat="1" applyFont="1" applyFill="1" applyBorder="1" applyAlignment="1">
      <alignment horizontal="left" vertical="top" wrapText="1"/>
    </xf>
    <xf numFmtId="49" fontId="2" fillId="7" borderId="105" xfId="0" applyNumberFormat="1" applyFont="1" applyFill="1" applyBorder="1" applyAlignment="1">
      <alignment vertical="top" wrapText="1"/>
    </xf>
    <xf numFmtId="0" fontId="2" fillId="7" borderId="105" xfId="0" applyNumberFormat="1" applyFont="1" applyFill="1" applyBorder="1" applyAlignment="1">
      <alignment horizontal="left" vertical="top" wrapText="1"/>
    </xf>
    <xf numFmtId="0" fontId="0" fillId="7" borderId="28" xfId="0" applyFill="1" applyBorder="1" applyAlignment="1">
      <alignment horizontal="left" vertical="top" wrapText="1"/>
    </xf>
    <xf numFmtId="0" fontId="2" fillId="7" borderId="108" xfId="0" applyFont="1" applyFill="1" applyBorder="1" applyAlignment="1">
      <alignment vertical="top" wrapText="1"/>
    </xf>
    <xf numFmtId="0" fontId="2" fillId="0" borderId="18" xfId="0" applyFont="1" applyBorder="1" applyAlignment="1">
      <alignment vertical="top" wrapText="1"/>
    </xf>
    <xf numFmtId="166" fontId="22" fillId="7" borderId="48" xfId="0" applyNumberFormat="1" applyFont="1" applyFill="1" applyBorder="1" applyAlignment="1">
      <alignment horizontal="left" vertical="top" wrapText="1"/>
    </xf>
    <xf numFmtId="0" fontId="0" fillId="0" borderId="19" xfId="0" applyBorder="1" applyAlignment="1">
      <alignment horizontal="left" vertical="top" wrapText="1"/>
    </xf>
    <xf numFmtId="0" fontId="2" fillId="7" borderId="46" xfId="0" applyFont="1" applyFill="1" applyBorder="1" applyAlignment="1">
      <alignment vertical="top" wrapText="1"/>
    </xf>
    <xf numFmtId="0" fontId="8" fillId="7" borderId="48" xfId="0" applyFont="1" applyFill="1" applyBorder="1" applyAlignment="1">
      <alignment vertical="top" wrapText="1"/>
    </xf>
    <xf numFmtId="0" fontId="18" fillId="7" borderId="48" xfId="0" applyFont="1" applyFill="1" applyBorder="1" applyAlignment="1">
      <alignment vertical="top" wrapText="1"/>
    </xf>
    <xf numFmtId="0" fontId="18" fillId="7" borderId="19" xfId="0" applyFont="1" applyFill="1" applyBorder="1" applyAlignment="1">
      <alignment vertical="top" wrapText="1"/>
    </xf>
    <xf numFmtId="166" fontId="2" fillId="7" borderId="104" xfId="0" applyNumberFormat="1" applyFont="1" applyFill="1" applyBorder="1" applyAlignment="1">
      <alignment horizontal="left" vertical="top" wrapText="1"/>
    </xf>
    <xf numFmtId="0" fontId="8" fillId="0" borderId="29" xfId="0" applyFont="1" applyBorder="1" applyAlignment="1">
      <alignment vertical="top" wrapText="1"/>
    </xf>
    <xf numFmtId="166" fontId="26" fillId="7" borderId="48" xfId="0" applyNumberFormat="1" applyFont="1" applyFill="1" applyBorder="1" applyAlignment="1">
      <alignment horizontal="left" vertical="top" wrapText="1"/>
    </xf>
    <xf numFmtId="166" fontId="3" fillId="2" borderId="4" xfId="0" applyNumberFormat="1" applyFont="1" applyFill="1" applyBorder="1" applyAlignment="1">
      <alignment horizontal="left" vertical="top"/>
    </xf>
    <xf numFmtId="166" fontId="3" fillId="2" borderId="25" xfId="0" applyNumberFormat="1" applyFont="1" applyFill="1" applyBorder="1" applyAlignment="1">
      <alignment horizontal="left" vertical="top"/>
    </xf>
    <xf numFmtId="166" fontId="3" fillId="2" borderId="77" xfId="0" applyNumberFormat="1" applyFont="1" applyFill="1" applyBorder="1" applyAlignment="1">
      <alignment horizontal="left" vertical="top"/>
    </xf>
    <xf numFmtId="166" fontId="2" fillId="7" borderId="37" xfId="0" applyNumberFormat="1" applyFont="1" applyFill="1" applyBorder="1" applyAlignment="1">
      <alignment vertical="top" wrapText="1"/>
    </xf>
    <xf numFmtId="0" fontId="0" fillId="0" borderId="29" xfId="0" applyBorder="1" applyAlignment="1">
      <alignment vertical="top" wrapText="1"/>
    </xf>
    <xf numFmtId="0" fontId="2" fillId="7" borderId="37" xfId="0" applyFont="1" applyFill="1" applyBorder="1" applyAlignment="1">
      <alignment vertical="top" wrapText="1"/>
    </xf>
    <xf numFmtId="0" fontId="2" fillId="7" borderId="7" xfId="0" applyFont="1" applyFill="1" applyBorder="1" applyAlignment="1">
      <alignment horizontal="left" vertical="top" wrapText="1"/>
    </xf>
    <xf numFmtId="49" fontId="13" fillId="7" borderId="11" xfId="0" applyNumberFormat="1" applyFont="1" applyFill="1" applyBorder="1" applyAlignment="1">
      <alignment horizontal="center" vertical="top" wrapText="1"/>
    </xf>
    <xf numFmtId="49" fontId="13" fillId="7" borderId="28" xfId="0" applyNumberFormat="1" applyFont="1" applyFill="1" applyBorder="1" applyAlignment="1">
      <alignment horizontal="center" vertical="top" wrapText="1"/>
    </xf>
    <xf numFmtId="3" fontId="2" fillId="0" borderId="20" xfId="0" applyNumberFormat="1" applyFont="1" applyFill="1" applyBorder="1" applyAlignment="1">
      <alignment horizontal="center" vertical="top"/>
    </xf>
    <xf numFmtId="3" fontId="2" fillId="0" borderId="28"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0" borderId="18" xfId="0" applyNumberFormat="1" applyFont="1" applyFill="1" applyBorder="1" applyAlignment="1">
      <alignment horizontal="center" vertical="top"/>
    </xf>
    <xf numFmtId="0" fontId="0" fillId="7" borderId="48" xfId="0" applyFill="1" applyBorder="1" applyAlignment="1">
      <alignment horizontal="left" vertical="top" wrapText="1"/>
    </xf>
    <xf numFmtId="0" fontId="2" fillId="0" borderId="0" xfId="0" applyFont="1" applyAlignment="1">
      <alignment horizontal="center" vertical="center"/>
    </xf>
    <xf numFmtId="166" fontId="7" fillId="3" borderId="28" xfId="0" applyNumberFormat="1" applyFont="1" applyFill="1" applyBorder="1" applyAlignment="1">
      <alignment horizontal="left" vertical="top" wrapText="1"/>
    </xf>
    <xf numFmtId="166" fontId="3" fillId="7" borderId="25" xfId="0" applyNumberFormat="1" applyFont="1" applyFill="1" applyBorder="1" applyAlignment="1">
      <alignment horizontal="left" vertical="top" wrapText="1"/>
    </xf>
    <xf numFmtId="166" fontId="3" fillId="7" borderId="11" xfId="0" applyNumberFormat="1" applyFont="1" applyFill="1" applyBorder="1" applyAlignment="1">
      <alignment horizontal="left" vertical="top" wrapText="1"/>
    </xf>
    <xf numFmtId="166" fontId="3" fillId="7" borderId="28" xfId="0" applyNumberFormat="1" applyFont="1" applyFill="1" applyBorder="1" applyAlignment="1">
      <alignment horizontal="left" vertical="top" wrapText="1"/>
    </xf>
    <xf numFmtId="0" fontId="2" fillId="0" borderId="40" xfId="0" applyFont="1" applyBorder="1" applyAlignment="1">
      <alignment horizontal="center" vertical="center" textRotation="90" wrapText="1"/>
    </xf>
    <xf numFmtId="0" fontId="2" fillId="0" borderId="6" xfId="0" applyFont="1" applyBorder="1" applyAlignment="1">
      <alignment horizontal="center" vertical="center" textRotation="90" wrapText="1"/>
    </xf>
    <xf numFmtId="0" fontId="2" fillId="0" borderId="67" xfId="0" applyFont="1" applyBorder="1" applyAlignment="1">
      <alignment horizontal="center" vertical="center" textRotation="90" wrapText="1"/>
    </xf>
    <xf numFmtId="0" fontId="3" fillId="0" borderId="70" xfId="0" applyFont="1" applyBorder="1" applyAlignment="1">
      <alignment horizontal="center" vertical="center"/>
    </xf>
    <xf numFmtId="0" fontId="2" fillId="0" borderId="43" xfId="0" applyFont="1" applyBorder="1" applyAlignment="1">
      <alignment horizontal="center" vertical="center"/>
    </xf>
    <xf numFmtId="3" fontId="2" fillId="0" borderId="42" xfId="0" applyNumberFormat="1" applyFont="1" applyBorder="1" applyAlignment="1">
      <alignment horizontal="center" vertical="center" textRotation="90" shrinkToFit="1"/>
    </xf>
    <xf numFmtId="3" fontId="2" fillId="0" borderId="49" xfId="0" applyNumberFormat="1" applyFont="1" applyBorder="1" applyAlignment="1">
      <alignment horizontal="center" vertical="center" textRotation="90" shrinkToFit="1"/>
    </xf>
    <xf numFmtId="3" fontId="2" fillId="0" borderId="57" xfId="0" applyNumberFormat="1" applyFont="1" applyBorder="1" applyAlignment="1">
      <alignment horizontal="center" vertical="center" textRotation="90" shrinkToFit="1"/>
    </xf>
    <xf numFmtId="3" fontId="2" fillId="0" borderId="42" xfId="0" applyNumberFormat="1" applyFont="1" applyBorder="1" applyAlignment="1">
      <alignment horizontal="center" vertical="center" textRotation="90" wrapText="1"/>
    </xf>
    <xf numFmtId="3" fontId="2" fillId="0" borderId="49" xfId="0" applyNumberFormat="1" applyFont="1" applyBorder="1" applyAlignment="1">
      <alignment horizontal="center" vertical="center" textRotation="90" wrapText="1"/>
    </xf>
    <xf numFmtId="3" fontId="2" fillId="0" borderId="57" xfId="0" applyNumberFormat="1" applyFont="1" applyBorder="1" applyAlignment="1">
      <alignment horizontal="center" vertical="center" textRotation="90" wrapText="1"/>
    </xf>
    <xf numFmtId="3" fontId="2" fillId="0" borderId="40" xfId="0" applyNumberFormat="1" applyFont="1" applyBorder="1" applyAlignment="1">
      <alignment horizontal="center" vertical="center" textRotation="90" wrapText="1" shrinkToFit="1"/>
    </xf>
    <xf numFmtId="3" fontId="2" fillId="0" borderId="6" xfId="0" applyNumberFormat="1" applyFont="1" applyBorder="1" applyAlignment="1">
      <alignment horizontal="center" vertical="center" textRotation="90" wrapText="1" shrinkToFit="1"/>
    </xf>
    <xf numFmtId="3" fontId="2" fillId="0" borderId="67" xfId="0" applyNumberFormat="1" applyFont="1" applyBorder="1" applyAlignment="1">
      <alignment horizontal="center" vertical="center" textRotation="90" wrapText="1" shrinkToFit="1"/>
    </xf>
    <xf numFmtId="3" fontId="2" fillId="0" borderId="5" xfId="0" applyNumberFormat="1" applyFont="1" applyBorder="1" applyAlignment="1">
      <alignment horizontal="center" vertical="center" textRotation="90" shrinkToFit="1"/>
    </xf>
    <xf numFmtId="3" fontId="2" fillId="0" borderId="7" xfId="0" applyNumberFormat="1" applyFont="1" applyBorder="1" applyAlignment="1">
      <alignment horizontal="center" vertical="center" textRotation="90" shrinkToFit="1"/>
    </xf>
    <xf numFmtId="3" fontId="2" fillId="0" borderId="9" xfId="0" applyNumberFormat="1" applyFont="1" applyBorder="1" applyAlignment="1">
      <alignment horizontal="center" vertical="center" textRotation="90" shrinkToFit="1"/>
    </xf>
    <xf numFmtId="3" fontId="2" fillId="0" borderId="25" xfId="0" applyNumberFormat="1" applyFont="1" applyBorder="1" applyAlignment="1">
      <alignment horizontal="center" vertical="center" textRotation="90" shrinkToFit="1"/>
    </xf>
    <xf numFmtId="3" fontId="2" fillId="0" borderId="11" xfId="0" applyNumberFormat="1" applyFont="1" applyBorder="1" applyAlignment="1">
      <alignment horizontal="center" vertical="center" textRotation="90" shrinkToFit="1"/>
    </xf>
    <xf numFmtId="3" fontId="2" fillId="0" borderId="30" xfId="0" applyNumberFormat="1" applyFont="1" applyBorder="1" applyAlignment="1">
      <alignment horizontal="center" vertical="center" textRotation="90" shrinkToFit="1"/>
    </xf>
    <xf numFmtId="3" fontId="2" fillId="0" borderId="42" xfId="0" applyNumberFormat="1" applyFont="1" applyBorder="1" applyAlignment="1">
      <alignment horizontal="center" vertical="center" shrinkToFit="1"/>
    </xf>
    <xf numFmtId="3" fontId="2" fillId="0" borderId="49" xfId="0" applyNumberFormat="1" applyFont="1" applyBorder="1" applyAlignment="1">
      <alignment horizontal="center" vertical="center" shrinkToFit="1"/>
    </xf>
    <xf numFmtId="3" fontId="2" fillId="0" borderId="57" xfId="0" applyNumberFormat="1" applyFont="1" applyBorder="1" applyAlignment="1">
      <alignment horizontal="center" vertical="center" shrinkToFit="1"/>
    </xf>
    <xf numFmtId="166" fontId="2" fillId="7" borderId="37" xfId="0" applyNumberFormat="1" applyFont="1" applyFill="1" applyBorder="1" applyAlignment="1">
      <alignment horizontal="left" vertical="top" wrapText="1"/>
    </xf>
    <xf numFmtId="0" fontId="0" fillId="0" borderId="7" xfId="0" applyBorder="1" applyAlignment="1">
      <alignment horizontal="left" vertical="top" wrapText="1"/>
    </xf>
    <xf numFmtId="0" fontId="8" fillId="0" borderId="80" xfId="0" applyFont="1" applyBorder="1" applyAlignment="1">
      <alignment vertical="top" wrapText="1"/>
    </xf>
    <xf numFmtId="0" fontId="0" fillId="0" borderId="11" xfId="0" applyBorder="1" applyAlignment="1">
      <alignment textRotation="90" wrapText="1"/>
    </xf>
    <xf numFmtId="166" fontId="3" fillId="7" borderId="11" xfId="0" applyNumberFormat="1" applyFont="1" applyFill="1" applyBorder="1" applyAlignment="1">
      <alignment horizontal="center" vertical="center" textRotation="90" wrapText="1"/>
    </xf>
    <xf numFmtId="0" fontId="8" fillId="7" borderId="11" xfId="0" applyFont="1" applyFill="1" applyBorder="1" applyAlignment="1">
      <alignment horizontal="left" vertical="top" wrapText="1"/>
    </xf>
    <xf numFmtId="0" fontId="2" fillId="7" borderId="37" xfId="0" applyFont="1" applyFill="1" applyBorder="1" applyAlignment="1">
      <alignment horizontal="left" vertical="top" wrapText="1"/>
    </xf>
    <xf numFmtId="0" fontId="8" fillId="7" borderId="7" xfId="0" applyFont="1" applyFill="1" applyBorder="1" applyAlignment="1">
      <alignment horizontal="left" vertical="top" wrapText="1"/>
    </xf>
    <xf numFmtId="0" fontId="0" fillId="0" borderId="80" xfId="0" applyBorder="1" applyAlignment="1">
      <alignment horizontal="left" vertical="top" wrapText="1"/>
    </xf>
    <xf numFmtId="166" fontId="4" fillId="0" borderId="25" xfId="0" applyNumberFormat="1" applyFont="1" applyFill="1" applyBorder="1" applyAlignment="1">
      <alignment horizontal="center" vertical="center" textRotation="90" wrapText="1" shrinkToFit="1"/>
    </xf>
    <xf numFmtId="0" fontId="0" fillId="0" borderId="11" xfId="0" applyBorder="1" applyAlignment="1">
      <alignment horizontal="center" vertical="center" textRotation="90" wrapText="1" shrinkToFit="1"/>
    </xf>
    <xf numFmtId="0" fontId="0" fillId="0" borderId="28" xfId="0" applyBorder="1" applyAlignment="1">
      <alignment horizontal="center" vertical="center" textRotation="90" wrapText="1" shrinkToFit="1"/>
    </xf>
    <xf numFmtId="0" fontId="0" fillId="7" borderId="11" xfId="0" applyFill="1" applyBorder="1" applyAlignment="1">
      <alignment horizontal="center" vertical="center" textRotation="90" wrapText="1"/>
    </xf>
    <xf numFmtId="0" fontId="8" fillId="0" borderId="7" xfId="0" applyFont="1" applyBorder="1" applyAlignment="1">
      <alignment horizontal="left" vertical="top" wrapText="1"/>
    </xf>
    <xf numFmtId="166" fontId="3" fillId="7" borderId="20"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166" fontId="3" fillId="3" borderId="21" xfId="0" applyNumberFormat="1" applyFont="1" applyFill="1" applyBorder="1" applyAlignment="1">
      <alignment horizontal="center" vertical="top"/>
    </xf>
    <xf numFmtId="166" fontId="3" fillId="3" borderId="27" xfId="0" applyNumberFormat="1" applyFont="1" applyFill="1" applyBorder="1" applyAlignment="1">
      <alignment horizontal="center" vertical="top"/>
    </xf>
    <xf numFmtId="166" fontId="3" fillId="3" borderId="25" xfId="0" applyNumberFormat="1" applyFont="1" applyFill="1" applyBorder="1" applyAlignment="1">
      <alignment horizontal="center" vertical="center" textRotation="90" wrapText="1"/>
    </xf>
    <xf numFmtId="0" fontId="8" fillId="0" borderId="28" xfId="0" applyFont="1" applyBorder="1" applyAlignment="1">
      <alignment horizontal="center" vertical="center" textRotation="90" wrapText="1"/>
    </xf>
    <xf numFmtId="0" fontId="8" fillId="0" borderId="11" xfId="0" applyFont="1" applyBorder="1" applyAlignment="1">
      <alignment horizontal="center" vertical="top" wrapText="1"/>
    </xf>
    <xf numFmtId="3" fontId="2" fillId="7" borderId="11" xfId="0" applyNumberFormat="1" applyFont="1" applyFill="1" applyBorder="1" applyAlignment="1">
      <alignment horizontal="center" vertical="top" wrapText="1"/>
    </xf>
    <xf numFmtId="49" fontId="2" fillId="7" borderId="7" xfId="0" applyNumberFormat="1" applyFont="1" applyFill="1" applyBorder="1" applyAlignment="1">
      <alignment horizontal="left" vertical="top" wrapText="1"/>
    </xf>
    <xf numFmtId="166" fontId="8" fillId="7" borderId="35" xfId="0" applyNumberFormat="1" applyFont="1" applyFill="1" applyBorder="1" applyAlignment="1">
      <alignment horizontal="left" vertical="top" wrapText="1"/>
    </xf>
    <xf numFmtId="49" fontId="2" fillId="7" borderId="11" xfId="0" applyNumberFormat="1" applyFont="1" applyFill="1" applyBorder="1" applyAlignment="1">
      <alignment vertical="top" wrapText="1"/>
    </xf>
    <xf numFmtId="0" fontId="8" fillId="0" borderId="29" xfId="0" applyFont="1" applyBorder="1" applyAlignment="1">
      <alignment horizontal="left" vertical="top" wrapText="1"/>
    </xf>
    <xf numFmtId="0" fontId="0" fillId="0" borderId="11" xfId="0" applyBorder="1" applyAlignment="1">
      <alignment horizontal="center" vertical="top" wrapText="1"/>
    </xf>
    <xf numFmtId="0" fontId="0" fillId="7" borderId="7" xfId="0" applyFill="1" applyBorder="1" applyAlignment="1">
      <alignment vertical="top" wrapText="1"/>
    </xf>
    <xf numFmtId="166" fontId="22" fillId="7" borderId="7" xfId="0" applyNumberFormat="1" applyFont="1" applyFill="1" applyBorder="1" applyAlignment="1">
      <alignment horizontal="left" vertical="top" wrapText="1"/>
    </xf>
    <xf numFmtId="166" fontId="26" fillId="7" borderId="7" xfId="0" applyNumberFormat="1" applyFont="1" applyFill="1" applyBorder="1" applyAlignment="1">
      <alignment horizontal="left" vertical="top" wrapText="1"/>
    </xf>
    <xf numFmtId="3" fontId="2" fillId="0" borderId="27" xfId="0" applyNumberFormat="1" applyFont="1" applyFill="1" applyBorder="1" applyAlignment="1">
      <alignment horizontal="center" vertical="top"/>
    </xf>
    <xf numFmtId="0" fontId="2" fillId="7" borderId="41" xfId="0" applyFont="1" applyFill="1" applyBorder="1" applyAlignment="1">
      <alignment vertical="top" wrapText="1"/>
    </xf>
    <xf numFmtId="0" fontId="2" fillId="7" borderId="48" xfId="0" applyFont="1" applyFill="1" applyBorder="1" applyAlignment="1">
      <alignment vertical="top" wrapText="1"/>
    </xf>
    <xf numFmtId="0" fontId="0" fillId="7" borderId="48" xfId="0" applyFill="1" applyBorder="1" applyAlignment="1">
      <alignment vertical="top" wrapText="1"/>
    </xf>
    <xf numFmtId="166" fontId="2" fillId="7" borderId="25" xfId="0" applyNumberFormat="1" applyFont="1" applyFill="1" applyBorder="1" applyAlignment="1">
      <alignment vertical="top" wrapText="1"/>
    </xf>
    <xf numFmtId="0" fontId="0" fillId="7" borderId="11" xfId="0" applyFill="1" applyBorder="1" applyAlignment="1">
      <alignment vertical="top" wrapText="1"/>
    </xf>
    <xf numFmtId="166" fontId="2" fillId="7" borderId="123" xfId="0" applyNumberFormat="1" applyFont="1" applyFill="1" applyBorder="1" applyAlignment="1">
      <alignment vertical="top" wrapText="1"/>
    </xf>
    <xf numFmtId="0" fontId="0" fillId="7" borderId="102" xfId="0" applyFill="1" applyBorder="1" applyAlignment="1">
      <alignment vertical="top"/>
    </xf>
    <xf numFmtId="166" fontId="2" fillId="7" borderId="34" xfId="0" applyNumberFormat="1" applyFont="1" applyFill="1" applyBorder="1" applyAlignment="1">
      <alignment vertical="top" wrapText="1"/>
    </xf>
    <xf numFmtId="0" fontId="8" fillId="7" borderId="102" xfId="0" applyFont="1" applyFill="1" applyBorder="1" applyAlignment="1">
      <alignment vertical="top" wrapText="1"/>
    </xf>
    <xf numFmtId="0" fontId="2" fillId="7" borderId="28" xfId="0" applyFont="1" applyFill="1" applyBorder="1" applyAlignment="1">
      <alignment horizontal="left" vertical="top" wrapText="1"/>
    </xf>
    <xf numFmtId="166" fontId="8" fillId="7" borderId="7" xfId="0" applyNumberFormat="1" applyFont="1" applyFill="1" applyBorder="1" applyAlignment="1">
      <alignment vertical="top" wrapText="1"/>
    </xf>
    <xf numFmtId="166" fontId="11" fillId="7" borderId="25" xfId="0" applyNumberFormat="1" applyFont="1" applyFill="1" applyBorder="1" applyAlignment="1">
      <alignment horizontal="center" vertical="top" wrapText="1"/>
    </xf>
    <xf numFmtId="166" fontId="11" fillId="7" borderId="11" xfId="0" applyNumberFormat="1" applyFont="1" applyFill="1" applyBorder="1" applyAlignment="1">
      <alignment horizontal="center" vertical="top" wrapText="1"/>
    </xf>
    <xf numFmtId="0" fontId="0" fillId="0" borderId="11" xfId="0" applyBorder="1" applyAlignment="1">
      <alignment wrapText="1"/>
    </xf>
    <xf numFmtId="0" fontId="2" fillId="7" borderId="104" xfId="0" applyFont="1" applyFill="1" applyBorder="1" applyAlignment="1">
      <alignment vertical="top" wrapText="1"/>
    </xf>
    <xf numFmtId="0" fontId="0" fillId="7" borderId="29" xfId="0" applyFill="1" applyBorder="1" applyAlignment="1">
      <alignment vertical="top" wrapText="1"/>
    </xf>
    <xf numFmtId="0" fontId="0" fillId="0" borderId="28" xfId="0" applyBorder="1" applyAlignment="1">
      <alignment horizontal="center" wrapText="1"/>
    </xf>
    <xf numFmtId="166" fontId="2" fillId="7" borderId="7" xfId="0" applyNumberFormat="1" applyFont="1" applyFill="1" applyBorder="1" applyAlignment="1">
      <alignment horizontal="left" vertical="top" wrapText="1"/>
    </xf>
    <xf numFmtId="166" fontId="8" fillId="7" borderId="29" xfId="0" applyNumberFormat="1" applyFont="1" applyFill="1" applyBorder="1" applyAlignment="1">
      <alignment horizontal="left" vertical="top" wrapText="1"/>
    </xf>
    <xf numFmtId="0" fontId="0" fillId="7" borderId="80" xfId="0" applyFill="1" applyBorder="1" applyAlignment="1">
      <alignment vertical="top" wrapText="1"/>
    </xf>
    <xf numFmtId="166" fontId="2" fillId="2" borderId="32" xfId="0" applyNumberFormat="1" applyFont="1" applyFill="1" applyBorder="1" applyAlignment="1">
      <alignment horizontal="center" vertical="top" wrapText="1"/>
    </xf>
    <xf numFmtId="166" fontId="2" fillId="2" borderId="33" xfId="0" applyNumberFormat="1" applyFont="1" applyFill="1" applyBorder="1" applyAlignment="1">
      <alignment horizontal="center" vertical="top" wrapText="1"/>
    </xf>
    <xf numFmtId="166" fontId="2" fillId="7" borderId="29" xfId="0" applyNumberFormat="1" applyFont="1" applyFill="1" applyBorder="1" applyAlignment="1">
      <alignment horizontal="left" vertical="top" wrapText="1"/>
    </xf>
    <xf numFmtId="166" fontId="3" fillId="0" borderId="49" xfId="0" applyNumberFormat="1" applyFont="1" applyBorder="1" applyAlignment="1">
      <alignment horizontal="center" vertical="top"/>
    </xf>
    <xf numFmtId="166" fontId="3" fillId="2" borderId="33" xfId="0" applyNumberFormat="1" applyFont="1" applyFill="1" applyBorder="1" applyAlignment="1">
      <alignment horizontal="right" vertical="top"/>
    </xf>
    <xf numFmtId="3" fontId="31" fillId="7" borderId="0" xfId="0" applyNumberFormat="1" applyFont="1" applyFill="1" applyAlignment="1">
      <alignment horizontal="left" vertical="top" wrapText="1"/>
    </xf>
    <xf numFmtId="0" fontId="7" fillId="7" borderId="20" xfId="0" applyFont="1" applyFill="1" applyBorder="1" applyAlignment="1">
      <alignment vertical="top" wrapText="1"/>
    </xf>
    <xf numFmtId="0" fontId="4" fillId="7" borderId="20" xfId="0" applyFont="1" applyFill="1" applyBorder="1" applyAlignment="1">
      <alignment horizontal="center" vertical="center" textRotation="90" wrapText="1"/>
    </xf>
    <xf numFmtId="0" fontId="4" fillId="7" borderId="11" xfId="0" applyFont="1" applyFill="1" applyBorder="1" applyAlignment="1">
      <alignment horizontal="center" vertical="center" textRotation="90" wrapText="1"/>
    </xf>
    <xf numFmtId="49" fontId="3" fillId="7" borderId="18"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xf>
    <xf numFmtId="166" fontId="3" fillId="7" borderId="105" xfId="0" applyNumberFormat="1" applyFont="1" applyFill="1" applyBorder="1" applyAlignment="1">
      <alignment horizontal="center" vertical="center" textRotation="90"/>
    </xf>
    <xf numFmtId="166" fontId="3" fillId="7" borderId="28" xfId="0" applyNumberFormat="1" applyFont="1" applyFill="1" applyBorder="1" applyAlignment="1">
      <alignment horizontal="center" vertical="center" textRotation="90"/>
    </xf>
    <xf numFmtId="0" fontId="4" fillId="7" borderId="48" xfId="0" applyFont="1" applyFill="1" applyBorder="1" applyAlignment="1">
      <alignment horizontal="center" vertical="center" textRotation="90" wrapText="1"/>
    </xf>
    <xf numFmtId="0" fontId="4" fillId="7" borderId="19" xfId="0" applyFont="1" applyFill="1" applyBorder="1" applyAlignment="1">
      <alignment horizontal="center" vertical="center" textRotation="90" wrapText="1"/>
    </xf>
    <xf numFmtId="49" fontId="3" fillId="7" borderId="35" xfId="0" applyNumberFormat="1" applyFont="1" applyFill="1" applyBorder="1" applyAlignment="1">
      <alignment horizontal="center" vertical="top"/>
    </xf>
    <xf numFmtId="166" fontId="2" fillId="8" borderId="63" xfId="0" applyNumberFormat="1" applyFont="1" applyFill="1" applyBorder="1" applyAlignment="1">
      <alignment horizontal="left" vertical="top" wrapText="1"/>
    </xf>
    <xf numFmtId="166" fontId="2" fillId="8" borderId="43" xfId="0" applyNumberFormat="1" applyFont="1" applyFill="1" applyBorder="1" applyAlignment="1">
      <alignment horizontal="left" vertical="top" wrapText="1"/>
    </xf>
    <xf numFmtId="3" fontId="3" fillId="0" borderId="56" xfId="0" applyNumberFormat="1" applyFont="1" applyBorder="1" applyAlignment="1">
      <alignment horizontal="center" vertical="center" wrapText="1"/>
    </xf>
    <xf numFmtId="3" fontId="3" fillId="0" borderId="71" xfId="0" applyNumberFormat="1" applyFont="1" applyBorder="1" applyAlignment="1">
      <alignment horizontal="center" vertical="center" wrapText="1"/>
    </xf>
    <xf numFmtId="3" fontId="3" fillId="0" borderId="72" xfId="0" applyNumberFormat="1" applyFont="1" applyBorder="1" applyAlignment="1">
      <alignment horizontal="center" vertical="center" wrapText="1"/>
    </xf>
    <xf numFmtId="49" fontId="3" fillId="7" borderId="47"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8" fillId="7" borderId="27" xfId="0" applyNumberFormat="1" applyFont="1" applyFill="1" applyBorder="1" applyAlignment="1">
      <alignment vertical="top" wrapText="1"/>
    </xf>
    <xf numFmtId="166" fontId="2" fillId="7" borderId="21" xfId="0" applyNumberFormat="1" applyFont="1" applyFill="1" applyBorder="1" applyAlignment="1">
      <alignment horizontal="center" vertical="top" wrapText="1"/>
    </xf>
    <xf numFmtId="0" fontId="0" fillId="0" borderId="28" xfId="0" applyBorder="1" applyAlignment="1">
      <alignment wrapText="1"/>
    </xf>
    <xf numFmtId="49" fontId="3" fillId="8" borderId="11" xfId="0" applyNumberFormat="1" applyFont="1" applyFill="1" applyBorder="1" applyAlignment="1">
      <alignment horizontal="center" vertical="top"/>
    </xf>
    <xf numFmtId="166" fontId="3" fillId="0" borderId="25" xfId="0" applyNumberFormat="1" applyFont="1" applyBorder="1" applyAlignment="1">
      <alignment horizontal="center" vertical="top"/>
    </xf>
    <xf numFmtId="166" fontId="3" fillId="0" borderId="11" xfId="0" applyNumberFormat="1" applyFont="1" applyBorder="1" applyAlignment="1">
      <alignment horizontal="center" vertical="top"/>
    </xf>
    <xf numFmtId="166" fontId="3" fillId="0" borderId="30" xfId="0" applyNumberFormat="1" applyFont="1" applyBorder="1" applyAlignment="1">
      <alignment horizontal="center" vertical="top"/>
    </xf>
    <xf numFmtId="166" fontId="8" fillId="7" borderId="49" xfId="0" applyNumberFormat="1" applyFont="1" applyFill="1" applyBorder="1" applyAlignment="1">
      <alignment vertical="top" wrapText="1"/>
    </xf>
    <xf numFmtId="3" fontId="2" fillId="7" borderId="47" xfId="0" applyNumberFormat="1" applyFont="1" applyFill="1" applyBorder="1" applyAlignment="1">
      <alignment horizontal="center" vertical="top" wrapText="1"/>
    </xf>
    <xf numFmtId="3" fontId="8" fillId="7" borderId="99" xfId="0" applyNumberFormat="1" applyFont="1" applyFill="1" applyBorder="1" applyAlignment="1">
      <alignment horizontal="center" vertical="top" wrapText="1"/>
    </xf>
    <xf numFmtId="166" fontId="2" fillId="7" borderId="80" xfId="0" applyNumberFormat="1" applyFont="1" applyFill="1" applyBorder="1" applyAlignment="1">
      <alignment horizontal="left" vertical="top" wrapText="1"/>
    </xf>
    <xf numFmtId="3" fontId="2" fillId="7" borderId="99" xfId="0" applyNumberFormat="1" applyFont="1" applyFill="1" applyBorder="1" applyAlignment="1">
      <alignment horizontal="center" vertical="top" wrapText="1"/>
    </xf>
    <xf numFmtId="0" fontId="8" fillId="7" borderId="80" xfId="0" applyFont="1" applyFill="1" applyBorder="1" applyAlignment="1">
      <alignment vertical="top" wrapText="1"/>
    </xf>
    <xf numFmtId="166" fontId="2" fillId="7" borderId="26" xfId="0" applyNumberFormat="1" applyFont="1" applyFill="1" applyBorder="1" applyAlignment="1">
      <alignment horizontal="center" vertical="top" wrapText="1"/>
    </xf>
    <xf numFmtId="166" fontId="2" fillId="7" borderId="31" xfId="0" applyNumberFormat="1" applyFont="1" applyFill="1" applyBorder="1" applyAlignment="1">
      <alignment horizontal="center" vertical="top" wrapText="1"/>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wrapText="1"/>
    </xf>
    <xf numFmtId="3" fontId="8" fillId="7" borderId="82" xfId="0" applyNumberFormat="1" applyFont="1" applyFill="1" applyBorder="1" applyAlignment="1">
      <alignment horizontal="center" vertical="top" wrapText="1"/>
    </xf>
    <xf numFmtId="0" fontId="0" fillId="0" borderId="82" xfId="0" applyBorder="1" applyAlignment="1">
      <alignment horizontal="center" vertical="top" wrapText="1"/>
    </xf>
    <xf numFmtId="166" fontId="3" fillId="8"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166" fontId="8" fillId="7" borderId="29" xfId="0" applyNumberFormat="1" applyFont="1" applyFill="1" applyBorder="1" applyAlignment="1">
      <alignment vertical="top" wrapText="1"/>
    </xf>
    <xf numFmtId="166" fontId="8" fillId="7" borderId="82" xfId="0" applyNumberFormat="1" applyFont="1" applyFill="1" applyBorder="1" applyAlignment="1">
      <alignment horizontal="center" vertical="top" wrapText="1"/>
    </xf>
    <xf numFmtId="166" fontId="3" fillId="7" borderId="25" xfId="0" applyNumberFormat="1" applyFont="1" applyFill="1" applyBorder="1" applyAlignment="1">
      <alignment horizontal="center" vertical="top"/>
    </xf>
    <xf numFmtId="166" fontId="3" fillId="7" borderId="30" xfId="0" applyNumberFormat="1" applyFont="1" applyFill="1" applyBorder="1" applyAlignment="1">
      <alignment horizontal="center" vertical="top"/>
    </xf>
    <xf numFmtId="166" fontId="8" fillId="7" borderId="18" xfId="0" applyNumberFormat="1" applyFont="1" applyFill="1" applyBorder="1" applyAlignment="1">
      <alignment horizontal="center" vertical="top" wrapText="1"/>
    </xf>
    <xf numFmtId="166" fontId="2" fillId="7" borderId="21" xfId="0" applyNumberFormat="1" applyFont="1" applyFill="1" applyBorder="1" applyAlignment="1">
      <alignment horizontal="center" vertical="center" wrapText="1"/>
    </xf>
    <xf numFmtId="166" fontId="2" fillId="7" borderId="18" xfId="0" applyNumberFormat="1" applyFont="1" applyFill="1" applyBorder="1" applyAlignment="1">
      <alignment horizontal="center" vertical="center" wrapText="1"/>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166" fontId="18" fillId="7" borderId="18" xfId="0" applyNumberFormat="1" applyFont="1" applyFill="1" applyBorder="1" applyAlignment="1">
      <alignment horizontal="center" vertical="center" wrapText="1"/>
    </xf>
    <xf numFmtId="49" fontId="3" fillId="0" borderId="20"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28" xfId="0" applyNumberFormat="1" applyFont="1" applyBorder="1" applyAlignment="1">
      <alignment horizontal="center" vertical="top"/>
    </xf>
    <xf numFmtId="166" fontId="3" fillId="7" borderId="20" xfId="0" applyNumberFormat="1" applyFont="1" applyFill="1" applyBorder="1" applyAlignment="1">
      <alignment horizontal="center" vertical="center" textRotation="90"/>
    </xf>
    <xf numFmtId="166" fontId="2" fillId="7" borderId="27" xfId="0" applyNumberFormat="1" applyFont="1" applyFill="1" applyBorder="1" applyAlignment="1">
      <alignment horizontal="center" vertical="top" wrapText="1"/>
    </xf>
    <xf numFmtId="166" fontId="2" fillId="3" borderId="11" xfId="0" applyNumberFormat="1" applyFont="1" applyFill="1" applyBorder="1" applyAlignment="1">
      <alignment vertical="top" wrapText="1"/>
    </xf>
    <xf numFmtId="0" fontId="0" fillId="0" borderId="27" xfId="0" applyBorder="1" applyAlignment="1">
      <alignment vertical="top"/>
    </xf>
    <xf numFmtId="166" fontId="2" fillId="7" borderId="19" xfId="0" applyNumberFormat="1" applyFont="1" applyFill="1" applyBorder="1" applyAlignment="1">
      <alignment horizontal="left" vertical="top" wrapText="1"/>
    </xf>
    <xf numFmtId="0" fontId="2" fillId="0" borderId="0" xfId="0" applyFont="1" applyAlignment="1">
      <alignment horizontal="right" wrapText="1"/>
    </xf>
    <xf numFmtId="0" fontId="8" fillId="0" borderId="0" xfId="0" applyFont="1" applyAlignment="1">
      <alignment horizontal="right"/>
    </xf>
    <xf numFmtId="3" fontId="2" fillId="0" borderId="26" xfId="0" applyNumberFormat="1" applyFont="1" applyFill="1" applyBorder="1" applyAlignment="1">
      <alignment horizontal="center" vertical="center" textRotation="90" wrapText="1" shrinkToFit="1"/>
    </xf>
    <xf numFmtId="3" fontId="2" fillId="0" borderId="18" xfId="0" applyNumberFormat="1" applyFont="1" applyFill="1" applyBorder="1" applyAlignment="1">
      <alignment horizontal="center" vertical="center" textRotation="90" wrapText="1" shrinkToFit="1"/>
    </xf>
    <xf numFmtId="3" fontId="2" fillId="0" borderId="31" xfId="0" applyNumberFormat="1" applyFont="1" applyFill="1" applyBorder="1" applyAlignment="1">
      <alignment horizontal="center" vertical="center" textRotation="90" wrapText="1" shrinkToFit="1"/>
    </xf>
    <xf numFmtId="0" fontId="0" fillId="0" borderId="28" xfId="0" applyBorder="1" applyAlignment="1">
      <alignment textRotation="90" wrapText="1"/>
    </xf>
    <xf numFmtId="0" fontId="0" fillId="7" borderId="7" xfId="0" applyFill="1" applyBorder="1" applyAlignment="1">
      <alignment horizontal="left" vertical="top" wrapText="1"/>
    </xf>
    <xf numFmtId="166" fontId="2" fillId="0" borderId="26" xfId="0" applyNumberFormat="1" applyFont="1" applyBorder="1" applyAlignment="1">
      <alignment horizontal="center" vertical="top" wrapText="1"/>
    </xf>
    <xf numFmtId="166" fontId="2" fillId="0" borderId="18" xfId="0" applyNumberFormat="1" applyFont="1" applyBorder="1" applyAlignment="1">
      <alignment horizontal="center" vertical="top" wrapText="1"/>
    </xf>
    <xf numFmtId="0" fontId="0" fillId="0" borderId="31" xfId="0" applyFont="1" applyBorder="1" applyAlignment="1">
      <alignment horizontal="center" vertical="top"/>
    </xf>
    <xf numFmtId="0" fontId="0" fillId="7" borderId="29" xfId="0" applyFill="1" applyBorder="1" applyAlignment="1">
      <alignment vertical="top"/>
    </xf>
    <xf numFmtId="3" fontId="2" fillId="0" borderId="52" xfId="0" applyNumberFormat="1" applyFont="1" applyFill="1" applyBorder="1" applyAlignment="1">
      <alignment horizontal="left" vertical="top" wrapText="1"/>
    </xf>
    <xf numFmtId="0" fontId="0" fillId="0" borderId="52" xfId="0" applyFill="1" applyBorder="1" applyAlignment="1">
      <alignment horizontal="left" vertical="top" wrapText="1"/>
    </xf>
    <xf numFmtId="166" fontId="18" fillId="7" borderId="47" xfId="0" applyNumberFormat="1" applyFont="1" applyFill="1" applyBorder="1" applyAlignment="1">
      <alignment horizontal="left" vertical="top" wrapText="1"/>
    </xf>
    <xf numFmtId="166" fontId="18" fillId="7" borderId="49" xfId="0" applyNumberFormat="1" applyFont="1" applyFill="1" applyBorder="1" applyAlignment="1">
      <alignment horizontal="left" vertical="top" wrapText="1"/>
    </xf>
    <xf numFmtId="166" fontId="39" fillId="0" borderId="35" xfId="0" applyNumberFormat="1" applyFont="1" applyBorder="1" applyAlignment="1">
      <alignment horizontal="left" vertical="top" wrapText="1"/>
    </xf>
    <xf numFmtId="0" fontId="18" fillId="7" borderId="7" xfId="0" applyFont="1" applyFill="1" applyBorder="1" applyAlignment="1">
      <alignment vertical="top" wrapText="1"/>
    </xf>
    <xf numFmtId="0" fontId="18" fillId="7" borderId="29" xfId="0" applyFont="1" applyFill="1" applyBorder="1" applyAlignment="1">
      <alignment vertical="top" wrapText="1"/>
    </xf>
    <xf numFmtId="166" fontId="3" fillId="7" borderId="35" xfId="0" applyNumberFormat="1" applyFont="1" applyFill="1" applyBorder="1" applyAlignment="1">
      <alignment horizontal="center" vertical="top"/>
    </xf>
    <xf numFmtId="0" fontId="2" fillId="0" borderId="21" xfId="0" applyFont="1" applyBorder="1" applyAlignment="1">
      <alignment horizontal="center" vertical="top" wrapText="1"/>
    </xf>
    <xf numFmtId="0" fontId="8" fillId="7" borderId="18" xfId="0" applyFont="1" applyFill="1" applyBorder="1" applyAlignment="1">
      <alignment horizontal="center" vertical="center" wrapText="1"/>
    </xf>
    <xf numFmtId="166" fontId="8" fillId="7" borderId="18" xfId="0" applyNumberFormat="1" applyFont="1" applyFill="1" applyBorder="1" applyAlignment="1">
      <alignment horizontal="center" vertical="center" wrapText="1"/>
    </xf>
    <xf numFmtId="166" fontId="3" fillId="0" borderId="28" xfId="0" applyNumberFormat="1" applyFont="1" applyFill="1" applyBorder="1" applyAlignment="1">
      <alignment horizontal="center" vertical="top" wrapText="1"/>
    </xf>
    <xf numFmtId="49" fontId="3" fillId="0" borderId="49" xfId="0" applyNumberFormat="1" applyFont="1" applyBorder="1" applyAlignment="1">
      <alignment horizontal="center" vertical="top"/>
    </xf>
    <xf numFmtId="49" fontId="3" fillId="0" borderId="35" xfId="0" applyNumberFormat="1" applyFont="1" applyBorder="1" applyAlignment="1">
      <alignment horizontal="center" vertical="top"/>
    </xf>
    <xf numFmtId="0" fontId="8" fillId="7" borderId="29" xfId="0" applyFont="1" applyFill="1" applyBorder="1" applyAlignment="1">
      <alignment horizontal="left" vertical="top" wrapText="1"/>
    </xf>
    <xf numFmtId="0" fontId="2" fillId="7" borderId="7" xfId="0" applyFont="1" applyFill="1" applyBorder="1" applyAlignment="1">
      <alignment vertical="top" wrapText="1"/>
    </xf>
    <xf numFmtId="3" fontId="2" fillId="7" borderId="49" xfId="0" applyNumberFormat="1" applyFont="1" applyFill="1" applyBorder="1" applyAlignment="1">
      <alignment horizontal="center" vertical="top"/>
    </xf>
    <xf numFmtId="166" fontId="14" fillId="7" borderId="11" xfId="0" applyNumberFormat="1" applyFont="1" applyFill="1" applyBorder="1" applyAlignment="1">
      <alignment horizontal="center" vertical="center" textRotation="90" wrapText="1"/>
    </xf>
    <xf numFmtId="166" fontId="2" fillId="7" borderId="104" xfId="0" applyNumberFormat="1" applyFont="1" applyFill="1" applyBorder="1" applyAlignment="1">
      <alignment vertical="top" wrapText="1"/>
    </xf>
    <xf numFmtId="0" fontId="0" fillId="7" borderId="80" xfId="0" applyFill="1" applyBorder="1" applyAlignment="1">
      <alignment vertical="top"/>
    </xf>
    <xf numFmtId="3" fontId="2" fillId="3" borderId="52" xfId="0" applyNumberFormat="1" applyFont="1" applyFill="1" applyBorder="1" applyAlignment="1">
      <alignment horizontal="left" vertical="top" wrapText="1"/>
    </xf>
    <xf numFmtId="0" fontId="0" fillId="0" borderId="52" xfId="0" applyBorder="1" applyAlignment="1">
      <alignment horizontal="left" vertical="top" wrapText="1"/>
    </xf>
    <xf numFmtId="166" fontId="8" fillId="7" borderId="18" xfId="0" applyNumberFormat="1" applyFont="1" applyFill="1" applyBorder="1" applyAlignment="1">
      <alignment vertical="top" wrapText="1"/>
    </xf>
    <xf numFmtId="0" fontId="0" fillId="0" borderId="80" xfId="0" applyBorder="1" applyAlignment="1">
      <alignment vertical="top"/>
    </xf>
    <xf numFmtId="166" fontId="18" fillId="7" borderId="34" xfId="0" applyNumberFormat="1" applyFont="1" applyFill="1" applyBorder="1" applyAlignment="1">
      <alignment vertical="top" wrapText="1"/>
    </xf>
    <xf numFmtId="0" fontId="39" fillId="7" borderId="80" xfId="0" applyFont="1" applyFill="1" applyBorder="1" applyAlignment="1">
      <alignment vertical="top" wrapText="1"/>
    </xf>
    <xf numFmtId="0" fontId="0" fillId="0" borderId="48" xfId="0" applyBorder="1" applyAlignment="1">
      <alignment vertical="top" wrapText="1"/>
    </xf>
    <xf numFmtId="166" fontId="2" fillId="3" borderId="25" xfId="0" applyNumberFormat="1" applyFont="1" applyFill="1" applyBorder="1" applyAlignment="1">
      <alignment vertical="top" wrapText="1"/>
    </xf>
    <xf numFmtId="166" fontId="22" fillId="7" borderId="41" xfId="0" applyNumberFormat="1" applyFont="1" applyFill="1" applyBorder="1" applyAlignment="1">
      <alignment horizontal="left" vertical="top" wrapText="1"/>
    </xf>
    <xf numFmtId="0" fontId="0" fillId="0" borderId="48" xfId="0" applyBorder="1" applyAlignment="1">
      <alignment horizontal="left" vertical="top" wrapText="1"/>
    </xf>
    <xf numFmtId="166" fontId="18" fillId="7" borderId="35" xfId="0" applyNumberFormat="1" applyFont="1" applyFill="1" applyBorder="1" applyAlignment="1">
      <alignment horizontal="left" vertical="top" wrapText="1"/>
    </xf>
    <xf numFmtId="166" fontId="23" fillId="3" borderId="47" xfId="0" applyNumberFormat="1" applyFont="1" applyFill="1" applyBorder="1" applyAlignment="1">
      <alignment horizontal="center" vertical="top" wrapText="1"/>
    </xf>
    <xf numFmtId="166" fontId="23" fillId="3" borderId="35" xfId="0" applyNumberFormat="1" applyFont="1" applyFill="1" applyBorder="1" applyAlignment="1">
      <alignment horizontal="center" vertical="top" wrapText="1"/>
    </xf>
    <xf numFmtId="166" fontId="23" fillId="3" borderId="49" xfId="0" applyNumberFormat="1" applyFont="1" applyFill="1" applyBorder="1" applyAlignment="1">
      <alignment horizontal="center" vertical="top"/>
    </xf>
    <xf numFmtId="166" fontId="39" fillId="7" borderId="18" xfId="0" applyNumberFormat="1" applyFont="1" applyFill="1" applyBorder="1" applyAlignment="1">
      <alignment horizontal="center" vertical="center" wrapText="1"/>
    </xf>
    <xf numFmtId="0" fontId="3" fillId="0" borderId="40" xfId="0" applyFont="1" applyBorder="1" applyAlignment="1">
      <alignment horizontal="center" vertical="center" textRotation="90" wrapText="1"/>
    </xf>
    <xf numFmtId="0" fontId="3" fillId="0" borderId="6" xfId="0" applyFont="1" applyBorder="1" applyAlignment="1">
      <alignment horizontal="center" vertical="center" textRotation="90" wrapText="1"/>
    </xf>
    <xf numFmtId="0" fontId="3" fillId="0" borderId="67" xfId="0" applyFont="1" applyBorder="1" applyAlignment="1">
      <alignment horizontal="center" vertical="center" textRotation="90" wrapText="1"/>
    </xf>
  </cellXfs>
  <cellStyles count="3">
    <cellStyle name="Įprastas" xfId="0" builtinId="0"/>
    <cellStyle name="Įprastas 2" xfId="2"/>
    <cellStyle name="Kablelis" xfId="1" builtinId="3"/>
  </cellStyles>
  <dxfs count="0"/>
  <tableStyles count="0" defaultTableStyle="TableStyleMedium2" defaultPivotStyle="PivotStyleLight16"/>
  <colors>
    <mruColors>
      <color rgb="FF99FF99"/>
      <color rgb="FFFFFFCC"/>
      <color rgb="FFE9C9C7"/>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75"/>
  <sheetViews>
    <sheetView view="pageBreakPreview" topLeftCell="A184" zoomScaleNormal="100" zoomScaleSheetLayoutView="100" workbookViewId="0">
      <selection activeCell="Q31" sqref="Q31:T32"/>
    </sheetView>
  </sheetViews>
  <sheetFormatPr defaultRowHeight="12.75" x14ac:dyDescent="0.2"/>
  <cols>
    <col min="1" max="2" width="2.7109375" style="2" customWidth="1"/>
    <col min="3" max="3" width="2.7109375" style="577" customWidth="1"/>
    <col min="4" max="4" width="33.140625" style="2" customWidth="1"/>
    <col min="5" max="5" width="2.85546875" style="8" customWidth="1"/>
    <col min="6" max="6" width="5.140625" style="11" customWidth="1"/>
    <col min="7" max="7" width="7.85546875" style="3" customWidth="1"/>
    <col min="8" max="8" width="8.85546875" style="2" customWidth="1"/>
    <col min="9" max="9" width="8.7109375" style="2" customWidth="1"/>
    <col min="10" max="10" width="8.42578125" style="2" customWidth="1"/>
    <col min="11" max="11" width="8.7109375" style="2" customWidth="1"/>
    <col min="12" max="13" width="8.28515625" style="2" customWidth="1"/>
    <col min="14" max="14" width="9.42578125" style="2" customWidth="1"/>
    <col min="15" max="15" width="9.28515625" style="2" customWidth="1"/>
    <col min="16" max="16" width="9.42578125" style="2" customWidth="1"/>
    <col min="17" max="17" width="32.85546875" style="2" customWidth="1"/>
    <col min="18" max="18" width="4" style="2" customWidth="1"/>
    <col min="19" max="20" width="3.85546875" style="2" customWidth="1"/>
    <col min="21" max="21" width="35.140625" style="2" customWidth="1"/>
    <col min="22" max="22" width="15.28515625" style="1" customWidth="1"/>
    <col min="23" max="23" width="6.7109375" style="1" customWidth="1"/>
    <col min="24" max="16384" width="9.140625" style="1"/>
  </cols>
  <sheetData>
    <row r="1" spans="1:21" s="158" customFormat="1" ht="18" customHeight="1" x14ac:dyDescent="0.25">
      <c r="B1" s="579"/>
      <c r="C1" s="579"/>
      <c r="D1" s="579"/>
      <c r="E1" s="579"/>
      <c r="Q1" s="816"/>
      <c r="R1" s="817"/>
      <c r="S1" s="817"/>
      <c r="T1" s="817"/>
      <c r="U1" s="818" t="s">
        <v>296</v>
      </c>
    </row>
    <row r="2" spans="1:21" s="158" customFormat="1" ht="13.5" customHeight="1" x14ac:dyDescent="0.25">
      <c r="B2" s="579"/>
      <c r="C2" s="579"/>
      <c r="D2" s="579"/>
      <c r="E2" s="579"/>
      <c r="Q2" s="779"/>
      <c r="R2" s="779"/>
      <c r="S2" s="779"/>
      <c r="T2" s="779"/>
      <c r="U2" s="779"/>
    </row>
    <row r="3" spans="1:21" s="39" customFormat="1" ht="15" x14ac:dyDescent="0.2">
      <c r="A3" s="2076" t="s">
        <v>270</v>
      </c>
      <c r="B3" s="2076"/>
      <c r="C3" s="2076"/>
      <c r="D3" s="2076"/>
      <c r="E3" s="2076"/>
      <c r="F3" s="2076"/>
      <c r="G3" s="2076"/>
      <c r="H3" s="2076"/>
      <c r="I3" s="2076"/>
      <c r="J3" s="2076"/>
      <c r="K3" s="2076"/>
      <c r="L3" s="2076"/>
      <c r="M3" s="2076"/>
      <c r="N3" s="2076"/>
      <c r="O3" s="2076"/>
      <c r="P3" s="2076"/>
      <c r="Q3" s="2076"/>
      <c r="R3" s="2076"/>
      <c r="S3" s="2076"/>
      <c r="T3" s="2076"/>
      <c r="U3" s="2076"/>
    </row>
    <row r="4" spans="1:21" ht="15.75" customHeight="1" x14ac:dyDescent="0.2">
      <c r="A4" s="2077" t="s">
        <v>29</v>
      </c>
      <c r="B4" s="2077"/>
      <c r="C4" s="2077"/>
      <c r="D4" s="2077"/>
      <c r="E4" s="2077"/>
      <c r="F4" s="2077"/>
      <c r="G4" s="2077"/>
      <c r="H4" s="2077"/>
      <c r="I4" s="2077"/>
      <c r="J4" s="2077"/>
      <c r="K4" s="2077"/>
      <c r="L4" s="2077"/>
      <c r="M4" s="2077"/>
      <c r="N4" s="2077"/>
      <c r="O4" s="2077"/>
      <c r="P4" s="2077"/>
      <c r="Q4" s="2077"/>
      <c r="R4" s="2077"/>
      <c r="S4" s="2077"/>
      <c r="T4" s="2077"/>
      <c r="U4" s="2077"/>
    </row>
    <row r="5" spans="1:21" ht="15" customHeight="1" x14ac:dyDescent="0.2">
      <c r="A5" s="2078" t="s">
        <v>17</v>
      </c>
      <c r="B5" s="2078"/>
      <c r="C5" s="2078"/>
      <c r="D5" s="2078"/>
      <c r="E5" s="2078"/>
      <c r="F5" s="2078"/>
      <c r="G5" s="2078"/>
      <c r="H5" s="2078"/>
      <c r="I5" s="2078"/>
      <c r="J5" s="2078"/>
      <c r="K5" s="2078"/>
      <c r="L5" s="2078"/>
      <c r="M5" s="2078"/>
      <c r="N5" s="2078"/>
      <c r="O5" s="2078"/>
      <c r="P5" s="2078"/>
      <c r="Q5" s="2078"/>
      <c r="R5" s="2078"/>
      <c r="S5" s="2078"/>
      <c r="T5" s="2078"/>
      <c r="U5" s="2078"/>
    </row>
    <row r="6" spans="1:21" ht="15" customHeight="1" thickBot="1" x14ac:dyDescent="0.25">
      <c r="A6" s="15"/>
      <c r="B6" s="15"/>
      <c r="C6" s="576"/>
      <c r="D6" s="15"/>
      <c r="E6" s="16"/>
      <c r="F6" s="17"/>
      <c r="G6" s="250"/>
      <c r="H6" s="15"/>
      <c r="I6" s="15"/>
      <c r="J6" s="15"/>
      <c r="K6" s="15"/>
      <c r="L6" s="15"/>
      <c r="M6" s="15"/>
      <c r="N6" s="15"/>
      <c r="O6" s="15"/>
      <c r="P6" s="15"/>
      <c r="Q6" s="2079" t="s">
        <v>117</v>
      </c>
      <c r="R6" s="2079"/>
      <c r="S6" s="2079"/>
      <c r="T6" s="2079"/>
      <c r="U6" s="2080"/>
    </row>
    <row r="7" spans="1:21" s="39" customFormat="1" ht="46.5" customHeight="1" x14ac:dyDescent="0.2">
      <c r="A7" s="2081" t="s">
        <v>18</v>
      </c>
      <c r="B7" s="2084" t="s">
        <v>0</v>
      </c>
      <c r="C7" s="2084" t="s">
        <v>1</v>
      </c>
      <c r="D7" s="2087" t="s">
        <v>12</v>
      </c>
      <c r="E7" s="2084" t="s">
        <v>2</v>
      </c>
      <c r="F7" s="2052" t="s">
        <v>3</v>
      </c>
      <c r="G7" s="2055" t="s">
        <v>4</v>
      </c>
      <c r="H7" s="2058" t="s">
        <v>298</v>
      </c>
      <c r="I7" s="2061" t="s">
        <v>299</v>
      </c>
      <c r="J7" s="2092" t="s">
        <v>300</v>
      </c>
      <c r="K7" s="2058" t="s">
        <v>127</v>
      </c>
      <c r="L7" s="2061" t="s">
        <v>301</v>
      </c>
      <c r="M7" s="2092" t="s">
        <v>300</v>
      </c>
      <c r="N7" s="2250" t="s">
        <v>186</v>
      </c>
      <c r="O7" s="2061" t="s">
        <v>302</v>
      </c>
      <c r="P7" s="2092" t="s">
        <v>300</v>
      </c>
      <c r="Q7" s="2259" t="s">
        <v>11</v>
      </c>
      <c r="R7" s="2260"/>
      <c r="S7" s="2260"/>
      <c r="T7" s="2260"/>
      <c r="U7" s="819"/>
    </row>
    <row r="8" spans="1:21" s="39" customFormat="1" ht="18.75" customHeight="1" x14ac:dyDescent="0.2">
      <c r="A8" s="2082"/>
      <c r="B8" s="2085"/>
      <c r="C8" s="2085"/>
      <c r="D8" s="2088"/>
      <c r="E8" s="2085"/>
      <c r="F8" s="2053"/>
      <c r="G8" s="2056"/>
      <c r="H8" s="2059"/>
      <c r="I8" s="2062"/>
      <c r="J8" s="2093"/>
      <c r="K8" s="2059"/>
      <c r="L8" s="2062"/>
      <c r="M8" s="2093"/>
      <c r="N8" s="2251"/>
      <c r="O8" s="2062"/>
      <c r="P8" s="2093"/>
      <c r="Q8" s="2090" t="s">
        <v>12</v>
      </c>
      <c r="R8" s="2261" t="s">
        <v>98</v>
      </c>
      <c r="S8" s="2261"/>
      <c r="T8" s="2261"/>
      <c r="U8" s="652" t="s">
        <v>297</v>
      </c>
    </row>
    <row r="9" spans="1:21" s="39" customFormat="1" ht="69.75" customHeight="1" thickBot="1" x14ac:dyDescent="0.25">
      <c r="A9" s="2083"/>
      <c r="B9" s="2086"/>
      <c r="C9" s="2086"/>
      <c r="D9" s="2089"/>
      <c r="E9" s="2086"/>
      <c r="F9" s="2054"/>
      <c r="G9" s="2057"/>
      <c r="H9" s="2060"/>
      <c r="I9" s="2063"/>
      <c r="J9" s="2094"/>
      <c r="K9" s="2060"/>
      <c r="L9" s="2063"/>
      <c r="M9" s="2094"/>
      <c r="N9" s="2252"/>
      <c r="O9" s="2063"/>
      <c r="P9" s="2094"/>
      <c r="Q9" s="2091"/>
      <c r="R9" s="159" t="s">
        <v>106</v>
      </c>
      <c r="S9" s="820" t="s">
        <v>128</v>
      </c>
      <c r="T9" s="820" t="s">
        <v>187</v>
      </c>
      <c r="U9" s="821"/>
    </row>
    <row r="10" spans="1:21" s="10" customFormat="1" ht="14.25" customHeight="1" x14ac:dyDescent="0.2">
      <c r="A10" s="2064" t="s">
        <v>63</v>
      </c>
      <c r="B10" s="2065"/>
      <c r="C10" s="2065"/>
      <c r="D10" s="2065"/>
      <c r="E10" s="2065"/>
      <c r="F10" s="2065"/>
      <c r="G10" s="2065"/>
      <c r="H10" s="2065"/>
      <c r="I10" s="2065"/>
      <c r="J10" s="2065"/>
      <c r="K10" s="2065"/>
      <c r="L10" s="2065"/>
      <c r="M10" s="2065"/>
      <c r="N10" s="2065"/>
      <c r="O10" s="2065"/>
      <c r="P10" s="2065"/>
      <c r="Q10" s="2065"/>
      <c r="R10" s="2065"/>
      <c r="S10" s="2065"/>
      <c r="T10" s="2065"/>
      <c r="U10" s="2066"/>
    </row>
    <row r="11" spans="1:21" s="10" customFormat="1" ht="14.25" customHeight="1" x14ac:dyDescent="0.2">
      <c r="A11" s="2067" t="s">
        <v>26</v>
      </c>
      <c r="B11" s="2068"/>
      <c r="C11" s="2068"/>
      <c r="D11" s="2068"/>
      <c r="E11" s="2068"/>
      <c r="F11" s="2068"/>
      <c r="G11" s="2068"/>
      <c r="H11" s="2068"/>
      <c r="I11" s="2068"/>
      <c r="J11" s="2068"/>
      <c r="K11" s="2068"/>
      <c r="L11" s="2068"/>
      <c r="M11" s="2068"/>
      <c r="N11" s="2068"/>
      <c r="O11" s="2068"/>
      <c r="P11" s="2068"/>
      <c r="Q11" s="2068"/>
      <c r="R11" s="2068"/>
      <c r="S11" s="2068"/>
      <c r="T11" s="2068"/>
      <c r="U11" s="2069"/>
    </row>
    <row r="12" spans="1:21" ht="16.5" customHeight="1" x14ac:dyDescent="0.2">
      <c r="A12" s="18" t="s">
        <v>5</v>
      </c>
      <c r="B12" s="2070" t="s">
        <v>30</v>
      </c>
      <c r="C12" s="2071"/>
      <c r="D12" s="2071"/>
      <c r="E12" s="2071"/>
      <c r="F12" s="2071"/>
      <c r="G12" s="2071"/>
      <c r="H12" s="2071"/>
      <c r="I12" s="2071"/>
      <c r="J12" s="2071"/>
      <c r="K12" s="2071"/>
      <c r="L12" s="2071"/>
      <c r="M12" s="2071"/>
      <c r="N12" s="2071"/>
      <c r="O12" s="2071"/>
      <c r="P12" s="2071"/>
      <c r="Q12" s="2071"/>
      <c r="R12" s="2071"/>
      <c r="S12" s="2071"/>
      <c r="T12" s="2071"/>
      <c r="U12" s="2072"/>
    </row>
    <row r="13" spans="1:21" ht="15" customHeight="1" x14ac:dyDescent="0.2">
      <c r="A13" s="249" t="s">
        <v>5</v>
      </c>
      <c r="B13" s="13" t="s">
        <v>5</v>
      </c>
      <c r="C13" s="2073" t="s">
        <v>31</v>
      </c>
      <c r="D13" s="2074"/>
      <c r="E13" s="2074"/>
      <c r="F13" s="2074"/>
      <c r="G13" s="2074"/>
      <c r="H13" s="2074"/>
      <c r="I13" s="2074"/>
      <c r="J13" s="2074"/>
      <c r="K13" s="2074"/>
      <c r="L13" s="2074"/>
      <c r="M13" s="2074"/>
      <c r="N13" s="2074"/>
      <c r="O13" s="2074"/>
      <c r="P13" s="2074"/>
      <c r="Q13" s="2074"/>
      <c r="R13" s="2074"/>
      <c r="S13" s="2074"/>
      <c r="T13" s="2074"/>
      <c r="U13" s="2075"/>
    </row>
    <row r="14" spans="1:21" ht="13.5" customHeight="1" x14ac:dyDescent="0.2">
      <c r="A14" s="745" t="s">
        <v>5</v>
      </c>
      <c r="B14" s="760" t="s">
        <v>5</v>
      </c>
      <c r="C14" s="722" t="s">
        <v>5</v>
      </c>
      <c r="D14" s="2047" t="s">
        <v>49</v>
      </c>
      <c r="E14" s="2049" t="s">
        <v>90</v>
      </c>
      <c r="F14" s="767" t="s">
        <v>43</v>
      </c>
      <c r="G14" s="1193" t="s">
        <v>25</v>
      </c>
      <c r="H14" s="1194">
        <v>426</v>
      </c>
      <c r="I14" s="1195">
        <v>426</v>
      </c>
      <c r="J14" s="1194"/>
      <c r="K14" s="1196">
        <v>2156.6</v>
      </c>
      <c r="L14" s="1195">
        <f>2131.6+25</f>
        <v>2156.6</v>
      </c>
      <c r="M14" s="1194"/>
      <c r="N14" s="1196">
        <v>959.9</v>
      </c>
      <c r="O14" s="1195">
        <f>634.9-25+350</f>
        <v>959.9</v>
      </c>
      <c r="P14" s="1197"/>
      <c r="Q14" s="363"/>
      <c r="R14" s="344"/>
      <c r="S14" s="345"/>
      <c r="T14" s="345"/>
      <c r="U14" s="347"/>
    </row>
    <row r="15" spans="1:21" ht="14.25" customHeight="1" x14ac:dyDescent="0.2">
      <c r="A15" s="745"/>
      <c r="B15" s="760"/>
      <c r="C15" s="722"/>
      <c r="D15" s="2048"/>
      <c r="E15" s="2050"/>
      <c r="F15" s="767"/>
      <c r="G15" s="37" t="s">
        <v>104</v>
      </c>
      <c r="H15" s="580">
        <v>557.70000000000005</v>
      </c>
      <c r="I15" s="831">
        <v>557.70000000000005</v>
      </c>
      <c r="J15" s="580"/>
      <c r="K15" s="836"/>
      <c r="L15" s="831"/>
      <c r="M15" s="580"/>
      <c r="N15" s="836"/>
      <c r="O15" s="831"/>
      <c r="P15" s="864"/>
      <c r="Q15" s="363"/>
      <c r="R15" s="344"/>
      <c r="S15" s="345"/>
      <c r="T15" s="345"/>
      <c r="U15" s="347"/>
    </row>
    <row r="16" spans="1:21" ht="14.25" customHeight="1" x14ac:dyDescent="0.2">
      <c r="A16" s="1157"/>
      <c r="B16" s="1160"/>
      <c r="C16" s="1158"/>
      <c r="D16" s="593"/>
      <c r="E16" s="2050"/>
      <c r="F16" s="1159"/>
      <c r="G16" s="65" t="s">
        <v>45</v>
      </c>
      <c r="H16" s="103">
        <v>31.2</v>
      </c>
      <c r="I16" s="232">
        <v>31.2</v>
      </c>
      <c r="J16" s="580"/>
      <c r="K16" s="836"/>
      <c r="L16" s="831"/>
      <c r="M16" s="580"/>
      <c r="N16" s="836"/>
      <c r="O16" s="831"/>
      <c r="P16" s="864"/>
      <c r="Q16" s="363"/>
      <c r="R16" s="344"/>
      <c r="S16" s="345"/>
      <c r="T16" s="345"/>
      <c r="U16" s="347"/>
    </row>
    <row r="17" spans="1:25" ht="17.25" customHeight="1" x14ac:dyDescent="0.2">
      <c r="A17" s="745"/>
      <c r="B17" s="760"/>
      <c r="C17" s="722"/>
      <c r="D17" s="56"/>
      <c r="E17" s="2051"/>
      <c r="F17" s="679"/>
      <c r="G17" s="578" t="s">
        <v>62</v>
      </c>
      <c r="H17" s="582">
        <v>1.5</v>
      </c>
      <c r="I17" s="832">
        <v>1.5</v>
      </c>
      <c r="J17" s="1198"/>
      <c r="K17" s="90"/>
      <c r="L17" s="43"/>
      <c r="M17" s="155"/>
      <c r="N17" s="90">
        <v>1</v>
      </c>
      <c r="O17" s="43">
        <v>1</v>
      </c>
      <c r="P17" s="865"/>
      <c r="Q17" s="840"/>
      <c r="R17" s="348"/>
      <c r="S17" s="349"/>
      <c r="T17" s="349"/>
      <c r="U17" s="347"/>
    </row>
    <row r="18" spans="1:25" ht="37.5" customHeight="1" x14ac:dyDescent="0.2">
      <c r="A18" s="2029"/>
      <c r="B18" s="2030"/>
      <c r="C18" s="2031"/>
      <c r="D18" s="2037" t="s">
        <v>143</v>
      </c>
      <c r="E18" s="735" t="s">
        <v>47</v>
      </c>
      <c r="F18" s="2031"/>
      <c r="G18" s="37"/>
      <c r="H18" s="355"/>
      <c r="I18" s="402"/>
      <c r="J18" s="355"/>
      <c r="K18" s="350"/>
      <c r="L18" s="402"/>
      <c r="M18" s="355"/>
      <c r="N18" s="87"/>
      <c r="O18" s="232"/>
      <c r="P18" s="63"/>
      <c r="Q18" s="841" t="s">
        <v>159</v>
      </c>
      <c r="R18" s="38" t="s">
        <v>215</v>
      </c>
      <c r="S18" s="166"/>
      <c r="T18" s="822"/>
      <c r="U18" s="362"/>
    </row>
    <row r="19" spans="1:25" ht="15" customHeight="1" x14ac:dyDescent="0.2">
      <c r="A19" s="2029"/>
      <c r="B19" s="2030"/>
      <c r="C19" s="2031"/>
      <c r="D19" s="2038"/>
      <c r="E19" s="2040" t="s">
        <v>116</v>
      </c>
      <c r="F19" s="2031"/>
      <c r="G19" s="37"/>
      <c r="H19" s="355"/>
      <c r="I19" s="402"/>
      <c r="J19" s="355"/>
      <c r="K19" s="350"/>
      <c r="L19" s="402"/>
      <c r="M19" s="355"/>
      <c r="N19" s="87"/>
      <c r="O19" s="232"/>
      <c r="P19" s="63"/>
      <c r="Q19" s="2035" t="s">
        <v>316</v>
      </c>
      <c r="R19" s="399" t="s">
        <v>56</v>
      </c>
      <c r="S19" s="561"/>
      <c r="T19" s="473"/>
      <c r="U19" s="362"/>
    </row>
    <row r="20" spans="1:25" ht="20.25" customHeight="1" x14ac:dyDescent="0.2">
      <c r="A20" s="2029"/>
      <c r="B20" s="2030"/>
      <c r="C20" s="2031"/>
      <c r="D20" s="2039"/>
      <c r="E20" s="2041"/>
      <c r="F20" s="2031"/>
      <c r="G20" s="37"/>
      <c r="H20" s="132"/>
      <c r="I20" s="1084"/>
      <c r="J20" s="558"/>
      <c r="K20" s="132"/>
      <c r="L20" s="1084"/>
      <c r="M20" s="558"/>
      <c r="N20" s="90"/>
      <c r="O20" s="43"/>
      <c r="P20" s="179"/>
      <c r="Q20" s="2036"/>
      <c r="R20" s="325"/>
      <c r="S20" s="49"/>
      <c r="T20" s="326"/>
      <c r="U20" s="362"/>
    </row>
    <row r="21" spans="1:25" ht="36" customHeight="1" x14ac:dyDescent="0.2">
      <c r="A21" s="2029"/>
      <c r="B21" s="2030"/>
      <c r="C21" s="2031"/>
      <c r="D21" s="2045" t="s">
        <v>171</v>
      </c>
      <c r="E21" s="1183" t="s">
        <v>47</v>
      </c>
      <c r="F21" s="2034"/>
      <c r="G21" s="57" t="s">
        <v>25</v>
      </c>
      <c r="H21" s="87"/>
      <c r="I21" s="604">
        <v>-25</v>
      </c>
      <c r="J21" s="912">
        <f>I21-H21</f>
        <v>-25</v>
      </c>
      <c r="K21" s="87"/>
      <c r="L21" s="232"/>
      <c r="M21" s="103"/>
      <c r="N21" s="87"/>
      <c r="O21" s="604">
        <v>25</v>
      </c>
      <c r="P21" s="940">
        <f>O21-N21</f>
        <v>25</v>
      </c>
      <c r="Q21" s="842" t="s">
        <v>46</v>
      </c>
      <c r="R21" s="562"/>
      <c r="S21" s="1204" t="s">
        <v>56</v>
      </c>
      <c r="T21" s="1205">
        <v>1</v>
      </c>
      <c r="U21" s="2026" t="s">
        <v>348</v>
      </c>
      <c r="V21" s="1" t="s">
        <v>324</v>
      </c>
    </row>
    <row r="22" spans="1:25" ht="42.75" customHeight="1" x14ac:dyDescent="0.2">
      <c r="A22" s="2029"/>
      <c r="B22" s="2030"/>
      <c r="C22" s="2031"/>
      <c r="D22" s="2046"/>
      <c r="E22" s="780"/>
      <c r="F22" s="2034"/>
      <c r="G22" s="64"/>
      <c r="H22" s="90"/>
      <c r="I22" s="43"/>
      <c r="J22" s="155"/>
      <c r="K22" s="838"/>
      <c r="L22" s="493"/>
      <c r="M22" s="494"/>
      <c r="N22" s="838"/>
      <c r="O22" s="493"/>
      <c r="P22" s="866"/>
      <c r="Q22" s="843"/>
      <c r="R22" s="20"/>
      <c r="S22" s="49"/>
      <c r="T22" s="167"/>
      <c r="U22" s="2043"/>
    </row>
    <row r="23" spans="1:25" ht="18.75" customHeight="1" x14ac:dyDescent="0.2">
      <c r="A23" s="720"/>
      <c r="B23" s="721"/>
      <c r="C23" s="226"/>
      <c r="D23" s="2100" t="s">
        <v>239</v>
      </c>
      <c r="E23" s="312" t="s">
        <v>47</v>
      </c>
      <c r="F23" s="92"/>
      <c r="G23" s="37"/>
      <c r="H23" s="580"/>
      <c r="I23" s="831"/>
      <c r="J23" s="963"/>
      <c r="K23" s="87"/>
      <c r="L23" s="232"/>
      <c r="M23" s="103"/>
      <c r="N23" s="87"/>
      <c r="O23" s="232"/>
      <c r="P23" s="940"/>
      <c r="Q23" s="2103" t="s">
        <v>163</v>
      </c>
      <c r="R23" s="478">
        <v>1</v>
      </c>
      <c r="S23" s="166"/>
      <c r="T23" s="413"/>
      <c r="U23" s="2042"/>
    </row>
    <row r="24" spans="1:25" ht="24" customHeight="1" x14ac:dyDescent="0.2">
      <c r="A24" s="720"/>
      <c r="B24" s="721"/>
      <c r="C24" s="226"/>
      <c r="D24" s="2100"/>
      <c r="E24" s="2105" t="s">
        <v>116</v>
      </c>
      <c r="F24" s="92"/>
      <c r="G24" s="65"/>
      <c r="H24" s="103"/>
      <c r="I24" s="232"/>
      <c r="J24" s="103"/>
      <c r="K24" s="87"/>
      <c r="L24" s="232"/>
      <c r="M24" s="103"/>
      <c r="N24" s="87"/>
      <c r="O24" s="232"/>
      <c r="P24" s="63"/>
      <c r="Q24" s="2104"/>
      <c r="R24" s="478"/>
      <c r="S24" s="166"/>
      <c r="T24" s="413"/>
      <c r="U24" s="2042"/>
    </row>
    <row r="25" spans="1:25" ht="27.75" customHeight="1" x14ac:dyDescent="0.2">
      <c r="A25" s="720"/>
      <c r="B25" s="721"/>
      <c r="C25" s="226"/>
      <c r="D25" s="2100"/>
      <c r="E25" s="2106"/>
      <c r="F25" s="92"/>
      <c r="G25" s="65"/>
      <c r="H25" s="103"/>
      <c r="I25" s="232"/>
      <c r="J25" s="103"/>
      <c r="K25" s="87"/>
      <c r="L25" s="232"/>
      <c r="M25" s="103"/>
      <c r="N25" s="87"/>
      <c r="O25" s="232"/>
      <c r="P25" s="63"/>
      <c r="Q25" s="844" t="s">
        <v>164</v>
      </c>
      <c r="R25" s="477"/>
      <c r="S25" s="194">
        <v>1</v>
      </c>
      <c r="T25" s="194"/>
      <c r="U25" s="2042"/>
      <c r="X25" s="719"/>
    </row>
    <row r="26" spans="1:25" ht="27" customHeight="1" x14ac:dyDescent="0.2">
      <c r="A26" s="720"/>
      <c r="B26" s="721"/>
      <c r="C26" s="226"/>
      <c r="D26" s="2046"/>
      <c r="E26" s="2107"/>
      <c r="F26" s="92"/>
      <c r="G26" s="60"/>
      <c r="H26" s="155"/>
      <c r="I26" s="43"/>
      <c r="J26" s="155"/>
      <c r="K26" s="90"/>
      <c r="L26" s="43"/>
      <c r="M26" s="155"/>
      <c r="N26" s="90"/>
      <c r="O26" s="43"/>
      <c r="P26" s="179"/>
      <c r="Q26" s="845" t="s">
        <v>165</v>
      </c>
      <c r="R26" s="20"/>
      <c r="S26" s="49">
        <v>20</v>
      </c>
      <c r="T26" s="823">
        <v>100</v>
      </c>
      <c r="U26" s="342"/>
    </row>
    <row r="27" spans="1:25" ht="29.25" customHeight="1" x14ac:dyDescent="0.2">
      <c r="A27" s="2029"/>
      <c r="B27" s="2030"/>
      <c r="C27" s="2031"/>
      <c r="D27" s="2032" t="s">
        <v>240</v>
      </c>
      <c r="E27" s="733" t="s">
        <v>47</v>
      </c>
      <c r="F27" s="2034"/>
      <c r="G27" s="65" t="s">
        <v>25</v>
      </c>
      <c r="H27" s="103"/>
      <c r="I27" s="604">
        <v>-100</v>
      </c>
      <c r="J27" s="912">
        <f>I27-H27</f>
        <v>-100</v>
      </c>
      <c r="K27" s="87"/>
      <c r="L27" s="604">
        <v>100</v>
      </c>
      <c r="M27" s="912">
        <f>L27-K27</f>
        <v>100</v>
      </c>
      <c r="N27" s="87"/>
      <c r="O27" s="232"/>
      <c r="P27" s="63"/>
      <c r="Q27" s="846" t="s">
        <v>188</v>
      </c>
      <c r="R27" s="502">
        <v>20</v>
      </c>
      <c r="S27" s="522">
        <v>100</v>
      </c>
      <c r="T27" s="824"/>
      <c r="U27" s="2026" t="s">
        <v>349</v>
      </c>
      <c r="V27" s="1" t="s">
        <v>324</v>
      </c>
    </row>
    <row r="28" spans="1:25" ht="66" customHeight="1" x14ac:dyDescent="0.2">
      <c r="A28" s="2029"/>
      <c r="B28" s="2030"/>
      <c r="C28" s="2031"/>
      <c r="D28" s="2033"/>
      <c r="E28" s="544"/>
      <c r="F28" s="2034"/>
      <c r="G28" s="60"/>
      <c r="H28" s="155"/>
      <c r="I28" s="43"/>
      <c r="J28" s="155"/>
      <c r="K28" s="90"/>
      <c r="L28" s="43"/>
      <c r="M28" s="155"/>
      <c r="N28" s="90"/>
      <c r="O28" s="43"/>
      <c r="P28" s="179"/>
      <c r="Q28" s="847"/>
      <c r="R28" s="169"/>
      <c r="S28" s="318"/>
      <c r="T28" s="825"/>
      <c r="U28" s="2027"/>
    </row>
    <row r="29" spans="1:25" ht="24.75" customHeight="1" x14ac:dyDescent="0.2">
      <c r="A29" s="720"/>
      <c r="B29" s="721"/>
      <c r="C29" s="226"/>
      <c r="D29" s="2108" t="s">
        <v>249</v>
      </c>
      <c r="E29" s="2109" t="s">
        <v>47</v>
      </c>
      <c r="F29" s="725"/>
      <c r="G29" s="65"/>
      <c r="H29" s="103"/>
      <c r="I29" s="232"/>
      <c r="J29" s="103"/>
      <c r="K29" s="177"/>
      <c r="L29" s="175"/>
      <c r="M29" s="567"/>
      <c r="N29" s="177"/>
      <c r="O29" s="175"/>
      <c r="P29" s="218"/>
      <c r="Q29" s="1091" t="s">
        <v>46</v>
      </c>
      <c r="R29" s="1093"/>
      <c r="S29" s="1105">
        <v>1</v>
      </c>
      <c r="T29" s="166"/>
      <c r="U29" s="265"/>
      <c r="Y29" s="719"/>
    </row>
    <row r="30" spans="1:25" ht="18" customHeight="1" x14ac:dyDescent="0.2">
      <c r="A30" s="720"/>
      <c r="B30" s="721"/>
      <c r="C30" s="97"/>
      <c r="D30" s="2102"/>
      <c r="E30" s="2110"/>
      <c r="F30" s="725"/>
      <c r="G30" s="65"/>
      <c r="H30" s="491"/>
      <c r="I30" s="490"/>
      <c r="J30" s="491"/>
      <c r="K30" s="177"/>
      <c r="L30" s="175"/>
      <c r="M30" s="567"/>
      <c r="N30" s="177"/>
      <c r="O30" s="175"/>
      <c r="P30" s="218"/>
      <c r="Q30" s="916"/>
      <c r="R30" s="20"/>
      <c r="S30" s="322"/>
      <c r="T30" s="49"/>
      <c r="U30" s="958"/>
    </row>
    <row r="31" spans="1:25" ht="13.5" customHeight="1" x14ac:dyDescent="0.2">
      <c r="A31" s="720"/>
      <c r="B31" s="721"/>
      <c r="C31" s="226"/>
      <c r="D31" s="2100" t="s">
        <v>178</v>
      </c>
      <c r="E31" s="734" t="s">
        <v>47</v>
      </c>
      <c r="F31" s="92"/>
      <c r="G31" s="65"/>
      <c r="H31" s="491"/>
      <c r="I31" s="490"/>
      <c r="J31" s="491"/>
      <c r="K31" s="837"/>
      <c r="L31" s="490"/>
      <c r="M31" s="491"/>
      <c r="N31" s="837"/>
      <c r="O31" s="490"/>
      <c r="P31" s="650"/>
      <c r="Q31" s="2095" t="s">
        <v>166</v>
      </c>
      <c r="R31" s="480"/>
      <c r="S31" s="480"/>
      <c r="T31" s="787">
        <v>1</v>
      </c>
      <c r="U31" s="2299"/>
    </row>
    <row r="32" spans="1:25" ht="18.75" customHeight="1" x14ac:dyDescent="0.2">
      <c r="A32" s="720"/>
      <c r="B32" s="721"/>
      <c r="C32" s="97"/>
      <c r="D32" s="2046"/>
      <c r="E32" s="735"/>
      <c r="F32" s="92"/>
      <c r="G32" s="67"/>
      <c r="H32" s="491"/>
      <c r="I32" s="490"/>
      <c r="J32" s="491"/>
      <c r="K32" s="837"/>
      <c r="L32" s="490"/>
      <c r="M32" s="491"/>
      <c r="N32" s="837"/>
      <c r="O32" s="490"/>
      <c r="P32" s="650"/>
      <c r="Q32" s="2301"/>
      <c r="R32" s="482"/>
      <c r="S32" s="482"/>
      <c r="T32" s="788"/>
      <c r="U32" s="2300"/>
    </row>
    <row r="33" spans="1:22" ht="25.5" customHeight="1" x14ac:dyDescent="0.2">
      <c r="A33" s="720"/>
      <c r="B33" s="721"/>
      <c r="C33" s="723"/>
      <c r="D33" s="2101" t="s">
        <v>241</v>
      </c>
      <c r="E33" s="733" t="s">
        <v>47</v>
      </c>
      <c r="F33" s="2034"/>
      <c r="G33" s="65"/>
      <c r="H33" s="491"/>
      <c r="I33" s="490"/>
      <c r="J33" s="491"/>
      <c r="K33" s="87"/>
      <c r="L33" s="232"/>
      <c r="M33" s="103"/>
      <c r="N33" s="87"/>
      <c r="O33" s="232"/>
      <c r="P33" s="63"/>
      <c r="Q33" s="914" t="s">
        <v>166</v>
      </c>
      <c r="R33" s="281"/>
      <c r="S33" s="281">
        <v>1</v>
      </c>
      <c r="T33" s="281"/>
      <c r="U33" s="2042"/>
    </row>
    <row r="34" spans="1:22" ht="26.25" customHeight="1" x14ac:dyDescent="0.2">
      <c r="A34" s="720"/>
      <c r="B34" s="721"/>
      <c r="C34" s="723"/>
      <c r="D34" s="2102"/>
      <c r="E34" s="735"/>
      <c r="F34" s="2034"/>
      <c r="G34" s="65"/>
      <c r="H34" s="491"/>
      <c r="I34" s="490"/>
      <c r="J34" s="491"/>
      <c r="K34" s="87"/>
      <c r="L34" s="232"/>
      <c r="M34" s="103"/>
      <c r="N34" s="87"/>
      <c r="O34" s="232"/>
      <c r="P34" s="63"/>
      <c r="Q34" s="915" t="s">
        <v>304</v>
      </c>
      <c r="R34" s="281"/>
      <c r="S34" s="281"/>
      <c r="T34" s="321">
        <v>100</v>
      </c>
      <c r="U34" s="2222"/>
    </row>
    <row r="35" spans="1:22" ht="13.5" customHeight="1" x14ac:dyDescent="0.2">
      <c r="A35" s="720"/>
      <c r="B35" s="721"/>
      <c r="C35" s="226"/>
      <c r="D35" s="2045" t="s">
        <v>246</v>
      </c>
      <c r="E35" s="1183" t="s">
        <v>47</v>
      </c>
      <c r="F35" s="352"/>
      <c r="G35" s="65"/>
      <c r="H35" s="103"/>
      <c r="I35" s="232"/>
      <c r="J35" s="103"/>
      <c r="K35" s="87"/>
      <c r="L35" s="232"/>
      <c r="M35" s="103"/>
      <c r="N35" s="837"/>
      <c r="O35" s="490"/>
      <c r="P35" s="650"/>
      <c r="Q35" s="2095" t="s">
        <v>254</v>
      </c>
      <c r="R35" s="480"/>
      <c r="S35" s="480">
        <v>1</v>
      </c>
      <c r="T35" s="1206"/>
      <c r="U35" s="828"/>
    </row>
    <row r="36" spans="1:22" ht="27.75" customHeight="1" x14ac:dyDescent="0.2">
      <c r="A36" s="720"/>
      <c r="B36" s="721"/>
      <c r="C36" s="226"/>
      <c r="D36" s="2046"/>
      <c r="E36" s="1184"/>
      <c r="F36" s="352"/>
      <c r="G36" s="64"/>
      <c r="H36" s="494"/>
      <c r="I36" s="493"/>
      <c r="J36" s="494"/>
      <c r="K36" s="838"/>
      <c r="L36" s="493"/>
      <c r="M36" s="494"/>
      <c r="N36" s="838"/>
      <c r="O36" s="493"/>
      <c r="P36" s="866"/>
      <c r="Q36" s="2096"/>
      <c r="R36" s="482"/>
      <c r="S36" s="482"/>
      <c r="T36" s="1207"/>
      <c r="U36" s="828"/>
    </row>
    <row r="37" spans="1:22" ht="17.25" customHeight="1" thickBot="1" x14ac:dyDescent="0.25">
      <c r="A37" s="72"/>
      <c r="B37" s="764"/>
      <c r="C37" s="99"/>
      <c r="D37" s="640"/>
      <c r="E37" s="641"/>
      <c r="F37" s="642"/>
      <c r="G37" s="141" t="s">
        <v>6</v>
      </c>
      <c r="H37" s="189">
        <f t="shared" ref="H37:P37" si="0">SUM(H14:H36)</f>
        <v>1016.4</v>
      </c>
      <c r="I37" s="833">
        <f t="shared" si="0"/>
        <v>891.4</v>
      </c>
      <c r="J37" s="833">
        <f t="shared" si="0"/>
        <v>-125</v>
      </c>
      <c r="K37" s="212">
        <f t="shared" si="0"/>
        <v>2156.6</v>
      </c>
      <c r="L37" s="833">
        <f t="shared" si="0"/>
        <v>2256.6</v>
      </c>
      <c r="M37" s="833">
        <f t="shared" si="0"/>
        <v>100</v>
      </c>
      <c r="N37" s="212">
        <f t="shared" si="0"/>
        <v>960.9</v>
      </c>
      <c r="O37" s="833">
        <f t="shared" si="0"/>
        <v>985.9</v>
      </c>
      <c r="P37" s="222">
        <f t="shared" si="0"/>
        <v>25</v>
      </c>
      <c r="Q37" s="849"/>
      <c r="R37" s="644"/>
      <c r="S37" s="645"/>
      <c r="T37" s="790"/>
      <c r="U37" s="646"/>
    </row>
    <row r="38" spans="1:22" ht="12.75" customHeight="1" x14ac:dyDescent="0.2">
      <c r="A38" s="761" t="s">
        <v>5</v>
      </c>
      <c r="B38" s="763" t="s">
        <v>5</v>
      </c>
      <c r="C38" s="748" t="s">
        <v>7</v>
      </c>
      <c r="D38" s="2097" t="s">
        <v>50</v>
      </c>
      <c r="E38" s="2099" t="s">
        <v>92</v>
      </c>
      <c r="F38" s="765" t="s">
        <v>43</v>
      </c>
      <c r="G38" s="353" t="s">
        <v>25</v>
      </c>
      <c r="H38" s="224">
        <v>744.6</v>
      </c>
      <c r="I38" s="187">
        <v>744.6</v>
      </c>
      <c r="J38" s="224"/>
      <c r="K38" s="223">
        <v>1130</v>
      </c>
      <c r="L38" s="187">
        <v>1130</v>
      </c>
      <c r="M38" s="224"/>
      <c r="N38" s="223">
        <v>1442.6</v>
      </c>
      <c r="O38" s="187">
        <v>1442.6</v>
      </c>
      <c r="P38" s="366"/>
      <c r="Q38" s="102"/>
      <c r="R38" s="275"/>
      <c r="S38" s="275"/>
      <c r="T38" s="791"/>
      <c r="U38" s="829"/>
    </row>
    <row r="39" spans="1:22" ht="16.5" customHeight="1" x14ac:dyDescent="0.2">
      <c r="A39" s="729"/>
      <c r="B39" s="721"/>
      <c r="C39" s="723"/>
      <c r="D39" s="2098"/>
      <c r="E39" s="2050"/>
      <c r="F39" s="725"/>
      <c r="G39" s="242" t="s">
        <v>105</v>
      </c>
      <c r="H39" s="103">
        <v>100</v>
      </c>
      <c r="I39" s="232">
        <v>100</v>
      </c>
      <c r="J39" s="103"/>
      <c r="K39" s="87">
        <v>3150</v>
      </c>
      <c r="L39" s="232">
        <v>3150</v>
      </c>
      <c r="M39" s="103"/>
      <c r="N39" s="87">
        <v>2450</v>
      </c>
      <c r="O39" s="232">
        <v>2450</v>
      </c>
      <c r="P39" s="63"/>
      <c r="Q39" s="571"/>
      <c r="R39" s="281"/>
      <c r="S39" s="281"/>
      <c r="T39" s="321"/>
      <c r="U39" s="265"/>
    </row>
    <row r="40" spans="1:22" ht="16.5" customHeight="1" x14ac:dyDescent="0.2">
      <c r="A40" s="1092"/>
      <c r="B40" s="1086"/>
      <c r="C40" s="1087"/>
      <c r="D40" s="1107"/>
      <c r="E40" s="2050"/>
      <c r="F40" s="1089"/>
      <c r="G40" s="242" t="s">
        <v>62</v>
      </c>
      <c r="H40" s="103">
        <v>5.9</v>
      </c>
      <c r="I40" s="232">
        <v>5.9</v>
      </c>
      <c r="J40" s="103"/>
      <c r="K40" s="87"/>
      <c r="L40" s="232"/>
      <c r="M40" s="103"/>
      <c r="N40" s="87"/>
      <c r="O40" s="232"/>
      <c r="P40" s="63"/>
      <c r="Q40" s="1097"/>
      <c r="R40" s="1103"/>
      <c r="S40" s="1103"/>
      <c r="T40" s="321"/>
      <c r="U40" s="1095"/>
    </row>
    <row r="41" spans="1:22" ht="16.5" customHeight="1" x14ac:dyDescent="0.2">
      <c r="A41" s="1186"/>
      <c r="B41" s="1178"/>
      <c r="C41" s="1179"/>
      <c r="D41" s="1107"/>
      <c r="E41" s="2050"/>
      <c r="F41" s="1181"/>
      <c r="G41" s="242" t="s">
        <v>104</v>
      </c>
      <c r="H41" s="103">
        <v>366.6</v>
      </c>
      <c r="I41" s="232">
        <v>366.6</v>
      </c>
      <c r="J41" s="103"/>
      <c r="K41" s="87"/>
      <c r="L41" s="232"/>
      <c r="M41" s="103"/>
      <c r="N41" s="87"/>
      <c r="O41" s="232"/>
      <c r="P41" s="63"/>
      <c r="Q41" s="1188"/>
      <c r="R41" s="1192"/>
      <c r="S41" s="1192"/>
      <c r="T41" s="321"/>
      <c r="U41" s="1187"/>
    </row>
    <row r="42" spans="1:22" ht="14.25" customHeight="1" x14ac:dyDescent="0.2">
      <c r="A42" s="729"/>
      <c r="B42" s="721"/>
      <c r="C42" s="723"/>
      <c r="D42" s="1208"/>
      <c r="E42" s="2050"/>
      <c r="F42" s="725"/>
      <c r="G42" s="77" t="s">
        <v>45</v>
      </c>
      <c r="H42" s="155"/>
      <c r="I42" s="43"/>
      <c r="J42" s="155"/>
      <c r="K42" s="90"/>
      <c r="L42" s="43"/>
      <c r="M42" s="155"/>
      <c r="N42" s="90">
        <v>95</v>
      </c>
      <c r="O42" s="43">
        <v>95</v>
      </c>
      <c r="P42" s="179"/>
      <c r="Q42" s="850"/>
      <c r="R42" s="20"/>
      <c r="S42" s="20"/>
      <c r="T42" s="322"/>
      <c r="U42" s="265"/>
    </row>
    <row r="43" spans="1:22" ht="39.75" customHeight="1" x14ac:dyDescent="0.2">
      <c r="A43" s="2044"/>
      <c r="B43" s="2030"/>
      <c r="C43" s="2031"/>
      <c r="D43" s="2100" t="s">
        <v>237</v>
      </c>
      <c r="E43" s="734" t="s">
        <v>47</v>
      </c>
      <c r="F43" s="2031"/>
      <c r="G43" s="65"/>
      <c r="H43" s="103"/>
      <c r="I43" s="232"/>
      <c r="J43" s="103"/>
      <c r="K43" s="87"/>
      <c r="L43" s="232"/>
      <c r="M43" s="103"/>
      <c r="N43" s="87"/>
      <c r="O43" s="232"/>
      <c r="P43" s="63"/>
      <c r="Q43" s="851" t="s">
        <v>174</v>
      </c>
      <c r="R43" s="758">
        <v>1</v>
      </c>
      <c r="S43" s="758"/>
      <c r="T43" s="792"/>
      <c r="U43" s="342"/>
    </row>
    <row r="44" spans="1:22" ht="42" customHeight="1" x14ac:dyDescent="0.2">
      <c r="A44" s="2044"/>
      <c r="B44" s="2030"/>
      <c r="C44" s="2031"/>
      <c r="D44" s="2100"/>
      <c r="E44" s="734"/>
      <c r="F44" s="2031"/>
      <c r="G44" s="65"/>
      <c r="H44" s="103"/>
      <c r="I44" s="232"/>
      <c r="J44" s="103"/>
      <c r="K44" s="87"/>
      <c r="L44" s="232"/>
      <c r="M44" s="103"/>
      <c r="N44" s="87"/>
      <c r="O44" s="232"/>
      <c r="P44" s="63"/>
      <c r="Q44" s="852" t="s">
        <v>217</v>
      </c>
      <c r="R44" s="50">
        <v>100</v>
      </c>
      <c r="S44" s="50"/>
      <c r="T44" s="793"/>
      <c r="U44" s="342"/>
    </row>
    <row r="45" spans="1:22" ht="39" customHeight="1" x14ac:dyDescent="0.2">
      <c r="A45" s="2044"/>
      <c r="B45" s="2030"/>
      <c r="C45" s="2031"/>
      <c r="D45" s="2100"/>
      <c r="E45" s="734"/>
      <c r="F45" s="2031"/>
      <c r="G45" s="65"/>
      <c r="H45" s="103"/>
      <c r="I45" s="232"/>
      <c r="J45" s="103"/>
      <c r="K45" s="87"/>
      <c r="L45" s="232"/>
      <c r="M45" s="103"/>
      <c r="N45" s="87"/>
      <c r="O45" s="232"/>
      <c r="P45" s="63"/>
      <c r="Q45" s="852" t="s">
        <v>218</v>
      </c>
      <c r="R45" s="50">
        <v>40</v>
      </c>
      <c r="S45" s="50">
        <v>100</v>
      </c>
      <c r="T45" s="793"/>
      <c r="U45" s="342"/>
    </row>
    <row r="46" spans="1:22" ht="55.5" customHeight="1" x14ac:dyDescent="0.2">
      <c r="A46" s="2044"/>
      <c r="B46" s="2030"/>
      <c r="C46" s="2031"/>
      <c r="D46" s="2100"/>
      <c r="E46" s="734"/>
      <c r="F46" s="2031"/>
      <c r="G46" s="65"/>
      <c r="H46" s="103"/>
      <c r="I46" s="232"/>
      <c r="J46" s="103"/>
      <c r="K46" s="87"/>
      <c r="L46" s="1106"/>
      <c r="M46" s="103"/>
      <c r="N46" s="87"/>
      <c r="O46" s="232"/>
      <c r="P46" s="63"/>
      <c r="Q46" s="956" t="s">
        <v>293</v>
      </c>
      <c r="R46" s="50"/>
      <c r="S46" s="50">
        <v>30</v>
      </c>
      <c r="T46" s="793">
        <v>60</v>
      </c>
      <c r="U46" s="342"/>
    </row>
    <row r="47" spans="1:22" ht="30.75" customHeight="1" x14ac:dyDescent="0.2">
      <c r="A47" s="2044"/>
      <c r="B47" s="2030"/>
      <c r="C47" s="2031"/>
      <c r="D47" s="2045" t="s">
        <v>59</v>
      </c>
      <c r="E47" s="109" t="s">
        <v>47</v>
      </c>
      <c r="F47" s="2034"/>
      <c r="G47" s="57" t="s">
        <v>25</v>
      </c>
      <c r="H47" s="128"/>
      <c r="I47" s="943">
        <v>-87.4</v>
      </c>
      <c r="J47" s="945">
        <f>I47-H47</f>
        <v>-87.4</v>
      </c>
      <c r="K47" s="91"/>
      <c r="L47" s="943">
        <v>87.4</v>
      </c>
      <c r="M47" s="945">
        <f>L47-K47</f>
        <v>87.4</v>
      </c>
      <c r="N47" s="964"/>
      <c r="O47" s="943"/>
      <c r="P47" s="944"/>
      <c r="Q47" s="957" t="s">
        <v>168</v>
      </c>
      <c r="R47" s="757"/>
      <c r="S47" s="757">
        <v>70</v>
      </c>
      <c r="T47" s="794">
        <v>100</v>
      </c>
      <c r="U47" s="2026" t="s">
        <v>350</v>
      </c>
      <c r="V47" s="1" t="s">
        <v>324</v>
      </c>
    </row>
    <row r="48" spans="1:22" ht="71.25" customHeight="1" x14ac:dyDescent="0.2">
      <c r="A48" s="2044"/>
      <c r="B48" s="2030"/>
      <c r="C48" s="2031"/>
      <c r="D48" s="2046"/>
      <c r="E48" s="110"/>
      <c r="F48" s="2034"/>
      <c r="G48" s="60"/>
      <c r="H48" s="155"/>
      <c r="I48" s="43"/>
      <c r="J48" s="155"/>
      <c r="K48" s="90"/>
      <c r="L48" s="43"/>
      <c r="M48" s="155"/>
      <c r="N48" s="90"/>
      <c r="O48" s="43"/>
      <c r="P48" s="179"/>
      <c r="Q48" s="853"/>
      <c r="R48" s="46"/>
      <c r="S48" s="46"/>
      <c r="T48" s="795"/>
      <c r="U48" s="2028"/>
    </row>
    <row r="49" spans="1:23" ht="17.25" customHeight="1" x14ac:dyDescent="0.2">
      <c r="A49" s="720"/>
      <c r="B49" s="721"/>
      <c r="C49" s="92"/>
      <c r="D49" s="2045" t="s">
        <v>242</v>
      </c>
      <c r="E49" s="2115" t="s">
        <v>47</v>
      </c>
      <c r="F49" s="2291"/>
      <c r="G49" s="57"/>
      <c r="H49" s="400"/>
      <c r="I49" s="968"/>
      <c r="J49" s="969"/>
      <c r="K49" s="407"/>
      <c r="L49" s="966"/>
      <c r="M49" s="400"/>
      <c r="N49" s="407"/>
      <c r="O49" s="966"/>
      <c r="P49" s="967"/>
      <c r="Q49" s="970" t="s">
        <v>97</v>
      </c>
      <c r="R49" s="483">
        <v>1</v>
      </c>
      <c r="S49" s="465"/>
      <c r="T49" s="797"/>
      <c r="U49" s="2042"/>
    </row>
    <row r="50" spans="1:23" ht="22.5" customHeight="1" x14ac:dyDescent="0.2">
      <c r="A50" s="720"/>
      <c r="B50" s="721"/>
      <c r="C50" s="92"/>
      <c r="D50" s="2100"/>
      <c r="E50" s="2116"/>
      <c r="F50" s="2291"/>
      <c r="G50" s="64"/>
      <c r="H50" s="971"/>
      <c r="I50" s="972"/>
      <c r="J50" s="971"/>
      <c r="K50" s="973"/>
      <c r="L50" s="972"/>
      <c r="M50" s="971"/>
      <c r="N50" s="973"/>
      <c r="O50" s="972"/>
      <c r="P50" s="974"/>
      <c r="Q50" s="975"/>
      <c r="R50" s="476"/>
      <c r="S50" s="478"/>
      <c r="T50" s="321"/>
      <c r="U50" s="2222"/>
    </row>
    <row r="51" spans="1:23" ht="22.5" customHeight="1" x14ac:dyDescent="0.2">
      <c r="A51" s="720"/>
      <c r="B51" s="721"/>
      <c r="C51" s="92"/>
      <c r="D51" s="2032" t="s">
        <v>271</v>
      </c>
      <c r="E51" s="730"/>
      <c r="F51" s="731"/>
      <c r="G51" s="269" t="s">
        <v>25</v>
      </c>
      <c r="H51" s="128"/>
      <c r="I51" s="943">
        <v>-5</v>
      </c>
      <c r="J51" s="945">
        <f>I51-H51</f>
        <v>-5</v>
      </c>
      <c r="K51" s="91"/>
      <c r="L51" s="943">
        <v>5</v>
      </c>
      <c r="M51" s="945">
        <f>L51-K51</f>
        <v>5</v>
      </c>
      <c r="N51" s="91"/>
      <c r="O51" s="51"/>
      <c r="P51" s="203"/>
      <c r="Q51" s="1099" t="s">
        <v>255</v>
      </c>
      <c r="R51" s="519">
        <v>1</v>
      </c>
      <c r="S51" s="465"/>
      <c r="T51" s="797"/>
      <c r="U51" s="2026" t="s">
        <v>338</v>
      </c>
      <c r="V51" s="1" t="s">
        <v>333</v>
      </c>
    </row>
    <row r="52" spans="1:23" ht="48.75" customHeight="1" x14ac:dyDescent="0.2">
      <c r="A52" s="720"/>
      <c r="B52" s="721"/>
      <c r="C52" s="92"/>
      <c r="D52" s="2114"/>
      <c r="E52" s="730"/>
      <c r="F52" s="731"/>
      <c r="G52" s="71"/>
      <c r="H52" s="155"/>
      <c r="I52" s="43"/>
      <c r="J52" s="155"/>
      <c r="K52" s="90"/>
      <c r="L52" s="43"/>
      <c r="M52" s="155"/>
      <c r="N52" s="90"/>
      <c r="O52" s="43"/>
      <c r="P52" s="179"/>
      <c r="Q52" s="855" t="s">
        <v>46</v>
      </c>
      <c r="R52" s="521"/>
      <c r="S52" s="484"/>
      <c r="T52" s="322">
        <v>1</v>
      </c>
      <c r="U52" s="2028"/>
      <c r="V52" s="1" t="s">
        <v>324</v>
      </c>
    </row>
    <row r="53" spans="1:23" ht="14.25" customHeight="1" x14ac:dyDescent="0.2">
      <c r="A53" s="720"/>
      <c r="B53" s="721"/>
      <c r="C53" s="92"/>
      <c r="D53" s="2045" t="s">
        <v>272</v>
      </c>
      <c r="E53" s="2115" t="s">
        <v>47</v>
      </c>
      <c r="F53" s="2117"/>
      <c r="G53" s="65"/>
      <c r="H53" s="355"/>
      <c r="I53" s="402"/>
      <c r="J53" s="355"/>
      <c r="K53" s="350"/>
      <c r="L53" s="402"/>
      <c r="M53" s="355"/>
      <c r="N53" s="350"/>
      <c r="O53" s="402"/>
      <c r="P53" s="351"/>
      <c r="Q53" s="854" t="s">
        <v>97</v>
      </c>
      <c r="R53" s="476"/>
      <c r="S53" s="478"/>
      <c r="T53" s="321">
        <v>1</v>
      </c>
      <c r="U53" s="265"/>
    </row>
    <row r="54" spans="1:23" ht="17.25" customHeight="1" x14ac:dyDescent="0.2">
      <c r="A54" s="720"/>
      <c r="B54" s="721"/>
      <c r="C54" s="92"/>
      <c r="D54" s="2100"/>
      <c r="E54" s="2116"/>
      <c r="F54" s="2117"/>
      <c r="G54" s="71"/>
      <c r="H54" s="155"/>
      <c r="I54" s="43"/>
      <c r="J54" s="155"/>
      <c r="K54" s="90"/>
      <c r="L54" s="43"/>
      <c r="M54" s="155"/>
      <c r="N54" s="90"/>
      <c r="O54" s="43"/>
      <c r="P54" s="179"/>
      <c r="Q54" s="856"/>
      <c r="R54" s="476"/>
      <c r="S54" s="478"/>
      <c r="T54" s="321"/>
      <c r="U54" s="265"/>
    </row>
    <row r="55" spans="1:23" ht="17.25" customHeight="1" thickBot="1" x14ac:dyDescent="0.25">
      <c r="A55" s="72"/>
      <c r="B55" s="764"/>
      <c r="C55" s="99"/>
      <c r="D55" s="640"/>
      <c r="E55" s="641"/>
      <c r="F55" s="642"/>
      <c r="G55" s="141" t="s">
        <v>6</v>
      </c>
      <c r="H55" s="189">
        <f>SUM(H38:H54)</f>
        <v>1217.0999999999999</v>
      </c>
      <c r="I55" s="833">
        <f>SUM(I38:I54)</f>
        <v>1124.7</v>
      </c>
      <c r="J55" s="220">
        <f t="shared" ref="J55:P55" si="1">SUM(J38:J54)</f>
        <v>-92.4</v>
      </c>
      <c r="K55" s="189">
        <f t="shared" si="1"/>
        <v>4280</v>
      </c>
      <c r="L55" s="833">
        <f t="shared" si="1"/>
        <v>4372.3999999999996</v>
      </c>
      <c r="M55" s="786">
        <f t="shared" si="1"/>
        <v>92.4</v>
      </c>
      <c r="N55" s="212">
        <f t="shared" si="1"/>
        <v>3987.6</v>
      </c>
      <c r="O55" s="833">
        <f>SUM(O38:O54)</f>
        <v>3987.6</v>
      </c>
      <c r="P55" s="220">
        <f t="shared" si="1"/>
        <v>0</v>
      </c>
      <c r="Q55" s="849"/>
      <c r="R55" s="644"/>
      <c r="S55" s="645"/>
      <c r="T55" s="790"/>
      <c r="U55" s="646"/>
      <c r="V55" s="52"/>
    </row>
    <row r="56" spans="1:23" ht="15" customHeight="1" x14ac:dyDescent="0.2">
      <c r="A56" s="720" t="s">
        <v>5</v>
      </c>
      <c r="B56" s="732" t="s">
        <v>5</v>
      </c>
      <c r="C56" s="723" t="s">
        <v>28</v>
      </c>
      <c r="D56" s="2118" t="s">
        <v>100</v>
      </c>
      <c r="E56" s="2120" t="s">
        <v>94</v>
      </c>
      <c r="F56" s="765" t="s">
        <v>43</v>
      </c>
      <c r="G56" s="223" t="s">
        <v>25</v>
      </c>
      <c r="H56" s="365">
        <v>326</v>
      </c>
      <c r="I56" s="187">
        <v>326</v>
      </c>
      <c r="J56" s="366"/>
      <c r="K56" s="879">
        <f>633.9+875.5-263.4</f>
        <v>1246</v>
      </c>
      <c r="L56" s="187">
        <f>633.9+875.5-263.4</f>
        <v>1246</v>
      </c>
      <c r="M56" s="224"/>
      <c r="N56" s="365">
        <f>2792.4-328.6</f>
        <v>2463.8000000000002</v>
      </c>
      <c r="O56" s="187">
        <f>2792.4-328.6</f>
        <v>2463.8000000000002</v>
      </c>
      <c r="P56" s="941"/>
      <c r="Q56" s="857"/>
      <c r="R56" s="356"/>
      <c r="S56" s="585"/>
      <c r="T56" s="585"/>
      <c r="U56" s="586"/>
    </row>
    <row r="57" spans="1:23" ht="11.25" customHeight="1" x14ac:dyDescent="0.2">
      <c r="A57" s="720"/>
      <c r="B57" s="732"/>
      <c r="C57" s="723"/>
      <c r="D57" s="2119"/>
      <c r="E57" s="2121"/>
      <c r="F57" s="725"/>
      <c r="G57" s="87" t="s">
        <v>105</v>
      </c>
      <c r="H57" s="135">
        <f>860-300</f>
        <v>560</v>
      </c>
      <c r="I57" s="232">
        <f>860-300</f>
        <v>560</v>
      </c>
      <c r="J57" s="63"/>
      <c r="K57" s="125">
        <v>1000</v>
      </c>
      <c r="L57" s="232">
        <v>1000</v>
      </c>
      <c r="M57" s="103"/>
      <c r="N57" s="135"/>
      <c r="O57" s="232"/>
      <c r="P57" s="63"/>
      <c r="Q57" s="571"/>
      <c r="R57" s="412"/>
      <c r="S57" s="413"/>
      <c r="T57" s="413"/>
      <c r="U57" s="342"/>
    </row>
    <row r="58" spans="1:23" ht="11.25" customHeight="1" x14ac:dyDescent="0.2">
      <c r="A58" s="720"/>
      <c r="B58" s="732"/>
      <c r="C58" s="723"/>
      <c r="D58" s="2119"/>
      <c r="E58" s="2121"/>
      <c r="F58" s="725"/>
      <c r="G58" s="87" t="s">
        <v>104</v>
      </c>
      <c r="H58" s="135">
        <v>198.4</v>
      </c>
      <c r="I58" s="232">
        <v>198.4</v>
      </c>
      <c r="J58" s="63"/>
      <c r="K58" s="103"/>
      <c r="L58" s="232"/>
      <c r="M58" s="103"/>
      <c r="N58" s="135"/>
      <c r="O58" s="232"/>
      <c r="P58" s="63"/>
      <c r="Q58" s="571"/>
      <c r="R58" s="412"/>
      <c r="S58" s="413"/>
      <c r="T58" s="413"/>
      <c r="U58" s="342"/>
    </row>
    <row r="59" spans="1:23" ht="11.25" customHeight="1" x14ac:dyDescent="0.2">
      <c r="A59" s="1153"/>
      <c r="B59" s="1156"/>
      <c r="C59" s="1154"/>
      <c r="D59" s="2119"/>
      <c r="E59" s="2121"/>
      <c r="F59" s="1155"/>
      <c r="G59" s="87" t="s">
        <v>48</v>
      </c>
      <c r="H59" s="350">
        <v>300</v>
      </c>
      <c r="I59" s="402">
        <v>300</v>
      </c>
      <c r="J59" s="351"/>
      <c r="K59" s="355"/>
      <c r="L59" s="402"/>
      <c r="M59" s="103"/>
      <c r="N59" s="87"/>
      <c r="O59" s="232"/>
      <c r="P59" s="63"/>
      <c r="Q59" s="1165"/>
      <c r="R59" s="1163"/>
      <c r="S59" s="413"/>
      <c r="T59" s="413"/>
      <c r="U59" s="342"/>
    </row>
    <row r="60" spans="1:23" ht="11.25" customHeight="1" x14ac:dyDescent="0.2">
      <c r="A60" s="1153"/>
      <c r="B60" s="1156"/>
      <c r="C60" s="1154"/>
      <c r="D60" s="2119"/>
      <c r="E60" s="2121"/>
      <c r="F60" s="1155"/>
      <c r="G60" s="87" t="s">
        <v>45</v>
      </c>
      <c r="H60" s="350"/>
      <c r="I60" s="1077"/>
      <c r="J60" s="1078"/>
      <c r="K60" s="355">
        <v>150</v>
      </c>
      <c r="L60" s="402">
        <v>150</v>
      </c>
      <c r="M60" s="103"/>
      <c r="N60" s="87"/>
      <c r="O60" s="232"/>
      <c r="P60" s="63"/>
      <c r="Q60" s="1165"/>
      <c r="R60" s="1163"/>
      <c r="S60" s="413"/>
      <c r="T60" s="413"/>
      <c r="U60" s="342"/>
    </row>
    <row r="61" spans="1:23" ht="11.25" customHeight="1" x14ac:dyDescent="0.2">
      <c r="A61" s="720"/>
      <c r="B61" s="732"/>
      <c r="C61" s="723"/>
      <c r="D61" s="2039"/>
      <c r="E61" s="2050"/>
      <c r="F61" s="725"/>
      <c r="G61" s="87" t="s">
        <v>62</v>
      </c>
      <c r="H61" s="87">
        <f>420-260+295</f>
        <v>455</v>
      </c>
      <c r="I61" s="232">
        <f>420-260+295</f>
        <v>455</v>
      </c>
      <c r="J61" s="940"/>
      <c r="K61" s="103"/>
      <c r="L61" s="232"/>
      <c r="M61" s="103"/>
      <c r="N61" s="87"/>
      <c r="O61" s="232"/>
      <c r="P61" s="63"/>
      <c r="Q61" s="571"/>
      <c r="R61" s="412"/>
      <c r="S61" s="413"/>
      <c r="T61" s="413"/>
      <c r="U61" s="342"/>
      <c r="V61" s="929"/>
      <c r="W61" s="929"/>
    </row>
    <row r="62" spans="1:23" ht="11.25" customHeight="1" x14ac:dyDescent="0.2">
      <c r="A62" s="1180"/>
      <c r="B62" s="1182"/>
      <c r="C62" s="1179"/>
      <c r="D62" s="1185"/>
      <c r="E62" s="1177"/>
      <c r="F62" s="1181"/>
      <c r="G62" s="87" t="s">
        <v>45</v>
      </c>
      <c r="H62" s="87">
        <v>40</v>
      </c>
      <c r="I62" s="232">
        <v>40</v>
      </c>
      <c r="J62" s="940"/>
      <c r="K62" s="103"/>
      <c r="L62" s="232"/>
      <c r="M62" s="103"/>
      <c r="N62" s="87"/>
      <c r="O62" s="232"/>
      <c r="P62" s="63"/>
      <c r="Q62" s="1188"/>
      <c r="R62" s="1191"/>
      <c r="S62" s="413"/>
      <c r="T62" s="413"/>
      <c r="U62" s="342"/>
      <c r="V62" s="929"/>
      <c r="W62" s="929"/>
    </row>
    <row r="63" spans="1:23" ht="13.5" customHeight="1" x14ac:dyDescent="0.2">
      <c r="A63" s="1180"/>
      <c r="B63" s="1182"/>
      <c r="C63" s="1179"/>
      <c r="D63" s="1185"/>
      <c r="E63" s="1177"/>
      <c r="F63" s="1181"/>
      <c r="G63" s="90" t="s">
        <v>44</v>
      </c>
      <c r="H63" s="132">
        <v>984.5</v>
      </c>
      <c r="I63" s="1084">
        <v>984.5</v>
      </c>
      <c r="J63" s="1212"/>
      <c r="K63" s="558">
        <v>846.2</v>
      </c>
      <c r="L63" s="1084">
        <v>846.2</v>
      </c>
      <c r="M63" s="558"/>
      <c r="N63" s="90">
        <v>149.9</v>
      </c>
      <c r="O63" s="43">
        <v>149.9</v>
      </c>
      <c r="P63" s="1211"/>
      <c r="Q63" s="1188"/>
      <c r="R63" s="1191"/>
      <c r="S63" s="413"/>
      <c r="T63" s="413"/>
      <c r="U63" s="342"/>
      <c r="V63" s="929"/>
      <c r="W63" s="929"/>
    </row>
    <row r="64" spans="1:23" ht="14.1" customHeight="1" x14ac:dyDescent="0.2">
      <c r="A64" s="2029"/>
      <c r="B64" s="2111"/>
      <c r="C64" s="2031"/>
      <c r="D64" s="2032" t="s">
        <v>148</v>
      </c>
      <c r="E64" s="2112" t="s">
        <v>47</v>
      </c>
      <c r="F64" s="2113"/>
      <c r="G64" s="1213" t="s">
        <v>44</v>
      </c>
      <c r="H64" s="1214"/>
      <c r="I64" s="1215">
        <v>-984.5</v>
      </c>
      <c r="J64" s="1216">
        <f>I64-H64</f>
        <v>-984.5</v>
      </c>
      <c r="K64" s="1213"/>
      <c r="L64" s="1215">
        <v>-846.2</v>
      </c>
      <c r="M64" s="1217">
        <f>L64-K64</f>
        <v>-846.2</v>
      </c>
      <c r="N64" s="1214"/>
      <c r="O64" s="1215">
        <v>-149.9</v>
      </c>
      <c r="P64" s="1216">
        <f>O64-N64</f>
        <v>-149.9</v>
      </c>
      <c r="Q64" s="2202"/>
      <c r="R64" s="1071"/>
      <c r="S64" s="1070"/>
      <c r="T64" s="1070"/>
      <c r="U64" s="2026" t="s">
        <v>336</v>
      </c>
    </row>
    <row r="65" spans="1:22" ht="14.1" customHeight="1" x14ac:dyDescent="0.2">
      <c r="A65" s="2029"/>
      <c r="B65" s="2111"/>
      <c r="C65" s="2031"/>
      <c r="D65" s="2141"/>
      <c r="E65" s="2109"/>
      <c r="F65" s="2113"/>
      <c r="G65" s="87" t="s">
        <v>309</v>
      </c>
      <c r="H65" s="350"/>
      <c r="I65" s="1077">
        <v>984.5</v>
      </c>
      <c r="J65" s="1078">
        <f>I65-H65</f>
        <v>984.5</v>
      </c>
      <c r="K65" s="355"/>
      <c r="L65" s="1077">
        <v>846.2</v>
      </c>
      <c r="M65" s="965">
        <v>846.2</v>
      </c>
      <c r="N65" s="87"/>
      <c r="O65" s="604">
        <v>149.9</v>
      </c>
      <c r="P65" s="940">
        <f>O65-N65</f>
        <v>149.9</v>
      </c>
      <c r="Q65" s="2211"/>
      <c r="R65" s="1102"/>
      <c r="S65" s="1102"/>
      <c r="T65" s="1102"/>
      <c r="U65" s="2164"/>
      <c r="V65" s="1" t="s">
        <v>323</v>
      </c>
    </row>
    <row r="66" spans="1:22" ht="14.25" customHeight="1" x14ac:dyDescent="0.2">
      <c r="A66" s="2029"/>
      <c r="B66" s="2111"/>
      <c r="C66" s="2031"/>
      <c r="D66" s="2039"/>
      <c r="E66" s="2109"/>
      <c r="F66" s="2113"/>
      <c r="G66" s="87" t="s">
        <v>48</v>
      </c>
      <c r="H66" s="350"/>
      <c r="I66" s="1077">
        <v>-182.4</v>
      </c>
      <c r="J66" s="1078">
        <f>I66</f>
        <v>-182.4</v>
      </c>
      <c r="K66" s="965"/>
      <c r="L66" s="1077">
        <v>182.4</v>
      </c>
      <c r="M66" s="965">
        <f>L66-K66</f>
        <v>182.4</v>
      </c>
      <c r="N66" s="1210"/>
      <c r="O66" s="1077"/>
      <c r="P66" s="1078"/>
      <c r="Q66" s="2353"/>
      <c r="R66" s="1076"/>
      <c r="S66" s="1076"/>
      <c r="T66" s="1076"/>
      <c r="U66" s="2164"/>
    </row>
    <row r="67" spans="1:22" ht="15.75" customHeight="1" x14ac:dyDescent="0.2">
      <c r="A67" s="2029"/>
      <c r="B67" s="2111"/>
      <c r="C67" s="2031"/>
      <c r="D67" s="2039"/>
      <c r="E67" s="2109"/>
      <c r="F67" s="2113"/>
      <c r="G67" s="87"/>
      <c r="H67" s="350"/>
      <c r="I67" s="1077"/>
      <c r="J67" s="1078"/>
      <c r="K67" s="965"/>
      <c r="L67" s="1077"/>
      <c r="M67" s="965"/>
      <c r="N67" s="350"/>
      <c r="O67" s="402"/>
      <c r="P67" s="351"/>
      <c r="Q67" s="1079"/>
      <c r="R67" s="1076"/>
      <c r="S67" s="1076"/>
      <c r="T67" s="1076"/>
      <c r="U67" s="2164"/>
    </row>
    <row r="68" spans="1:22" ht="24" customHeight="1" x14ac:dyDescent="0.2">
      <c r="A68" s="2029"/>
      <c r="B68" s="2111"/>
      <c r="C68" s="2031"/>
      <c r="D68" s="2292"/>
      <c r="E68" s="2109"/>
      <c r="F68" s="2113"/>
      <c r="G68" s="87"/>
      <c r="H68" s="87"/>
      <c r="I68" s="232"/>
      <c r="J68" s="63"/>
      <c r="K68" s="103"/>
      <c r="L68" s="232"/>
      <c r="M68" s="103"/>
      <c r="N68" s="87"/>
      <c r="O68" s="232"/>
      <c r="P68" s="63"/>
      <c r="Q68" s="1079"/>
      <c r="R68" s="1076"/>
      <c r="S68" s="1076"/>
      <c r="T68" s="1076"/>
      <c r="U68" s="2322" t="s">
        <v>337</v>
      </c>
    </row>
    <row r="69" spans="1:22" ht="39" customHeight="1" x14ac:dyDescent="0.2">
      <c r="A69" s="2029"/>
      <c r="B69" s="2111"/>
      <c r="C69" s="2031"/>
      <c r="D69" s="524" t="s">
        <v>172</v>
      </c>
      <c r="E69" s="2109"/>
      <c r="F69" s="2113"/>
      <c r="G69" s="87"/>
      <c r="H69" s="87"/>
      <c r="I69" s="604"/>
      <c r="J69" s="940"/>
      <c r="K69" s="103"/>
      <c r="L69" s="232"/>
      <c r="M69" s="103"/>
      <c r="N69" s="87"/>
      <c r="O69" s="232"/>
      <c r="P69" s="63"/>
      <c r="Q69" s="1080" t="s">
        <v>220</v>
      </c>
      <c r="R69" s="25">
        <v>80</v>
      </c>
      <c r="S69" s="171">
        <v>100</v>
      </c>
      <c r="T69" s="171"/>
      <c r="U69" s="2322"/>
    </row>
    <row r="70" spans="1:22" ht="42" customHeight="1" x14ac:dyDescent="0.2">
      <c r="A70" s="2029"/>
      <c r="B70" s="2111"/>
      <c r="C70" s="2031"/>
      <c r="D70" s="1074" t="s">
        <v>136</v>
      </c>
      <c r="E70" s="2110"/>
      <c r="F70" s="2113"/>
      <c r="G70" s="90"/>
      <c r="H70" s="90"/>
      <c r="I70" s="43"/>
      <c r="J70" s="179"/>
      <c r="K70" s="155"/>
      <c r="L70" s="910"/>
      <c r="M70" s="913"/>
      <c r="N70" s="90"/>
      <c r="O70" s="910"/>
      <c r="P70" s="948"/>
      <c r="Q70" s="1081" t="s">
        <v>221</v>
      </c>
      <c r="R70" s="20"/>
      <c r="S70" s="49">
        <v>80</v>
      </c>
      <c r="T70" s="49">
        <v>100</v>
      </c>
      <c r="U70" s="2323"/>
    </row>
    <row r="71" spans="1:22" ht="17.25" customHeight="1" x14ac:dyDescent="0.2">
      <c r="A71" s="720"/>
      <c r="B71" s="732"/>
      <c r="C71" s="725"/>
      <c r="D71" s="2045" t="s">
        <v>122</v>
      </c>
      <c r="E71" s="2116" t="s">
        <v>47</v>
      </c>
      <c r="F71" s="2291"/>
      <c r="G71" s="91" t="s">
        <v>62</v>
      </c>
      <c r="H71" s="91"/>
      <c r="I71" s="943">
        <v>-32</v>
      </c>
      <c r="J71" s="944">
        <f>I71-H71</f>
        <v>-32</v>
      </c>
      <c r="K71" s="128"/>
      <c r="L71" s="943">
        <v>32</v>
      </c>
      <c r="M71" s="945">
        <f>L71-K71</f>
        <v>32</v>
      </c>
      <c r="N71" s="91"/>
      <c r="O71" s="51"/>
      <c r="P71" s="203"/>
      <c r="Q71" s="957" t="s">
        <v>46</v>
      </c>
      <c r="R71" s="281">
        <v>1</v>
      </c>
      <c r="S71" s="281"/>
      <c r="T71" s="321"/>
      <c r="U71" s="2026" t="s">
        <v>339</v>
      </c>
      <c r="V71" s="1" t="s">
        <v>324</v>
      </c>
    </row>
    <row r="72" spans="1:22" ht="14.25" customHeight="1" x14ac:dyDescent="0.2">
      <c r="A72" s="720"/>
      <c r="B72" s="732"/>
      <c r="C72" s="725"/>
      <c r="D72" s="2100"/>
      <c r="E72" s="2116"/>
      <c r="F72" s="2291"/>
      <c r="G72" s="87" t="s">
        <v>25</v>
      </c>
      <c r="H72" s="87"/>
      <c r="I72" s="604">
        <v>-101.6</v>
      </c>
      <c r="J72" s="940">
        <f>I72-H72</f>
        <v>-101.6</v>
      </c>
      <c r="K72" s="103"/>
      <c r="L72" s="604">
        <v>101.6</v>
      </c>
      <c r="M72" s="1209">
        <f t="shared" ref="M72:M73" si="2">L72-K72</f>
        <v>101.6</v>
      </c>
      <c r="N72" s="87"/>
      <c r="O72" s="232"/>
      <c r="P72" s="63"/>
      <c r="Q72" s="2331" t="s">
        <v>169</v>
      </c>
      <c r="R72" s="2347" t="s">
        <v>334</v>
      </c>
      <c r="S72" s="412">
        <v>100</v>
      </c>
      <c r="T72" s="801"/>
      <c r="U72" s="2220"/>
    </row>
    <row r="73" spans="1:22" ht="105.75" customHeight="1" x14ac:dyDescent="0.2">
      <c r="A73" s="720"/>
      <c r="B73" s="732"/>
      <c r="C73" s="725"/>
      <c r="D73" s="2046"/>
      <c r="E73" s="2313"/>
      <c r="F73" s="2291"/>
      <c r="G73" s="132" t="s">
        <v>104</v>
      </c>
      <c r="H73" s="90"/>
      <c r="I73" s="910">
        <v>-198.4</v>
      </c>
      <c r="J73" s="948">
        <f>I73-H73</f>
        <v>-198.4</v>
      </c>
      <c r="K73" s="155"/>
      <c r="L73" s="910">
        <v>198.4</v>
      </c>
      <c r="M73" s="912">
        <f t="shared" si="2"/>
        <v>198.4</v>
      </c>
      <c r="N73" s="90"/>
      <c r="O73" s="43"/>
      <c r="P73" s="179"/>
      <c r="Q73" s="2332"/>
      <c r="R73" s="2348"/>
      <c r="S73" s="46"/>
      <c r="T73" s="795"/>
      <c r="U73" s="2324"/>
    </row>
    <row r="74" spans="1:22" ht="15" customHeight="1" x14ac:dyDescent="0.2">
      <c r="A74" s="720"/>
      <c r="B74" s="732"/>
      <c r="C74" s="725"/>
      <c r="D74" s="2045" t="s">
        <v>60</v>
      </c>
      <c r="E74" s="2314" t="s">
        <v>47</v>
      </c>
      <c r="F74" s="2291"/>
      <c r="G74" s="91"/>
      <c r="H74" s="91"/>
      <c r="I74" s="51"/>
      <c r="J74" s="203"/>
      <c r="K74" s="128"/>
      <c r="L74" s="51"/>
      <c r="M74" s="128"/>
      <c r="N74" s="91"/>
      <c r="O74" s="51"/>
      <c r="P74" s="203"/>
      <c r="Q74" s="1096" t="s">
        <v>46</v>
      </c>
      <c r="R74" s="757"/>
      <c r="S74" s="757"/>
      <c r="T74" s="794">
        <v>1</v>
      </c>
      <c r="U74" s="1095"/>
    </row>
    <row r="75" spans="1:22" ht="12.75" customHeight="1" x14ac:dyDescent="0.2">
      <c r="A75" s="720"/>
      <c r="B75" s="732"/>
      <c r="C75" s="725"/>
      <c r="D75" s="2046"/>
      <c r="E75" s="2315"/>
      <c r="F75" s="2291"/>
      <c r="G75" s="350"/>
      <c r="H75" s="87"/>
      <c r="I75" s="232"/>
      <c r="J75" s="63"/>
      <c r="K75" s="103"/>
      <c r="L75" s="232"/>
      <c r="M75" s="103"/>
      <c r="N75" s="87"/>
      <c r="O75" s="232"/>
      <c r="P75" s="63"/>
      <c r="Q75" s="850"/>
      <c r="R75" s="7"/>
      <c r="S75" s="7"/>
      <c r="T75" s="1108"/>
      <c r="U75" s="1101"/>
    </row>
    <row r="76" spans="1:22" ht="19.5" customHeight="1" x14ac:dyDescent="0.2">
      <c r="A76" s="720"/>
      <c r="B76" s="732"/>
      <c r="C76" s="725"/>
      <c r="D76" s="2032" t="s">
        <v>273</v>
      </c>
      <c r="E76" s="736" t="s">
        <v>47</v>
      </c>
      <c r="F76" s="2117"/>
      <c r="G76" s="87"/>
      <c r="H76" s="87"/>
      <c r="I76" s="232"/>
      <c r="J76" s="63"/>
      <c r="K76" s="103"/>
      <c r="L76" s="232"/>
      <c r="M76" s="103"/>
      <c r="N76" s="87"/>
      <c r="O76" s="232"/>
      <c r="P76" s="63"/>
      <c r="Q76" s="1100" t="s">
        <v>46</v>
      </c>
      <c r="R76" s="480">
        <v>1</v>
      </c>
      <c r="S76" s="480"/>
      <c r="T76" s="787"/>
      <c r="U76" s="652"/>
    </row>
    <row r="77" spans="1:22" ht="27" customHeight="1" x14ac:dyDescent="0.2">
      <c r="A77" s="720"/>
      <c r="B77" s="732"/>
      <c r="C77" s="725"/>
      <c r="D77" s="2039"/>
      <c r="E77" s="574"/>
      <c r="F77" s="2117"/>
      <c r="G77" s="132" t="s">
        <v>45</v>
      </c>
      <c r="H77" s="90"/>
      <c r="I77" s="43"/>
      <c r="J77" s="179"/>
      <c r="K77" s="155"/>
      <c r="L77" s="43"/>
      <c r="M77" s="155"/>
      <c r="N77" s="90"/>
      <c r="O77" s="43"/>
      <c r="P77" s="179"/>
      <c r="Q77" s="846" t="s">
        <v>274</v>
      </c>
      <c r="R77" s="481"/>
      <c r="S77" s="481"/>
      <c r="T77" s="789">
        <v>100</v>
      </c>
      <c r="U77" s="652"/>
    </row>
    <row r="78" spans="1:22" ht="15.75" customHeight="1" thickBot="1" x14ac:dyDescent="0.25">
      <c r="A78" s="72"/>
      <c r="B78" s="764"/>
      <c r="C78" s="99"/>
      <c r="D78" s="640"/>
      <c r="E78" s="641"/>
      <c r="F78" s="642"/>
      <c r="G78" s="212" t="s">
        <v>6</v>
      </c>
      <c r="H78" s="212">
        <f t="shared" ref="H78:P78" si="3">SUM(H56:H77)</f>
        <v>2863.9</v>
      </c>
      <c r="I78" s="833">
        <f t="shared" si="3"/>
        <v>2349.5</v>
      </c>
      <c r="J78" s="607">
        <f t="shared" si="3"/>
        <v>-514.4</v>
      </c>
      <c r="K78" s="189">
        <f t="shared" si="3"/>
        <v>3242.2</v>
      </c>
      <c r="L78" s="833">
        <f t="shared" si="3"/>
        <v>3756.6</v>
      </c>
      <c r="M78" s="379">
        <f t="shared" si="3"/>
        <v>514.4</v>
      </c>
      <c r="N78" s="212">
        <f t="shared" si="3"/>
        <v>2613.6999999999998</v>
      </c>
      <c r="O78" s="833">
        <f t="shared" si="3"/>
        <v>2613.6999999999998</v>
      </c>
      <c r="P78" s="607">
        <f t="shared" si="3"/>
        <v>0</v>
      </c>
      <c r="Q78" s="849"/>
      <c r="R78" s="1109"/>
      <c r="S78" s="645"/>
      <c r="T78" s="790"/>
      <c r="U78" s="646"/>
      <c r="V78" s="52"/>
    </row>
    <row r="79" spans="1:22" ht="33" customHeight="1" x14ac:dyDescent="0.2">
      <c r="A79" s="761" t="s">
        <v>5</v>
      </c>
      <c r="B79" s="279" t="s">
        <v>5</v>
      </c>
      <c r="C79" s="748" t="s">
        <v>33</v>
      </c>
      <c r="D79" s="108" t="s">
        <v>51</v>
      </c>
      <c r="E79" s="112" t="s">
        <v>91</v>
      </c>
      <c r="F79" s="587"/>
      <c r="G79" s="68"/>
      <c r="H79" s="358"/>
      <c r="I79" s="406"/>
      <c r="J79" s="358"/>
      <c r="K79" s="405"/>
      <c r="L79" s="406"/>
      <c r="M79" s="834"/>
      <c r="N79" s="405"/>
      <c r="O79" s="406"/>
      <c r="P79" s="834"/>
      <c r="Q79" s="859"/>
      <c r="R79" s="29"/>
      <c r="S79" s="29"/>
      <c r="T79" s="1033"/>
      <c r="U79" s="829"/>
    </row>
    <row r="80" spans="1:22" ht="15" customHeight="1" x14ac:dyDescent="0.2">
      <c r="A80" s="720"/>
      <c r="B80" s="732"/>
      <c r="C80" s="723"/>
      <c r="D80" s="2100" t="s">
        <v>61</v>
      </c>
      <c r="E80" s="2109" t="s">
        <v>47</v>
      </c>
      <c r="F80" s="2312">
        <v>5</v>
      </c>
      <c r="G80" s="57" t="s">
        <v>105</v>
      </c>
      <c r="H80" s="51">
        <f>500+617.1</f>
        <v>1117.0999999999999</v>
      </c>
      <c r="I80" s="51">
        <f>500+617.1</f>
        <v>1117.0999999999999</v>
      </c>
      <c r="J80" s="128"/>
      <c r="K80" s="134">
        <v>200</v>
      </c>
      <c r="L80" s="51">
        <v>200</v>
      </c>
      <c r="M80" s="203"/>
      <c r="N80" s="51"/>
      <c r="O80" s="51"/>
      <c r="P80" s="203"/>
      <c r="Q80" s="2333" t="s">
        <v>275</v>
      </c>
      <c r="R80" s="2317" t="s">
        <v>332</v>
      </c>
      <c r="S80" s="2294">
        <v>100</v>
      </c>
      <c r="T80" s="1110"/>
      <c r="U80" s="1162"/>
    </row>
    <row r="81" spans="1:22" ht="14.25" customHeight="1" x14ac:dyDescent="0.2">
      <c r="A81" s="720"/>
      <c r="B81" s="732"/>
      <c r="C81" s="723"/>
      <c r="D81" s="2100"/>
      <c r="E81" s="2109"/>
      <c r="F81" s="2312"/>
      <c r="G81" s="65" t="s">
        <v>25</v>
      </c>
      <c r="H81" s="232">
        <v>400</v>
      </c>
      <c r="I81" s="232">
        <v>400</v>
      </c>
      <c r="J81" s="103"/>
      <c r="K81" s="135">
        <f>1500+635.7</f>
        <v>2135.6999999999998</v>
      </c>
      <c r="L81" s="232">
        <f>1500+635.7</f>
        <v>2135.6999999999998</v>
      </c>
      <c r="M81" s="63"/>
      <c r="N81" s="232"/>
      <c r="O81" s="232"/>
      <c r="P81" s="63"/>
      <c r="Q81" s="2334"/>
      <c r="R81" s="2318"/>
      <c r="S81" s="2316"/>
      <c r="T81" s="801"/>
      <c r="U81" s="1164"/>
    </row>
    <row r="82" spans="1:22" ht="14.25" customHeight="1" x14ac:dyDescent="0.2">
      <c r="A82" s="1153"/>
      <c r="B82" s="1156"/>
      <c r="C82" s="1154"/>
      <c r="D82" s="2100"/>
      <c r="E82" s="2109"/>
      <c r="F82" s="2312"/>
      <c r="G82" s="65" t="s">
        <v>45</v>
      </c>
      <c r="H82" s="232">
        <v>3.2</v>
      </c>
      <c r="I82" s="232">
        <f>3.2</f>
        <v>3.2</v>
      </c>
      <c r="J82" s="940"/>
      <c r="K82" s="87"/>
      <c r="L82" s="232"/>
      <c r="M82" s="63"/>
      <c r="N82" s="87"/>
      <c r="O82" s="232"/>
      <c r="P82" s="63"/>
      <c r="Q82" s="1166"/>
      <c r="R82" s="1169"/>
      <c r="S82" s="1169"/>
      <c r="T82" s="321"/>
      <c r="U82" s="1164"/>
    </row>
    <row r="83" spans="1:22" ht="14.25" customHeight="1" x14ac:dyDescent="0.2">
      <c r="A83" s="720"/>
      <c r="B83" s="732"/>
      <c r="C83" s="723"/>
      <c r="D83" s="2100"/>
      <c r="E83" s="2109"/>
      <c r="F83" s="2312"/>
      <c r="G83" s="70" t="s">
        <v>48</v>
      </c>
      <c r="H83" s="164">
        <v>993.4</v>
      </c>
      <c r="I83" s="164">
        <v>993.4</v>
      </c>
      <c r="J83" s="129"/>
      <c r="K83" s="139">
        <v>1500</v>
      </c>
      <c r="L83" s="164">
        <v>1500</v>
      </c>
      <c r="M83" s="1175"/>
      <c r="N83" s="148"/>
      <c r="O83" s="164"/>
      <c r="P83" s="1175"/>
      <c r="Q83" s="2335"/>
      <c r="R83" s="1169"/>
      <c r="S83" s="1169"/>
      <c r="T83" s="321"/>
      <c r="U83" s="1201"/>
    </row>
    <row r="84" spans="1:22" ht="16.5" customHeight="1" x14ac:dyDescent="0.2">
      <c r="A84" s="1153"/>
      <c r="B84" s="1156"/>
      <c r="C84" s="1154"/>
      <c r="D84" s="2100"/>
      <c r="E84" s="2109"/>
      <c r="F84" s="2312"/>
      <c r="G84" s="79" t="s">
        <v>48</v>
      </c>
      <c r="H84" s="1173"/>
      <c r="I84" s="1171">
        <v>482.4</v>
      </c>
      <c r="J84" s="1172">
        <f>I84-H84</f>
        <v>482.4</v>
      </c>
      <c r="K84" s="1170"/>
      <c r="L84" s="1171">
        <v>-1500</v>
      </c>
      <c r="M84" s="1200">
        <f>L84-K84</f>
        <v>-1500</v>
      </c>
      <c r="N84" s="1170"/>
      <c r="O84" s="1173"/>
      <c r="P84" s="1174"/>
      <c r="Q84" s="2335"/>
      <c r="R84" s="1169"/>
      <c r="S84" s="1169"/>
      <c r="T84" s="321"/>
      <c r="U84" s="2329" t="s">
        <v>340</v>
      </c>
      <c r="V84" s="1" t="s">
        <v>324</v>
      </c>
    </row>
    <row r="85" spans="1:22" ht="14.25" customHeight="1" x14ac:dyDescent="0.2">
      <c r="A85" s="1153"/>
      <c r="B85" s="1156"/>
      <c r="C85" s="1154"/>
      <c r="D85" s="2100"/>
      <c r="E85" s="2109"/>
      <c r="F85" s="2312"/>
      <c r="G85" s="65" t="s">
        <v>25</v>
      </c>
      <c r="H85" s="604"/>
      <c r="I85" s="604">
        <v>1508.2</v>
      </c>
      <c r="J85" s="912">
        <f>I85-H85</f>
        <v>1508.2</v>
      </c>
      <c r="K85" s="603"/>
      <c r="L85" s="604">
        <v>-1000.1</v>
      </c>
      <c r="M85" s="940">
        <f>L85-K85</f>
        <v>-1000.1</v>
      </c>
      <c r="N85" s="87"/>
      <c r="O85" s="232"/>
      <c r="P85" s="63"/>
      <c r="Q85" s="2335"/>
      <c r="R85" s="1169"/>
      <c r="S85" s="1169"/>
      <c r="T85" s="321"/>
      <c r="U85" s="2330"/>
    </row>
    <row r="86" spans="1:22" ht="16.5" customHeight="1" x14ac:dyDescent="0.2">
      <c r="A86" s="1153"/>
      <c r="B86" s="1156"/>
      <c r="C86" s="1154"/>
      <c r="D86" s="2100"/>
      <c r="E86" s="2109"/>
      <c r="F86" s="2312"/>
      <c r="G86" s="65" t="s">
        <v>104</v>
      </c>
      <c r="H86" s="232"/>
      <c r="I86" s="604">
        <v>198.4</v>
      </c>
      <c r="J86" s="912">
        <f>I86-H86</f>
        <v>198.4</v>
      </c>
      <c r="K86" s="87"/>
      <c r="L86" s="232"/>
      <c r="M86" s="63"/>
      <c r="N86" s="87"/>
      <c r="O86" s="232"/>
      <c r="P86" s="63"/>
      <c r="Q86" s="2335"/>
      <c r="R86" s="1169"/>
      <c r="S86" s="1169"/>
      <c r="T86" s="321"/>
      <c r="U86" s="2330"/>
    </row>
    <row r="87" spans="1:22" ht="16.5" customHeight="1" x14ac:dyDescent="0.2">
      <c r="A87" s="1153"/>
      <c r="B87" s="1156"/>
      <c r="C87" s="1154"/>
      <c r="D87" s="2100"/>
      <c r="E87" s="2109"/>
      <c r="F87" s="2312"/>
      <c r="G87" s="65" t="s">
        <v>62</v>
      </c>
      <c r="H87" s="232"/>
      <c r="I87" s="604">
        <v>192.4</v>
      </c>
      <c r="J87" s="912">
        <f>I87-H87</f>
        <v>192.4</v>
      </c>
      <c r="K87" s="87"/>
      <c r="L87" s="232"/>
      <c r="M87" s="63"/>
      <c r="N87" s="87"/>
      <c r="O87" s="232"/>
      <c r="P87" s="63"/>
      <c r="Q87" s="2335"/>
      <c r="R87" s="1169"/>
      <c r="S87" s="1169"/>
      <c r="T87" s="321"/>
      <c r="U87" s="2330"/>
    </row>
    <row r="88" spans="1:22" ht="16.5" customHeight="1" x14ac:dyDescent="0.2">
      <c r="A88" s="1153"/>
      <c r="B88" s="1156"/>
      <c r="C88" s="1154"/>
      <c r="D88" s="2100"/>
      <c r="E88" s="2109"/>
      <c r="F88" s="2312"/>
      <c r="G88" s="1052"/>
      <c r="H88" s="43"/>
      <c r="I88" s="910"/>
      <c r="J88" s="913"/>
      <c r="K88" s="90"/>
      <c r="L88" s="43"/>
      <c r="M88" s="179"/>
      <c r="N88" s="90"/>
      <c r="O88" s="43"/>
      <c r="P88" s="179"/>
      <c r="Q88" s="2336"/>
      <c r="R88" s="20"/>
      <c r="S88" s="20"/>
      <c r="T88" s="322"/>
      <c r="U88" s="2304"/>
    </row>
    <row r="89" spans="1:22" ht="18" customHeight="1" x14ac:dyDescent="0.2">
      <c r="A89" s="2029"/>
      <c r="B89" s="2111"/>
      <c r="C89" s="2031"/>
      <c r="D89" s="2045" t="s">
        <v>243</v>
      </c>
      <c r="E89" s="2122" t="s">
        <v>47</v>
      </c>
      <c r="F89" s="2113"/>
      <c r="G89" s="65" t="s">
        <v>105</v>
      </c>
      <c r="H89" s="103"/>
      <c r="I89" s="232"/>
      <c r="J89" s="232"/>
      <c r="K89" s="87"/>
      <c r="L89" s="232"/>
      <c r="M89" s="63"/>
      <c r="N89" s="87">
        <v>400</v>
      </c>
      <c r="O89" s="232">
        <v>400</v>
      </c>
      <c r="P89" s="63"/>
      <c r="Q89" s="2331" t="s">
        <v>276</v>
      </c>
      <c r="R89" s="281"/>
      <c r="S89" s="281"/>
      <c r="T89" s="321">
        <v>35</v>
      </c>
      <c r="U89" s="265"/>
    </row>
    <row r="90" spans="1:22" ht="13.5" customHeight="1" x14ac:dyDescent="0.2">
      <c r="A90" s="2029"/>
      <c r="B90" s="2111"/>
      <c r="C90" s="2031"/>
      <c r="D90" s="2100"/>
      <c r="E90" s="2123"/>
      <c r="F90" s="2127"/>
      <c r="G90" s="60"/>
      <c r="H90" s="155"/>
      <c r="I90" s="43"/>
      <c r="J90" s="155"/>
      <c r="K90" s="90"/>
      <c r="L90" s="43"/>
      <c r="M90" s="179"/>
      <c r="N90" s="90"/>
      <c r="O90" s="43"/>
      <c r="P90" s="179"/>
      <c r="Q90" s="2332"/>
      <c r="R90" s="281"/>
      <c r="S90" s="281"/>
      <c r="T90" s="321"/>
      <c r="U90" s="265"/>
    </row>
    <row r="91" spans="1:22" ht="14.25" customHeight="1" x14ac:dyDescent="0.2">
      <c r="A91" s="2029"/>
      <c r="B91" s="2111"/>
      <c r="C91" s="2031"/>
      <c r="D91" s="2045" t="s">
        <v>244</v>
      </c>
      <c r="E91" s="2122" t="s">
        <v>47</v>
      </c>
      <c r="F91" s="2124">
        <v>6</v>
      </c>
      <c r="G91" s="37" t="s">
        <v>25</v>
      </c>
      <c r="H91" s="103"/>
      <c r="I91" s="232"/>
      <c r="J91" s="103"/>
      <c r="K91" s="87">
        <v>10</v>
      </c>
      <c r="L91" s="232">
        <v>10</v>
      </c>
      <c r="M91" s="63"/>
      <c r="N91" s="87">
        <v>12</v>
      </c>
      <c r="O91" s="232">
        <v>12</v>
      </c>
      <c r="P91" s="63"/>
      <c r="Q91" s="858" t="s">
        <v>46</v>
      </c>
      <c r="R91" s="755"/>
      <c r="S91" s="755">
        <v>1</v>
      </c>
      <c r="T91" s="797"/>
      <c r="U91" s="265"/>
    </row>
    <row r="92" spans="1:22" ht="21" customHeight="1" x14ac:dyDescent="0.2">
      <c r="A92" s="2029"/>
      <c r="B92" s="2111"/>
      <c r="C92" s="2031"/>
      <c r="D92" s="2100"/>
      <c r="E92" s="2123"/>
      <c r="F92" s="2124"/>
      <c r="G92" s="65"/>
      <c r="H92" s="103"/>
      <c r="I92" s="232"/>
      <c r="J92" s="103"/>
      <c r="K92" s="87"/>
      <c r="L92" s="232"/>
      <c r="M92" s="63"/>
      <c r="N92" s="87"/>
      <c r="O92" s="232"/>
      <c r="P92" s="63"/>
      <c r="Q92" s="2125" t="s">
        <v>158</v>
      </c>
      <c r="R92" s="281"/>
      <c r="S92" s="281">
        <v>50</v>
      </c>
      <c r="T92" s="321">
        <v>100</v>
      </c>
      <c r="U92" s="265"/>
      <c r="V92" s="52"/>
    </row>
    <row r="93" spans="1:22" ht="18.75" customHeight="1" x14ac:dyDescent="0.2">
      <c r="A93" s="2029"/>
      <c r="B93" s="2111"/>
      <c r="C93" s="2031"/>
      <c r="D93" s="2100"/>
      <c r="E93" s="2123"/>
      <c r="F93" s="2124"/>
      <c r="G93" s="60"/>
      <c r="H93" s="155"/>
      <c r="I93" s="43"/>
      <c r="J93" s="155"/>
      <c r="K93" s="90"/>
      <c r="L93" s="43"/>
      <c r="M93" s="179"/>
      <c r="N93" s="90"/>
      <c r="O93" s="43"/>
      <c r="P93" s="179"/>
      <c r="Q93" s="2126"/>
      <c r="R93" s="281"/>
      <c r="S93" s="281"/>
      <c r="T93" s="321"/>
      <c r="U93" s="265"/>
      <c r="V93" s="52"/>
    </row>
    <row r="94" spans="1:22" ht="15.75" customHeight="1" thickBot="1" x14ac:dyDescent="0.25">
      <c r="A94" s="72"/>
      <c r="B94" s="764"/>
      <c r="C94" s="99"/>
      <c r="D94" s="640"/>
      <c r="E94" s="641"/>
      <c r="F94" s="642"/>
      <c r="G94" s="141" t="s">
        <v>6</v>
      </c>
      <c r="H94" s="189">
        <f t="shared" ref="H94:P94" si="4">SUM(H80:H93)</f>
        <v>2513.6999999999998</v>
      </c>
      <c r="I94" s="833">
        <f t="shared" si="4"/>
        <v>4895.1000000000004</v>
      </c>
      <c r="J94" s="1202">
        <f t="shared" si="4"/>
        <v>2381.4</v>
      </c>
      <c r="K94" s="212">
        <f t="shared" si="4"/>
        <v>3845.7</v>
      </c>
      <c r="L94" s="833">
        <f t="shared" si="4"/>
        <v>1345.6</v>
      </c>
      <c r="M94" s="1203">
        <f t="shared" si="4"/>
        <v>-2500.1</v>
      </c>
      <c r="N94" s="212">
        <f t="shared" si="4"/>
        <v>412</v>
      </c>
      <c r="O94" s="833">
        <f t="shared" si="4"/>
        <v>412</v>
      </c>
      <c r="P94" s="607">
        <f t="shared" si="4"/>
        <v>0</v>
      </c>
      <c r="Q94" s="849"/>
      <c r="R94" s="644"/>
      <c r="S94" s="645"/>
      <c r="T94" s="790"/>
      <c r="U94" s="646"/>
    </row>
    <row r="95" spans="1:22" ht="13.5" customHeight="1" x14ac:dyDescent="0.2">
      <c r="A95" s="935" t="s">
        <v>5</v>
      </c>
      <c r="B95" s="279" t="s">
        <v>5</v>
      </c>
      <c r="C95" s="937" t="s">
        <v>34</v>
      </c>
      <c r="D95" s="2097" t="s">
        <v>99</v>
      </c>
      <c r="E95" s="2308" t="s">
        <v>89</v>
      </c>
      <c r="F95" s="1088" t="s">
        <v>43</v>
      </c>
      <c r="G95" s="190" t="s">
        <v>25</v>
      </c>
      <c r="H95" s="224">
        <f>678.6+123.9</f>
        <v>802.5</v>
      </c>
      <c r="I95" s="187">
        <f>678.6+123.9</f>
        <v>802.5</v>
      </c>
      <c r="J95" s="224"/>
      <c r="K95" s="223">
        <f>3201.4+916.8+50+720</f>
        <v>4888.2</v>
      </c>
      <c r="L95" s="187">
        <f>3201.4+916.8+50+720</f>
        <v>4888.2</v>
      </c>
      <c r="M95" s="366"/>
      <c r="N95" s="223">
        <f>5442.8-798.1+65+470+82</f>
        <v>5261.7</v>
      </c>
      <c r="O95" s="187">
        <f>5442.8-798.1+65+470+82</f>
        <v>5261.7</v>
      </c>
      <c r="P95" s="366"/>
      <c r="Q95" s="860"/>
      <c r="R95" s="356"/>
      <c r="S95" s="356"/>
      <c r="T95" s="800"/>
      <c r="U95" s="2163"/>
    </row>
    <row r="96" spans="1:22" ht="13.5" customHeight="1" x14ac:dyDescent="0.2">
      <c r="A96" s="931"/>
      <c r="B96" s="934"/>
      <c r="C96" s="932"/>
      <c r="D96" s="2306"/>
      <c r="E96" s="2309"/>
      <c r="F96" s="1089"/>
      <c r="G96" s="65" t="s">
        <v>62</v>
      </c>
      <c r="H96" s="942">
        <v>1533.9</v>
      </c>
      <c r="I96" s="1116">
        <v>1533.9</v>
      </c>
      <c r="J96" s="103"/>
      <c r="K96" s="87"/>
      <c r="L96" s="232"/>
      <c r="M96" s="63"/>
      <c r="N96" s="87"/>
      <c r="O96" s="232"/>
      <c r="P96" s="63"/>
      <c r="Q96" s="1085"/>
      <c r="R96" s="412"/>
      <c r="S96" s="412"/>
      <c r="T96" s="801"/>
      <c r="U96" s="2164"/>
    </row>
    <row r="97" spans="1:24" ht="15" customHeight="1" x14ac:dyDescent="0.2">
      <c r="A97" s="931"/>
      <c r="B97" s="934"/>
      <c r="C97" s="932"/>
      <c r="D97" s="2307"/>
      <c r="E97" s="2310"/>
      <c r="F97" s="1089"/>
      <c r="G97" s="65" t="s">
        <v>105</v>
      </c>
      <c r="H97" s="103">
        <f>700-7.7</f>
        <v>692.3</v>
      </c>
      <c r="I97" s="232">
        <f>700-7.7+7.7</f>
        <v>700</v>
      </c>
      <c r="J97" s="912">
        <f>I97-H97</f>
        <v>7.7</v>
      </c>
      <c r="K97" s="87">
        <v>1900</v>
      </c>
      <c r="L97" s="232">
        <v>1900</v>
      </c>
      <c r="M97" s="63"/>
      <c r="N97" s="87">
        <v>2000</v>
      </c>
      <c r="O97" s="232">
        <v>2000</v>
      </c>
      <c r="P97" s="63"/>
      <c r="Q97" s="1085"/>
      <c r="R97" s="412"/>
      <c r="S97" s="412"/>
      <c r="T97" s="801"/>
      <c r="U97" s="2164"/>
    </row>
    <row r="98" spans="1:24" ht="15" customHeight="1" x14ac:dyDescent="0.2">
      <c r="A98" s="1153"/>
      <c r="B98" s="1156"/>
      <c r="C98" s="1154"/>
      <c r="D98" s="1199"/>
      <c r="E98" s="2310"/>
      <c r="F98" s="1155"/>
      <c r="G98" s="65" t="s">
        <v>48</v>
      </c>
      <c r="H98" s="103">
        <v>300</v>
      </c>
      <c r="I98" s="232">
        <v>300</v>
      </c>
      <c r="J98" s="103"/>
      <c r="K98" s="87"/>
      <c r="L98" s="232"/>
      <c r="M98" s="63"/>
      <c r="N98" s="87">
        <v>1500</v>
      </c>
      <c r="O98" s="232">
        <v>1500</v>
      </c>
      <c r="P98" s="63">
        <f>O98-N98</f>
        <v>0</v>
      </c>
      <c r="Q98" s="1161"/>
      <c r="R98" s="1163"/>
      <c r="S98" s="1163"/>
      <c r="T98" s="801"/>
      <c r="U98" s="2164"/>
    </row>
    <row r="99" spans="1:24" ht="20.25" customHeight="1" x14ac:dyDescent="0.2">
      <c r="A99" s="931"/>
      <c r="B99" s="934"/>
      <c r="C99" s="932"/>
      <c r="D99" s="584"/>
      <c r="E99" s="2310"/>
      <c r="F99" s="1089"/>
      <c r="G99" s="64" t="s">
        <v>104</v>
      </c>
      <c r="H99" s="155">
        <v>403.6</v>
      </c>
      <c r="I99" s="43">
        <v>403.6</v>
      </c>
      <c r="J99" s="155"/>
      <c r="K99" s="90"/>
      <c r="L99" s="43"/>
      <c r="M99" s="179"/>
      <c r="N99" s="90"/>
      <c r="O99" s="43"/>
      <c r="P99" s="179"/>
      <c r="Q99" s="848"/>
      <c r="R99" s="412"/>
      <c r="S99" s="412"/>
      <c r="T99" s="801"/>
      <c r="U99" s="2164"/>
      <c r="X99" s="52"/>
    </row>
    <row r="100" spans="1:24" ht="18" customHeight="1" x14ac:dyDescent="0.2">
      <c r="A100" s="931"/>
      <c r="B100" s="934"/>
      <c r="C100" s="932"/>
      <c r="D100" s="2045" t="s">
        <v>147</v>
      </c>
      <c r="E100" s="113" t="s">
        <v>47</v>
      </c>
      <c r="F100" s="1089"/>
      <c r="G100" s="57" t="s">
        <v>25</v>
      </c>
      <c r="H100" s="103"/>
      <c r="I100" s="604">
        <v>-430</v>
      </c>
      <c r="J100" s="945">
        <f>I100-H100</f>
        <v>-430</v>
      </c>
      <c r="K100" s="91"/>
      <c r="L100" s="943">
        <f>430-1017.6</f>
        <v>-587.6</v>
      </c>
      <c r="M100" s="944">
        <f>L100-K100</f>
        <v>-587.6</v>
      </c>
      <c r="N100" s="91"/>
      <c r="O100" s="51"/>
      <c r="P100" s="203"/>
      <c r="Q100" s="2202" t="s">
        <v>129</v>
      </c>
      <c r="R100" s="1237">
        <v>10</v>
      </c>
      <c r="S100" s="1093">
        <v>40</v>
      </c>
      <c r="T100" s="1098">
        <v>100</v>
      </c>
      <c r="U100" s="2026" t="s">
        <v>351</v>
      </c>
      <c r="V100" s="1069"/>
      <c r="X100" s="52"/>
    </row>
    <row r="101" spans="1:24" ht="70.5" customHeight="1" x14ac:dyDescent="0.2">
      <c r="A101" s="931"/>
      <c r="B101" s="934"/>
      <c r="C101" s="933"/>
      <c r="D101" s="2100"/>
      <c r="E101" s="1104"/>
      <c r="F101" s="1089"/>
      <c r="G101" s="65" t="s">
        <v>48</v>
      </c>
      <c r="H101" s="103"/>
      <c r="I101" s="604">
        <v>-300</v>
      </c>
      <c r="J101" s="912">
        <f>I101-H101</f>
        <v>-300</v>
      </c>
      <c r="K101" s="87"/>
      <c r="L101" s="604">
        <v>1317.6</v>
      </c>
      <c r="M101" s="940">
        <f>L101-K101</f>
        <v>1317.6</v>
      </c>
      <c r="N101" s="87"/>
      <c r="O101" s="232"/>
      <c r="P101" s="63"/>
      <c r="Q101" s="2126"/>
      <c r="R101" s="1103"/>
      <c r="S101" s="1103"/>
      <c r="T101" s="321"/>
      <c r="U101" s="2222"/>
      <c r="X101" s="52"/>
    </row>
    <row r="102" spans="1:24" ht="51.75" customHeight="1" x14ac:dyDescent="0.2">
      <c r="A102" s="931"/>
      <c r="B102" s="934"/>
      <c r="C102" s="933"/>
      <c r="D102" s="2311"/>
      <c r="E102" s="114"/>
      <c r="F102" s="1089"/>
      <c r="G102" s="64"/>
      <c r="H102" s="155"/>
      <c r="I102" s="43"/>
      <c r="J102" s="155"/>
      <c r="K102" s="90"/>
      <c r="L102" s="43"/>
      <c r="M102" s="179"/>
      <c r="N102" s="90"/>
      <c r="O102" s="43"/>
      <c r="P102" s="179"/>
      <c r="Q102" s="1082"/>
      <c r="R102" s="20"/>
      <c r="S102" s="20"/>
      <c r="T102" s="322"/>
      <c r="U102" s="2028"/>
      <c r="X102" s="52"/>
    </row>
    <row r="103" spans="1:24" ht="42" customHeight="1" x14ac:dyDescent="0.2">
      <c r="A103" s="931"/>
      <c r="B103" s="934"/>
      <c r="C103" s="932"/>
      <c r="D103" s="2045" t="s">
        <v>313</v>
      </c>
      <c r="E103" s="113" t="s">
        <v>47</v>
      </c>
      <c r="F103" s="1089"/>
      <c r="G103" s="57"/>
      <c r="H103" s="128"/>
      <c r="I103" s="51"/>
      <c r="J103" s="128"/>
      <c r="K103" s="91"/>
      <c r="L103" s="51"/>
      <c r="M103" s="203"/>
      <c r="N103" s="91"/>
      <c r="O103" s="51"/>
      <c r="P103" s="203"/>
      <c r="Q103" s="1097" t="s">
        <v>306</v>
      </c>
      <c r="R103" s="412">
        <v>60</v>
      </c>
      <c r="S103" s="412">
        <v>100</v>
      </c>
      <c r="T103" s="801"/>
      <c r="U103" s="1190"/>
    </row>
    <row r="104" spans="1:24" ht="12" customHeight="1" x14ac:dyDescent="0.2">
      <c r="A104" s="931"/>
      <c r="B104" s="934"/>
      <c r="C104" s="932"/>
      <c r="D104" s="2302"/>
      <c r="E104" s="962"/>
      <c r="F104" s="1089"/>
      <c r="G104" s="1083"/>
      <c r="H104" s="494"/>
      <c r="I104" s="493"/>
      <c r="J104" s="494"/>
      <c r="K104" s="90"/>
      <c r="L104" s="43"/>
      <c r="M104" s="179"/>
      <c r="N104" s="90"/>
      <c r="O104" s="43"/>
      <c r="P104" s="179"/>
      <c r="Q104" s="1082"/>
      <c r="R104" s="20"/>
      <c r="S104" s="20"/>
      <c r="T104" s="49"/>
      <c r="U104" s="1189"/>
      <c r="V104" s="1053"/>
    </row>
    <row r="105" spans="1:24" ht="29.25" customHeight="1" x14ac:dyDescent="0.2">
      <c r="A105" s="931"/>
      <c r="B105" s="934"/>
      <c r="C105" s="932"/>
      <c r="D105" s="2045" t="s">
        <v>245</v>
      </c>
      <c r="E105" s="113" t="s">
        <v>47</v>
      </c>
      <c r="F105" s="1090"/>
      <c r="G105" s="65"/>
      <c r="H105" s="355"/>
      <c r="I105" s="402"/>
      <c r="J105" s="355"/>
      <c r="K105" s="87"/>
      <c r="L105" s="232"/>
      <c r="M105" s="63"/>
      <c r="N105" s="87"/>
      <c r="O105" s="232"/>
      <c r="P105" s="63"/>
      <c r="Q105" s="2202" t="s">
        <v>216</v>
      </c>
      <c r="R105" s="1111"/>
      <c r="S105" s="412">
        <v>30</v>
      </c>
      <c r="T105" s="412">
        <v>60</v>
      </c>
      <c r="U105" s="2026"/>
    </row>
    <row r="106" spans="1:24" ht="9" customHeight="1" x14ac:dyDescent="0.2">
      <c r="A106" s="1072"/>
      <c r="B106" s="1075"/>
      <c r="C106" s="1073"/>
      <c r="D106" s="2100"/>
      <c r="E106" s="1104"/>
      <c r="F106" s="1090"/>
      <c r="G106" s="65"/>
      <c r="H106" s="355"/>
      <c r="I106" s="402"/>
      <c r="J106" s="355"/>
      <c r="K106" s="87"/>
      <c r="L106" s="232"/>
      <c r="M106" s="63"/>
      <c r="N106" s="87"/>
      <c r="O106" s="1112"/>
      <c r="P106" s="1113"/>
      <c r="Q106" s="2211"/>
      <c r="R106" s="1114"/>
      <c r="S106" s="412"/>
      <c r="T106" s="412"/>
      <c r="U106" s="2042"/>
    </row>
    <row r="107" spans="1:24" ht="9" customHeight="1" x14ac:dyDescent="0.2">
      <c r="A107" s="931"/>
      <c r="B107" s="934"/>
      <c r="C107" s="932"/>
      <c r="D107" s="2302"/>
      <c r="E107" s="611"/>
      <c r="F107" s="1090"/>
      <c r="G107" s="60"/>
      <c r="H107" s="558"/>
      <c r="I107" s="1084"/>
      <c r="J107" s="558"/>
      <c r="K107" s="90"/>
      <c r="L107" s="43"/>
      <c r="M107" s="179"/>
      <c r="N107" s="90"/>
      <c r="O107" s="43"/>
      <c r="P107" s="179"/>
      <c r="Q107" s="2126"/>
      <c r="R107" s="412"/>
      <c r="S107" s="412"/>
      <c r="T107" s="1115"/>
      <c r="U107" s="2293"/>
    </row>
    <row r="108" spans="1:24" ht="17.25" customHeight="1" x14ac:dyDescent="0.2">
      <c r="A108" s="959"/>
      <c r="B108" s="961"/>
      <c r="C108" s="960"/>
      <c r="D108" s="2045" t="s">
        <v>307</v>
      </c>
      <c r="E108" s="113" t="s">
        <v>47</v>
      </c>
      <c r="F108" s="1090"/>
      <c r="G108" s="65"/>
      <c r="H108" s="355"/>
      <c r="I108" s="402"/>
      <c r="J108" s="355"/>
      <c r="K108" s="87"/>
      <c r="L108" s="232"/>
      <c r="M108" s="63"/>
      <c r="N108" s="87"/>
      <c r="O108" s="232"/>
      <c r="P108" s="63"/>
      <c r="Q108" s="1094" t="s">
        <v>46</v>
      </c>
      <c r="R108" s="757"/>
      <c r="S108" s="757"/>
      <c r="T108" s="2294">
        <v>1</v>
      </c>
      <c r="U108" s="2026"/>
    </row>
    <row r="109" spans="1:24" ht="7.5" customHeight="1" x14ac:dyDescent="0.2">
      <c r="A109" s="959"/>
      <c r="B109" s="961"/>
      <c r="C109" s="960"/>
      <c r="D109" s="2302"/>
      <c r="E109" s="611"/>
      <c r="F109" s="1090"/>
      <c r="G109" s="60"/>
      <c r="H109" s="558"/>
      <c r="I109" s="1084"/>
      <c r="J109" s="558"/>
      <c r="K109" s="90"/>
      <c r="L109" s="43"/>
      <c r="M109" s="179"/>
      <c r="N109" s="90"/>
      <c r="O109" s="43"/>
      <c r="P109" s="179"/>
      <c r="Q109" s="841"/>
      <c r="R109" s="412"/>
      <c r="S109" s="412"/>
      <c r="T109" s="2295"/>
      <c r="U109" s="2305"/>
    </row>
    <row r="110" spans="1:24" ht="18" customHeight="1" x14ac:dyDescent="0.2">
      <c r="A110" s="959"/>
      <c r="B110" s="961"/>
      <c r="C110" s="960"/>
      <c r="D110" s="2045" t="s">
        <v>308</v>
      </c>
      <c r="E110" s="1104" t="s">
        <v>47</v>
      </c>
      <c r="F110" s="1090"/>
      <c r="G110" s="91"/>
      <c r="H110" s="91"/>
      <c r="I110" s="51"/>
      <c r="J110" s="203"/>
      <c r="K110" s="91"/>
      <c r="L110" s="51"/>
      <c r="M110" s="203"/>
      <c r="N110" s="91"/>
      <c r="O110" s="51"/>
      <c r="P110" s="203"/>
      <c r="Q110" s="1094" t="s">
        <v>46</v>
      </c>
      <c r="R110" s="612"/>
      <c r="S110" s="612"/>
      <c r="T110" s="1034">
        <v>1</v>
      </c>
      <c r="U110" s="2303"/>
    </row>
    <row r="111" spans="1:24" ht="8.25" customHeight="1" x14ac:dyDescent="0.2">
      <c r="A111" s="959"/>
      <c r="B111" s="961"/>
      <c r="C111" s="960"/>
      <c r="D111" s="2302"/>
      <c r="E111" s="962"/>
      <c r="F111" s="1090"/>
      <c r="G111" s="90"/>
      <c r="H111" s="90"/>
      <c r="I111" s="43"/>
      <c r="J111" s="179"/>
      <c r="K111" s="90"/>
      <c r="L111" s="43"/>
      <c r="M111" s="179"/>
      <c r="N111" s="90"/>
      <c r="O111" s="43"/>
      <c r="P111" s="179"/>
      <c r="Q111" s="884"/>
      <c r="R111" s="46"/>
      <c r="S111" s="46"/>
      <c r="T111" s="795"/>
      <c r="U111" s="2304"/>
    </row>
    <row r="112" spans="1:24" ht="21.75" customHeight="1" thickBot="1" x14ac:dyDescent="0.25">
      <c r="A112" s="72"/>
      <c r="B112" s="936"/>
      <c r="C112" s="99"/>
      <c r="D112" s="640"/>
      <c r="E112" s="641"/>
      <c r="F112" s="642"/>
      <c r="G112" s="141" t="s">
        <v>6</v>
      </c>
      <c r="H112" s="189">
        <f>SUM(H95:H107)</f>
        <v>3732.3</v>
      </c>
      <c r="I112" s="833">
        <f>SUM(I95:I111)</f>
        <v>3010</v>
      </c>
      <c r="J112" s="379">
        <f>SUM(J95:J111)</f>
        <v>-722.3</v>
      </c>
      <c r="K112" s="212">
        <f>SUM(K95:K107)</f>
        <v>6788.2</v>
      </c>
      <c r="L112" s="833">
        <f>SUM(L95:L111)</f>
        <v>7518.2</v>
      </c>
      <c r="M112" s="367">
        <f>SUM(M95:M111)</f>
        <v>730</v>
      </c>
      <c r="N112" s="212">
        <f>SUM(N95:N107)</f>
        <v>8761.7000000000007</v>
      </c>
      <c r="O112" s="833">
        <f>SUM(O95:O111)-O106</f>
        <v>8761.7000000000007</v>
      </c>
      <c r="P112" s="367">
        <f>SUM(P95:P111)-P106</f>
        <v>0</v>
      </c>
      <c r="Q112" s="849"/>
      <c r="R112" s="644"/>
      <c r="S112" s="645"/>
      <c r="T112" s="790"/>
      <c r="U112" s="646"/>
    </row>
    <row r="113" spans="1:22" ht="30" customHeight="1" x14ac:dyDescent="0.2">
      <c r="A113" s="720" t="s">
        <v>5</v>
      </c>
      <c r="B113" s="732" t="s">
        <v>5</v>
      </c>
      <c r="C113" s="723" t="s">
        <v>35</v>
      </c>
      <c r="D113" s="215" t="s">
        <v>74</v>
      </c>
      <c r="E113" s="422" t="s">
        <v>93</v>
      </c>
      <c r="F113" s="740" t="s">
        <v>43</v>
      </c>
      <c r="G113" s="73"/>
      <c r="H113" s="403"/>
      <c r="I113" s="404"/>
      <c r="J113" s="403"/>
      <c r="K113" s="405"/>
      <c r="L113" s="406"/>
      <c r="M113" s="834"/>
      <c r="N113" s="405"/>
      <c r="O113" s="406"/>
      <c r="P113" s="834"/>
      <c r="Q113" s="861"/>
      <c r="R113" s="7"/>
      <c r="S113" s="55"/>
      <c r="T113" s="168"/>
      <c r="U113" s="872"/>
    </row>
    <row r="114" spans="1:22" ht="15" customHeight="1" x14ac:dyDescent="0.2">
      <c r="A114" s="720"/>
      <c r="B114" s="732"/>
      <c r="C114" s="723"/>
      <c r="D114" s="2045" t="s">
        <v>145</v>
      </c>
      <c r="E114" s="574" t="s">
        <v>47</v>
      </c>
      <c r="F114" s="725"/>
      <c r="G114" s="269" t="s">
        <v>25</v>
      </c>
      <c r="H114" s="128">
        <v>50</v>
      </c>
      <c r="I114" s="51">
        <f>50</f>
        <v>50</v>
      </c>
      <c r="J114" s="945"/>
      <c r="K114" s="91"/>
      <c r="L114" s="51"/>
      <c r="M114" s="203"/>
      <c r="N114" s="91"/>
      <c r="O114" s="51"/>
      <c r="P114" s="203"/>
      <c r="Q114" s="863" t="s">
        <v>46</v>
      </c>
      <c r="R114" s="465"/>
      <c r="S114" s="796">
        <v>1</v>
      </c>
      <c r="T114" s="1220"/>
      <c r="U114" s="2026" t="s">
        <v>352</v>
      </c>
      <c r="V114" s="1069"/>
    </row>
    <row r="115" spans="1:22" ht="15" customHeight="1" x14ac:dyDescent="0.2">
      <c r="A115" s="1221"/>
      <c r="B115" s="1224"/>
      <c r="C115" s="1222"/>
      <c r="D115" s="2100"/>
      <c r="E115" s="574"/>
      <c r="F115" s="1223"/>
      <c r="G115" s="67" t="s">
        <v>105</v>
      </c>
      <c r="H115" s="103"/>
      <c r="I115" s="232"/>
      <c r="J115" s="103"/>
      <c r="K115" s="87">
        <v>780</v>
      </c>
      <c r="L115" s="604">
        <f>780-536.9</f>
        <v>243.1</v>
      </c>
      <c r="M115" s="940">
        <f>L115-K115</f>
        <v>-536.9</v>
      </c>
      <c r="N115" s="87"/>
      <c r="O115" s="232"/>
      <c r="P115" s="63"/>
      <c r="Q115" s="862"/>
      <c r="R115" s="478"/>
      <c r="S115" s="485"/>
      <c r="T115" s="1226"/>
      <c r="U115" s="2220"/>
    </row>
    <row r="116" spans="1:22" ht="15" customHeight="1" x14ac:dyDescent="0.2">
      <c r="A116" s="1221"/>
      <c r="B116" s="1224"/>
      <c r="C116" s="1222"/>
      <c r="D116" s="2100"/>
      <c r="E116" s="574"/>
      <c r="F116" s="1223"/>
      <c r="G116" s="67" t="s">
        <v>25</v>
      </c>
      <c r="H116" s="103"/>
      <c r="I116" s="604">
        <v>20.5</v>
      </c>
      <c r="J116" s="912">
        <f>I116-H116</f>
        <v>20.5</v>
      </c>
      <c r="K116" s="87"/>
      <c r="L116" s="604"/>
      <c r="M116" s="940"/>
      <c r="N116" s="87"/>
      <c r="O116" s="232"/>
      <c r="P116" s="63"/>
      <c r="Q116" s="862"/>
      <c r="R116" s="478"/>
      <c r="S116" s="485"/>
      <c r="T116" s="1226"/>
      <c r="U116" s="2220"/>
      <c r="V116" s="1" t="s">
        <v>343</v>
      </c>
    </row>
    <row r="117" spans="1:22" ht="14.25" customHeight="1" x14ac:dyDescent="0.2">
      <c r="A117" s="1221"/>
      <c r="B117" s="1224"/>
      <c r="C117" s="1222"/>
      <c r="D117" s="2100"/>
      <c r="E117" s="574"/>
      <c r="F117" s="1223"/>
      <c r="G117" s="67" t="s">
        <v>62</v>
      </c>
      <c r="H117" s="103"/>
      <c r="I117" s="604">
        <v>219.3</v>
      </c>
      <c r="J117" s="912">
        <f>I117-H117</f>
        <v>219.3</v>
      </c>
      <c r="K117" s="87"/>
      <c r="L117" s="232"/>
      <c r="M117" s="63"/>
      <c r="N117" s="87"/>
      <c r="O117" s="232"/>
      <c r="P117" s="63"/>
      <c r="Q117" s="1240"/>
      <c r="R117" s="1009"/>
      <c r="S117" s="1234"/>
      <c r="T117" s="1009"/>
      <c r="U117" s="2220"/>
    </row>
    <row r="118" spans="1:22" ht="30.75" customHeight="1" x14ac:dyDescent="0.2">
      <c r="A118" s="1221"/>
      <c r="B118" s="1224"/>
      <c r="C118" s="1222"/>
      <c r="D118" s="2100"/>
      <c r="E118" s="574"/>
      <c r="F118" s="1223"/>
      <c r="G118" s="60" t="s">
        <v>104</v>
      </c>
      <c r="H118" s="155"/>
      <c r="I118" s="910">
        <v>1.1000000000000001</v>
      </c>
      <c r="J118" s="948">
        <f>I118-H118</f>
        <v>1.1000000000000001</v>
      </c>
      <c r="K118" s="90"/>
      <c r="L118" s="43"/>
      <c r="M118" s="179"/>
      <c r="N118" s="90"/>
      <c r="O118" s="43"/>
      <c r="P118" s="179"/>
      <c r="Q118" s="1241"/>
      <c r="R118" s="1235"/>
      <c r="S118" s="1236"/>
      <c r="T118" s="1235"/>
      <c r="U118" s="2324"/>
    </row>
    <row r="119" spans="1:22" ht="15" customHeight="1" x14ac:dyDescent="0.2">
      <c r="A119" s="720"/>
      <c r="B119" s="732"/>
      <c r="C119" s="723"/>
      <c r="D119" s="2045" t="s">
        <v>252</v>
      </c>
      <c r="E119" s="574" t="s">
        <v>47</v>
      </c>
      <c r="F119" s="1223"/>
      <c r="G119" s="67" t="s">
        <v>45</v>
      </c>
      <c r="H119" s="103">
        <v>30</v>
      </c>
      <c r="I119" s="232">
        <v>30</v>
      </c>
      <c r="J119" s="103"/>
      <c r="K119" s="87">
        <v>72.5</v>
      </c>
      <c r="L119" s="232">
        <v>72.5</v>
      </c>
      <c r="M119" s="63"/>
      <c r="N119" s="87"/>
      <c r="O119" s="232"/>
      <c r="P119" s="63"/>
      <c r="Q119" s="863" t="s">
        <v>135</v>
      </c>
      <c r="R119" s="465">
        <v>1</v>
      </c>
      <c r="S119" s="498"/>
      <c r="T119" s="826"/>
      <c r="U119" s="499"/>
    </row>
    <row r="120" spans="1:22" ht="15" customHeight="1" x14ac:dyDescent="0.2">
      <c r="A120" s="720"/>
      <c r="B120" s="732"/>
      <c r="C120" s="723"/>
      <c r="D120" s="2100"/>
      <c r="E120" s="574"/>
      <c r="F120" s="1223"/>
      <c r="G120" s="67"/>
      <c r="H120" s="103"/>
      <c r="I120" s="232"/>
      <c r="J120" s="103"/>
      <c r="K120" s="87"/>
      <c r="L120" s="232"/>
      <c r="M120" s="63"/>
      <c r="N120" s="87"/>
      <c r="O120" s="232"/>
      <c r="P120" s="63"/>
      <c r="Q120" s="862" t="s">
        <v>46</v>
      </c>
      <c r="R120" s="478"/>
      <c r="S120" s="485">
        <v>1</v>
      </c>
      <c r="T120" s="827"/>
      <c r="U120" s="499"/>
    </row>
    <row r="121" spans="1:22" ht="11.25" customHeight="1" x14ac:dyDescent="0.2">
      <c r="A121" s="720"/>
      <c r="B121" s="732"/>
      <c r="C121" s="723"/>
      <c r="D121" s="2298"/>
      <c r="E121" s="574"/>
      <c r="F121" s="1223"/>
      <c r="G121" s="60"/>
      <c r="H121" s="155"/>
      <c r="I121" s="43"/>
      <c r="J121" s="155"/>
      <c r="K121" s="90"/>
      <c r="L121" s="43"/>
      <c r="M121" s="179"/>
      <c r="N121" s="90"/>
      <c r="O121" s="43"/>
      <c r="P121" s="179"/>
      <c r="Q121" s="862"/>
      <c r="R121" s="478"/>
      <c r="S121" s="485"/>
      <c r="T121" s="479"/>
      <c r="U121" s="652"/>
    </row>
    <row r="122" spans="1:22" ht="15.75" customHeight="1" thickBot="1" x14ac:dyDescent="0.25">
      <c r="A122" s="72"/>
      <c r="B122" s="764"/>
      <c r="C122" s="99"/>
      <c r="D122" s="640"/>
      <c r="E122" s="641"/>
      <c r="F122" s="1225"/>
      <c r="G122" s="141" t="s">
        <v>6</v>
      </c>
      <c r="H122" s="189">
        <f t="shared" ref="H122:P122" si="5">SUM(H114:H121)</f>
        <v>80</v>
      </c>
      <c r="I122" s="833">
        <f t="shared" si="5"/>
        <v>320.89999999999998</v>
      </c>
      <c r="J122" s="379">
        <f t="shared" si="5"/>
        <v>240.9</v>
      </c>
      <c r="K122" s="212">
        <f t="shared" si="5"/>
        <v>852.5</v>
      </c>
      <c r="L122" s="833">
        <f t="shared" si="5"/>
        <v>315.60000000000002</v>
      </c>
      <c r="M122" s="833">
        <f t="shared" si="5"/>
        <v>-536.9</v>
      </c>
      <c r="N122" s="212">
        <f t="shared" si="5"/>
        <v>0</v>
      </c>
      <c r="O122" s="833">
        <f t="shared" si="5"/>
        <v>0</v>
      </c>
      <c r="P122" s="607">
        <f t="shared" si="5"/>
        <v>0</v>
      </c>
      <c r="Q122" s="849"/>
      <c r="R122" s="644"/>
      <c r="S122" s="645"/>
      <c r="T122" s="790"/>
      <c r="U122" s="646"/>
    </row>
    <row r="123" spans="1:22" ht="16.5" customHeight="1" x14ac:dyDescent="0.2">
      <c r="A123" s="720" t="s">
        <v>5</v>
      </c>
      <c r="B123" s="732" t="s">
        <v>5</v>
      </c>
      <c r="C123" s="226" t="s">
        <v>36</v>
      </c>
      <c r="D123" s="2296" t="s">
        <v>256</v>
      </c>
      <c r="E123" s="369"/>
      <c r="F123" s="765" t="s">
        <v>43</v>
      </c>
      <c r="G123" s="190" t="s">
        <v>25</v>
      </c>
      <c r="H123" s="103">
        <v>28</v>
      </c>
      <c r="I123" s="232">
        <v>28</v>
      </c>
      <c r="J123" s="103"/>
      <c r="K123" s="223">
        <v>28</v>
      </c>
      <c r="L123" s="187">
        <v>28</v>
      </c>
      <c r="M123" s="224"/>
      <c r="N123" s="223">
        <v>28</v>
      </c>
      <c r="O123" s="187">
        <v>28</v>
      </c>
      <c r="P123" s="366"/>
      <c r="Q123" s="857"/>
      <c r="R123" s="282"/>
      <c r="S123" s="282"/>
      <c r="T123" s="690"/>
      <c r="U123" s="654"/>
    </row>
    <row r="124" spans="1:22" ht="19.5" customHeight="1" x14ac:dyDescent="0.2">
      <c r="A124" s="720"/>
      <c r="B124" s="732"/>
      <c r="C124" s="226"/>
      <c r="D124" s="2297"/>
      <c r="E124" s="769"/>
      <c r="F124" s="725"/>
      <c r="G124" s="64" t="s">
        <v>105</v>
      </c>
      <c r="H124" s="155"/>
      <c r="I124" s="910"/>
      <c r="J124" s="913"/>
      <c r="K124" s="90">
        <v>3</v>
      </c>
      <c r="L124" s="43">
        <v>3</v>
      </c>
      <c r="M124" s="155"/>
      <c r="N124" s="90">
        <v>3</v>
      </c>
      <c r="O124" s="232">
        <v>3</v>
      </c>
      <c r="P124" s="63"/>
      <c r="Q124" s="850"/>
      <c r="R124" s="20"/>
      <c r="S124" s="20"/>
      <c r="T124" s="49"/>
      <c r="U124" s="21"/>
    </row>
    <row r="125" spans="1:22" ht="11.25" customHeight="1" x14ac:dyDescent="0.2">
      <c r="A125" s="720"/>
      <c r="B125" s="732"/>
      <c r="C125" s="97"/>
      <c r="D125" s="2204" t="s">
        <v>88</v>
      </c>
      <c r="E125" s="769"/>
      <c r="F125" s="725"/>
      <c r="G125" s="65"/>
      <c r="H125" s="103"/>
      <c r="I125" s="232"/>
      <c r="J125" s="103"/>
      <c r="K125" s="87"/>
      <c r="L125" s="232"/>
      <c r="M125" s="103"/>
      <c r="N125" s="87"/>
      <c r="O125" s="51"/>
      <c r="P125" s="203"/>
      <c r="Q125" s="2331" t="s">
        <v>153</v>
      </c>
      <c r="R125" s="478">
        <v>100</v>
      </c>
      <c r="S125" s="478">
        <v>100</v>
      </c>
      <c r="T125" s="485">
        <v>100</v>
      </c>
      <c r="U125" s="652"/>
    </row>
    <row r="126" spans="1:22" ht="15" customHeight="1" x14ac:dyDescent="0.2">
      <c r="A126" s="720"/>
      <c r="B126" s="732"/>
      <c r="C126" s="97"/>
      <c r="D126" s="2297"/>
      <c r="E126" s="769"/>
      <c r="F126" s="725"/>
      <c r="G126" s="65"/>
      <c r="H126" s="103"/>
      <c r="I126" s="232"/>
      <c r="J126" s="103"/>
      <c r="K126" s="87"/>
      <c r="L126" s="232"/>
      <c r="M126" s="103"/>
      <c r="N126" s="87"/>
      <c r="O126" s="232"/>
      <c r="P126" s="63"/>
      <c r="Q126" s="2331"/>
      <c r="R126" s="478"/>
      <c r="S126" s="478"/>
      <c r="T126" s="485"/>
      <c r="U126" s="652"/>
    </row>
    <row r="127" spans="1:22" s="9" customFormat="1" ht="48" customHeight="1" x14ac:dyDescent="0.2">
      <c r="A127" s="720"/>
      <c r="B127" s="732"/>
      <c r="C127" s="723"/>
      <c r="D127" s="526" t="s">
        <v>80</v>
      </c>
      <c r="E127" s="259"/>
      <c r="F127" s="740"/>
      <c r="G127" s="180"/>
      <c r="H127" s="359"/>
      <c r="I127" s="411"/>
      <c r="J127" s="359"/>
      <c r="K127" s="839"/>
      <c r="L127" s="411"/>
      <c r="M127" s="359"/>
      <c r="N127" s="839"/>
      <c r="O127" s="411"/>
      <c r="P127" s="410"/>
      <c r="Q127" s="2339"/>
      <c r="R127" s="466"/>
      <c r="S127" s="466"/>
      <c r="T127" s="802"/>
      <c r="U127" s="830"/>
    </row>
    <row r="128" spans="1:22" ht="15" customHeight="1" thickBot="1" x14ac:dyDescent="0.25">
      <c r="A128" s="762"/>
      <c r="B128" s="278"/>
      <c r="C128" s="766"/>
      <c r="D128" s="653"/>
      <c r="E128" s="641"/>
      <c r="F128" s="642"/>
      <c r="G128" s="93" t="s">
        <v>6</v>
      </c>
      <c r="H128" s="189">
        <f>SUM(H123:H127)</f>
        <v>28</v>
      </c>
      <c r="I128" s="833">
        <f>SUM(I123:I127)</f>
        <v>28</v>
      </c>
      <c r="J128" s="833">
        <f>SUM(J123:J127)</f>
        <v>0</v>
      </c>
      <c r="K128" s="212">
        <f t="shared" ref="K128:O128" si="6">SUM(K123:K127)</f>
        <v>31</v>
      </c>
      <c r="L128" s="833">
        <f t="shared" ref="L128" si="7">SUM(L123:L127)</f>
        <v>31</v>
      </c>
      <c r="M128" s="189"/>
      <c r="N128" s="212">
        <f t="shared" ref="N128" si="8">SUM(N123:N127)</f>
        <v>31</v>
      </c>
      <c r="O128" s="833">
        <f t="shared" si="6"/>
        <v>31</v>
      </c>
      <c r="P128" s="367"/>
      <c r="Q128" s="849"/>
      <c r="R128" s="644"/>
      <c r="S128" s="645"/>
      <c r="T128" s="790"/>
      <c r="U128" s="646"/>
    </row>
    <row r="129" spans="1:24" ht="14.25" customHeight="1" thickBot="1" x14ac:dyDescent="0.25">
      <c r="A129" s="82" t="s">
        <v>5</v>
      </c>
      <c r="B129" s="280" t="s">
        <v>5</v>
      </c>
      <c r="C129" s="2154" t="s">
        <v>8</v>
      </c>
      <c r="D129" s="2155"/>
      <c r="E129" s="2155"/>
      <c r="F129" s="2155"/>
      <c r="G129" s="2156"/>
      <c r="H129" s="361">
        <f t="shared" ref="H129:P129" si="9">H128+H122+H112+H94+H78+H55+H37</f>
        <v>11451.4</v>
      </c>
      <c r="I129" s="83">
        <f t="shared" si="9"/>
        <v>12619.6</v>
      </c>
      <c r="J129" s="83">
        <f t="shared" si="9"/>
        <v>1168.2</v>
      </c>
      <c r="K129" s="361">
        <f t="shared" si="9"/>
        <v>21196.2</v>
      </c>
      <c r="L129" s="83">
        <f t="shared" si="9"/>
        <v>19596</v>
      </c>
      <c r="M129" s="83">
        <f t="shared" si="9"/>
        <v>-1600.2</v>
      </c>
      <c r="N129" s="361">
        <f t="shared" si="9"/>
        <v>16766.900000000001</v>
      </c>
      <c r="O129" s="83">
        <f t="shared" si="9"/>
        <v>16791.900000000001</v>
      </c>
      <c r="P129" s="83">
        <f t="shared" si="9"/>
        <v>25</v>
      </c>
      <c r="Q129" s="752"/>
      <c r="R129" s="784"/>
      <c r="S129" s="784"/>
      <c r="T129" s="784"/>
      <c r="U129" s="753"/>
    </row>
    <row r="130" spans="1:24" ht="14.25" customHeight="1" thickBot="1" x14ac:dyDescent="0.25">
      <c r="A130" s="82" t="s">
        <v>5</v>
      </c>
      <c r="B130" s="280" t="s">
        <v>7</v>
      </c>
      <c r="C130" s="2340" t="s">
        <v>32</v>
      </c>
      <c r="D130" s="2340"/>
      <c r="E130" s="2340"/>
      <c r="F130" s="2340"/>
      <c r="G130" s="2340"/>
      <c r="H130" s="2341"/>
      <c r="I130" s="2341"/>
      <c r="J130" s="2341"/>
      <c r="K130" s="2341"/>
      <c r="L130" s="2341"/>
      <c r="M130" s="2341"/>
      <c r="N130" s="2341"/>
      <c r="O130" s="2341"/>
      <c r="P130" s="2341"/>
      <c r="Q130" s="2340"/>
      <c r="R130" s="2159"/>
      <c r="S130" s="2159"/>
      <c r="T130" s="2159"/>
      <c r="U130" s="2342"/>
    </row>
    <row r="131" spans="1:24" ht="12.75" customHeight="1" x14ac:dyDescent="0.2">
      <c r="A131" s="761" t="s">
        <v>5</v>
      </c>
      <c r="B131" s="279" t="s">
        <v>7</v>
      </c>
      <c r="C131" s="748" t="s">
        <v>5</v>
      </c>
      <c r="D131" s="227" t="s">
        <v>57</v>
      </c>
      <c r="E131" s="2319" t="s">
        <v>120</v>
      </c>
      <c r="F131" s="658">
        <v>6</v>
      </c>
      <c r="G131" s="223" t="s">
        <v>25</v>
      </c>
      <c r="H131" s="365">
        <v>2416.6999999999998</v>
      </c>
      <c r="I131" s="187">
        <v>2416.6999999999998</v>
      </c>
      <c r="J131" s="941"/>
      <c r="K131" s="223">
        <v>5078.1000000000004</v>
      </c>
      <c r="L131" s="187">
        <v>5078.1000000000004</v>
      </c>
      <c r="M131" s="366"/>
      <c r="N131" s="224">
        <v>5079.6000000000004</v>
      </c>
      <c r="O131" s="187">
        <v>5079.6000000000004</v>
      </c>
      <c r="P131" s="224"/>
      <c r="Q131" s="590"/>
      <c r="R131" s="591"/>
      <c r="S131" s="591"/>
      <c r="T131" s="803"/>
      <c r="U131" s="2163"/>
    </row>
    <row r="132" spans="1:24" ht="12.75" customHeight="1" x14ac:dyDescent="0.2">
      <c r="A132" s="720"/>
      <c r="B132" s="732"/>
      <c r="C132" s="723"/>
      <c r="D132" s="370"/>
      <c r="E132" s="2050"/>
      <c r="F132" s="725"/>
      <c r="G132" s="87" t="s">
        <v>70</v>
      </c>
      <c r="H132" s="135">
        <f>547.4</f>
        <v>547.4</v>
      </c>
      <c r="I132" s="232">
        <f>547.4</f>
        <v>547.4</v>
      </c>
      <c r="J132" s="940"/>
      <c r="K132" s="87">
        <v>248.7</v>
      </c>
      <c r="L132" s="232">
        <v>248.7</v>
      </c>
      <c r="M132" s="63"/>
      <c r="N132" s="103">
        <v>248.7</v>
      </c>
      <c r="O132" s="232">
        <v>248.7</v>
      </c>
      <c r="P132" s="103"/>
      <c r="Q132" s="177"/>
      <c r="R132" s="175"/>
      <c r="S132" s="175"/>
      <c r="T132" s="567"/>
      <c r="U132" s="2164"/>
    </row>
    <row r="133" spans="1:24" ht="12.75" customHeight="1" x14ac:dyDescent="0.2">
      <c r="A133" s="720"/>
      <c r="B133" s="732"/>
      <c r="C133" s="723"/>
      <c r="D133" s="370"/>
      <c r="E133" s="2050"/>
      <c r="F133" s="725"/>
      <c r="G133" s="87" t="s">
        <v>77</v>
      </c>
      <c r="H133" s="135">
        <v>216.1</v>
      </c>
      <c r="I133" s="232">
        <v>216.1</v>
      </c>
      <c r="J133" s="940"/>
      <c r="K133" s="87">
        <f t="shared" ref="K133:O133" si="10">K141+K152</f>
        <v>0</v>
      </c>
      <c r="L133" s="232">
        <f t="shared" ref="L133" si="11">L141+L152</f>
        <v>0</v>
      </c>
      <c r="M133" s="63"/>
      <c r="N133" s="103">
        <f t="shared" ref="N133" si="12">N141+N152</f>
        <v>0</v>
      </c>
      <c r="O133" s="232">
        <f t="shared" si="10"/>
        <v>0</v>
      </c>
      <c r="P133" s="103"/>
      <c r="Q133" s="177"/>
      <c r="R133" s="175"/>
      <c r="S133" s="175"/>
      <c r="T133" s="567"/>
      <c r="U133" s="2164"/>
    </row>
    <row r="134" spans="1:24" ht="12.75" customHeight="1" x14ac:dyDescent="0.2">
      <c r="A134" s="720"/>
      <c r="B134" s="732"/>
      <c r="C134" s="723"/>
      <c r="D134" s="371"/>
      <c r="E134" s="592"/>
      <c r="F134" s="781"/>
      <c r="G134" s="90" t="s">
        <v>62</v>
      </c>
      <c r="H134" s="136">
        <f>1150+1556.5</f>
        <v>2706.5</v>
      </c>
      <c r="I134" s="43">
        <f>1150+1556.5</f>
        <v>2706.5</v>
      </c>
      <c r="J134" s="948"/>
      <c r="K134" s="208"/>
      <c r="L134" s="207"/>
      <c r="M134" s="209"/>
      <c r="N134" s="568"/>
      <c r="O134" s="207"/>
      <c r="P134" s="568"/>
      <c r="Q134" s="208"/>
      <c r="R134" s="207"/>
      <c r="S134" s="207"/>
      <c r="T134" s="568"/>
      <c r="U134" s="2164"/>
    </row>
    <row r="135" spans="1:24" ht="14.25" customHeight="1" x14ac:dyDescent="0.2">
      <c r="A135" s="720"/>
      <c r="B135" s="732"/>
      <c r="C135" s="723"/>
      <c r="D135" s="741" t="s">
        <v>52</v>
      </c>
      <c r="E135" s="738"/>
      <c r="F135" s="722"/>
      <c r="G135" s="86"/>
      <c r="H135" s="589"/>
      <c r="I135" s="873"/>
      <c r="J135" s="867"/>
      <c r="K135" s="589"/>
      <c r="L135" s="873"/>
      <c r="M135" s="867"/>
      <c r="N135" s="52"/>
      <c r="O135" s="873"/>
      <c r="P135" s="52"/>
      <c r="Q135" s="663"/>
      <c r="R135" s="664"/>
      <c r="S135" s="664"/>
      <c r="T135" s="804"/>
      <c r="U135" s="327"/>
    </row>
    <row r="136" spans="1:24" ht="15.75" customHeight="1" x14ac:dyDescent="0.2">
      <c r="A136" s="720"/>
      <c r="B136" s="732"/>
      <c r="C136" s="723"/>
      <c r="D136" s="2325" t="s">
        <v>81</v>
      </c>
      <c r="E136" s="738"/>
      <c r="F136" s="723"/>
      <c r="G136" s="87"/>
      <c r="H136" s="87"/>
      <c r="I136" s="232"/>
      <c r="J136" s="63"/>
      <c r="K136" s="87"/>
      <c r="L136" s="232"/>
      <c r="M136" s="63"/>
      <c r="N136" s="103"/>
      <c r="O136" s="232"/>
      <c r="P136" s="125"/>
      <c r="Q136" s="742" t="s">
        <v>41</v>
      </c>
      <c r="R136" s="232">
        <v>5.9</v>
      </c>
      <c r="S136" s="232">
        <v>5.9</v>
      </c>
      <c r="T136" s="103">
        <v>5.9</v>
      </c>
      <c r="U136" s="41"/>
    </row>
    <row r="137" spans="1:24" ht="10.5" customHeight="1" x14ac:dyDescent="0.2">
      <c r="A137" s="720"/>
      <c r="B137" s="732"/>
      <c r="C137" s="723"/>
      <c r="D137" s="2325"/>
      <c r="E137" s="734"/>
      <c r="F137" s="723"/>
      <c r="G137" s="87"/>
      <c r="H137" s="87"/>
      <c r="I137" s="232"/>
      <c r="J137" s="63"/>
      <c r="K137" s="87"/>
      <c r="L137" s="232"/>
      <c r="M137" s="63"/>
      <c r="N137" s="103"/>
      <c r="O137" s="232"/>
      <c r="P137" s="125"/>
      <c r="Q137" s="756"/>
      <c r="R137" s="219"/>
      <c r="S137" s="783"/>
      <c r="T137" s="331"/>
      <c r="U137" s="265"/>
    </row>
    <row r="138" spans="1:24" ht="14.25" customHeight="1" x14ac:dyDescent="0.2">
      <c r="A138" s="720"/>
      <c r="B138" s="732"/>
      <c r="C138" s="723"/>
      <c r="D138" s="229" t="s">
        <v>82</v>
      </c>
      <c r="E138" s="734"/>
      <c r="F138" s="723"/>
      <c r="G138" s="87"/>
      <c r="H138" s="87"/>
      <c r="I138" s="232"/>
      <c r="J138" s="63"/>
      <c r="K138" s="87"/>
      <c r="L138" s="232"/>
      <c r="M138" s="63"/>
      <c r="N138" s="103"/>
      <c r="O138" s="232"/>
      <c r="P138" s="103"/>
      <c r="Q138" s="89" t="s">
        <v>160</v>
      </c>
      <c r="R138" s="197">
        <v>3.7</v>
      </c>
      <c r="S138" s="34">
        <f>+R138</f>
        <v>3.7</v>
      </c>
      <c r="T138" s="805">
        <f>+R138</f>
        <v>3.7</v>
      </c>
      <c r="U138" s="35"/>
    </row>
    <row r="139" spans="1:24" ht="26.25" customHeight="1" x14ac:dyDescent="0.2">
      <c r="A139" s="720"/>
      <c r="B139" s="732"/>
      <c r="C139" s="723"/>
      <c r="D139" s="307" t="s">
        <v>83</v>
      </c>
      <c r="E139" s="737"/>
      <c r="F139" s="723"/>
      <c r="G139" s="86"/>
      <c r="H139" s="87"/>
      <c r="I139" s="232"/>
      <c r="J139" s="63"/>
      <c r="K139" s="87"/>
      <c r="L139" s="232"/>
      <c r="M139" s="63"/>
      <c r="N139" s="103"/>
      <c r="O139" s="232"/>
      <c r="P139" s="103"/>
      <c r="Q139" s="756" t="s">
        <v>161</v>
      </c>
      <c r="R139" s="373">
        <v>26.7</v>
      </c>
      <c r="S139" s="197">
        <f>+R139</f>
        <v>26.7</v>
      </c>
      <c r="T139" s="455">
        <f>+R139</f>
        <v>26.7</v>
      </c>
      <c r="U139" s="41"/>
    </row>
    <row r="140" spans="1:24" ht="24.75" customHeight="1" x14ac:dyDescent="0.2">
      <c r="A140" s="720"/>
      <c r="B140" s="732"/>
      <c r="C140" s="723"/>
      <c r="D140" s="2326" t="s">
        <v>146</v>
      </c>
      <c r="E140" s="734"/>
      <c r="F140" s="723"/>
      <c r="G140" s="938"/>
      <c r="H140" s="86"/>
      <c r="I140" s="939"/>
      <c r="J140" s="1117"/>
      <c r="K140" s="87"/>
      <c r="L140" s="232"/>
      <c r="M140" s="63"/>
      <c r="N140" s="103"/>
      <c r="O140" s="232"/>
      <c r="P140" s="103"/>
      <c r="Q140" s="2337" t="s">
        <v>315</v>
      </c>
      <c r="R140" s="399" t="s">
        <v>318</v>
      </c>
      <c r="S140" s="561">
        <v>3</v>
      </c>
      <c r="T140" s="561">
        <v>3</v>
      </c>
      <c r="U140" s="2042"/>
    </row>
    <row r="141" spans="1:24" ht="95.25" customHeight="1" x14ac:dyDescent="0.2">
      <c r="A141" s="720"/>
      <c r="B141" s="732"/>
      <c r="C141" s="723"/>
      <c r="D141" s="2297"/>
      <c r="E141" s="738"/>
      <c r="F141" s="723"/>
      <c r="G141" s="87"/>
      <c r="H141" s="87"/>
      <c r="I141" s="232"/>
      <c r="J141" s="63"/>
      <c r="K141" s="87"/>
      <c r="L141" s="232"/>
      <c r="M141" s="63"/>
      <c r="N141" s="103"/>
      <c r="O141" s="232"/>
      <c r="P141" s="103"/>
      <c r="Q141" s="2338"/>
      <c r="R141" s="325"/>
      <c r="S141" s="49"/>
      <c r="T141" s="49"/>
      <c r="U141" s="2028"/>
      <c r="X141" s="52"/>
    </row>
    <row r="142" spans="1:24" ht="14.25" customHeight="1" x14ac:dyDescent="0.2">
      <c r="A142" s="720"/>
      <c r="B142" s="732"/>
      <c r="C142" s="723"/>
      <c r="D142" s="291" t="s">
        <v>181</v>
      </c>
      <c r="E142" s="738"/>
      <c r="F142" s="723"/>
      <c r="G142" s="86"/>
      <c r="H142" s="589"/>
      <c r="I142" s="873"/>
      <c r="J142" s="867"/>
      <c r="K142" s="177"/>
      <c r="L142" s="175"/>
      <c r="M142" s="218"/>
      <c r="N142" s="567"/>
      <c r="O142" s="175"/>
      <c r="P142" s="567"/>
      <c r="Q142" s="742"/>
      <c r="R142" s="38"/>
      <c r="S142" s="204"/>
      <c r="T142" s="537"/>
      <c r="U142" s="605"/>
    </row>
    <row r="143" spans="1:24" ht="52.5" customHeight="1" x14ac:dyDescent="0.2">
      <c r="A143" s="720"/>
      <c r="B143" s="732"/>
      <c r="C143" s="723"/>
      <c r="D143" s="292" t="s">
        <v>182</v>
      </c>
      <c r="E143" s="738"/>
      <c r="F143" s="723"/>
      <c r="G143" s="87"/>
      <c r="H143" s="87"/>
      <c r="I143" s="232"/>
      <c r="J143" s="63"/>
      <c r="K143" s="87"/>
      <c r="L143" s="232"/>
      <c r="M143" s="63"/>
      <c r="N143" s="103"/>
      <c r="O143" s="232"/>
      <c r="P143" s="103"/>
      <c r="Q143" s="45" t="s">
        <v>176</v>
      </c>
      <c r="R143" s="329">
        <v>21</v>
      </c>
      <c r="S143" s="329">
        <v>21</v>
      </c>
      <c r="T143" s="368">
        <v>21</v>
      </c>
      <c r="U143" s="265"/>
    </row>
    <row r="144" spans="1:24" ht="22.5" customHeight="1" x14ac:dyDescent="0.2">
      <c r="A144" s="720"/>
      <c r="B144" s="732"/>
      <c r="C144" s="723"/>
      <c r="D144" s="2327" t="s">
        <v>183</v>
      </c>
      <c r="E144" s="738"/>
      <c r="F144" s="723"/>
      <c r="G144" s="87"/>
      <c r="H144" s="87"/>
      <c r="I144" s="232"/>
      <c r="J144" s="63"/>
      <c r="K144" s="87"/>
      <c r="L144" s="232"/>
      <c r="M144" s="63"/>
      <c r="N144" s="103"/>
      <c r="O144" s="232"/>
      <c r="P144" s="103"/>
      <c r="Q144" s="2346" t="s">
        <v>257</v>
      </c>
      <c r="R144" s="328">
        <v>12</v>
      </c>
      <c r="S144" s="328">
        <v>12</v>
      </c>
      <c r="T144" s="166">
        <v>12</v>
      </c>
      <c r="U144" s="265"/>
    </row>
    <row r="145" spans="1:21" ht="21" customHeight="1" x14ac:dyDescent="0.2">
      <c r="A145" s="720"/>
      <c r="B145" s="732"/>
      <c r="C145" s="723"/>
      <c r="D145" s="2328"/>
      <c r="E145" s="738"/>
      <c r="F145" s="723"/>
      <c r="G145" s="87"/>
      <c r="H145" s="87"/>
      <c r="I145" s="232"/>
      <c r="J145" s="63"/>
      <c r="K145" s="87"/>
      <c r="L145" s="232"/>
      <c r="M145" s="63"/>
      <c r="N145" s="103"/>
      <c r="O145" s="232"/>
      <c r="P145" s="103"/>
      <c r="Q145" s="2096"/>
      <c r="R145" s="325"/>
      <c r="S145" s="326"/>
      <c r="T145" s="49"/>
      <c r="U145" s="21"/>
    </row>
    <row r="146" spans="1:21" ht="18" customHeight="1" x14ac:dyDescent="0.2">
      <c r="A146" s="2029"/>
      <c r="B146" s="2030"/>
      <c r="C146" s="2031"/>
      <c r="D146" s="2101" t="s">
        <v>42</v>
      </c>
      <c r="E146" s="2123"/>
      <c r="F146" s="2113"/>
      <c r="G146" s="87"/>
      <c r="H146" s="87"/>
      <c r="I146" s="232"/>
      <c r="J146" s="63"/>
      <c r="K146" s="87"/>
      <c r="L146" s="232"/>
      <c r="M146" s="63"/>
      <c r="N146" s="103"/>
      <c r="O146" s="232"/>
      <c r="P146" s="103"/>
      <c r="Q146" s="2320" t="s">
        <v>54</v>
      </c>
      <c r="R146" s="2349">
        <v>7</v>
      </c>
      <c r="S146" s="2349">
        <v>7</v>
      </c>
      <c r="T146" s="2253">
        <v>7</v>
      </c>
      <c r="U146" s="2351"/>
    </row>
    <row r="147" spans="1:21" ht="12.75" customHeight="1" x14ac:dyDescent="0.2">
      <c r="A147" s="2029"/>
      <c r="B147" s="2030"/>
      <c r="C147" s="2031"/>
      <c r="D147" s="2102"/>
      <c r="E147" s="2123"/>
      <c r="F147" s="2113"/>
      <c r="G147" s="87"/>
      <c r="H147" s="87"/>
      <c r="I147" s="232"/>
      <c r="J147" s="63"/>
      <c r="K147" s="87"/>
      <c r="L147" s="232"/>
      <c r="M147" s="63"/>
      <c r="N147" s="103"/>
      <c r="O147" s="232"/>
      <c r="P147" s="103"/>
      <c r="Q147" s="2321"/>
      <c r="R147" s="2350"/>
      <c r="S147" s="2350"/>
      <c r="T147" s="2254"/>
      <c r="U147" s="2352"/>
    </row>
    <row r="148" spans="1:21" ht="18" customHeight="1" x14ac:dyDescent="0.2">
      <c r="A148" s="2029"/>
      <c r="B148" s="2111"/>
      <c r="C148" s="2031"/>
      <c r="D148" s="2128" t="s">
        <v>149</v>
      </c>
      <c r="E148" s="2130"/>
      <c r="F148" s="2113"/>
      <c r="G148" s="87"/>
      <c r="H148" s="87"/>
      <c r="I148" s="232"/>
      <c r="J148" s="63"/>
      <c r="K148" s="87"/>
      <c r="L148" s="232"/>
      <c r="M148" s="63"/>
      <c r="N148" s="103"/>
      <c r="O148" s="232"/>
      <c r="P148" s="103"/>
      <c r="Q148" s="244" t="s">
        <v>214</v>
      </c>
      <c r="R148" s="27"/>
      <c r="S148" s="332"/>
      <c r="T148" s="868"/>
      <c r="U148" s="927"/>
    </row>
    <row r="149" spans="1:21" ht="16.5" customHeight="1" x14ac:dyDescent="0.2">
      <c r="A149" s="2029"/>
      <c r="B149" s="2111"/>
      <c r="C149" s="2031"/>
      <c r="D149" s="2129"/>
      <c r="E149" s="2130"/>
      <c r="F149" s="2113"/>
      <c r="G149" s="87"/>
      <c r="H149" s="87"/>
      <c r="I149" s="232"/>
      <c r="J149" s="63"/>
      <c r="K149" s="87"/>
      <c r="L149" s="232"/>
      <c r="M149" s="63"/>
      <c r="N149" s="103"/>
      <c r="O149" s="232"/>
      <c r="P149" s="103"/>
      <c r="Q149" s="89" t="s">
        <v>250</v>
      </c>
      <c r="R149" s="32">
        <v>1</v>
      </c>
      <c r="S149" s="448">
        <v>1</v>
      </c>
      <c r="T149" s="464">
        <v>1</v>
      </c>
      <c r="U149" s="927"/>
    </row>
    <row r="150" spans="1:21" ht="25.5" customHeight="1" x14ac:dyDescent="0.2">
      <c r="A150" s="2029"/>
      <c r="B150" s="2111"/>
      <c r="C150" s="2031"/>
      <c r="D150" s="2129"/>
      <c r="E150" s="2130"/>
      <c r="F150" s="2113"/>
      <c r="G150" s="87"/>
      <c r="H150" s="87"/>
      <c r="I150" s="232"/>
      <c r="J150" s="63"/>
      <c r="K150" s="87"/>
      <c r="L150" s="232"/>
      <c r="M150" s="63"/>
      <c r="N150" s="103"/>
      <c r="O150" s="232"/>
      <c r="P150" s="103"/>
      <c r="Q150" s="89" t="s">
        <v>175</v>
      </c>
      <c r="R150" s="32">
        <v>1</v>
      </c>
      <c r="S150" s="448">
        <v>1</v>
      </c>
      <c r="T150" s="464">
        <v>1</v>
      </c>
      <c r="U150" s="928"/>
    </row>
    <row r="151" spans="1:21" ht="17.25" customHeight="1" x14ac:dyDescent="0.2">
      <c r="A151" s="2029"/>
      <c r="B151" s="2111"/>
      <c r="C151" s="2031"/>
      <c r="D151" s="2101" t="s">
        <v>144</v>
      </c>
      <c r="E151" s="2109" t="s">
        <v>47</v>
      </c>
      <c r="F151" s="2113"/>
      <c r="G151" s="87"/>
      <c r="H151" s="87"/>
      <c r="I151" s="232"/>
      <c r="J151" s="63"/>
      <c r="K151" s="87"/>
      <c r="L151" s="232"/>
      <c r="M151" s="63"/>
      <c r="N151" s="103"/>
      <c r="O151" s="232"/>
      <c r="P151" s="103"/>
      <c r="Q151" s="2345" t="s">
        <v>213</v>
      </c>
      <c r="R151" s="550">
        <v>125</v>
      </c>
      <c r="S151" s="551">
        <v>40</v>
      </c>
      <c r="T151" s="869">
        <v>40</v>
      </c>
      <c r="U151" s="665"/>
    </row>
    <row r="152" spans="1:21" ht="21.75" customHeight="1" x14ac:dyDescent="0.2">
      <c r="A152" s="2029"/>
      <c r="B152" s="2111"/>
      <c r="C152" s="2031"/>
      <c r="D152" s="2102"/>
      <c r="E152" s="2109"/>
      <c r="F152" s="2113"/>
      <c r="G152" s="87"/>
      <c r="H152" s="87"/>
      <c r="I152" s="232"/>
      <c r="J152" s="63"/>
      <c r="K152" s="87"/>
      <c r="L152" s="232"/>
      <c r="M152" s="63"/>
      <c r="N152" s="103"/>
      <c r="O152" s="232"/>
      <c r="P152" s="103"/>
      <c r="Q152" s="2344"/>
      <c r="R152" s="552"/>
      <c r="S152" s="553"/>
      <c r="T152" s="870"/>
      <c r="U152" s="930"/>
    </row>
    <row r="153" spans="1:21" ht="19.5" customHeight="1" x14ac:dyDescent="0.2">
      <c r="A153" s="729"/>
      <c r="B153" s="732"/>
      <c r="C153" s="226"/>
      <c r="D153" s="2129" t="s">
        <v>233</v>
      </c>
      <c r="E153" s="751"/>
      <c r="F153" s="781"/>
      <c r="G153" s="87"/>
      <c r="H153" s="87"/>
      <c r="I153" s="232"/>
      <c r="J153" s="63"/>
      <c r="K153" s="87"/>
      <c r="L153" s="232"/>
      <c r="M153" s="63"/>
      <c r="N153" s="103"/>
      <c r="O153" s="232"/>
      <c r="P153" s="103"/>
      <c r="Q153" s="2343" t="s">
        <v>234</v>
      </c>
      <c r="R153" s="264">
        <v>1</v>
      </c>
      <c r="S153" s="264"/>
      <c r="T153" s="463"/>
      <c r="U153" s="927"/>
    </row>
    <row r="154" spans="1:21" ht="12.75" customHeight="1" x14ac:dyDescent="0.2">
      <c r="A154" s="729"/>
      <c r="B154" s="732"/>
      <c r="C154" s="226"/>
      <c r="D154" s="2129"/>
      <c r="E154" s="751"/>
      <c r="F154" s="725"/>
      <c r="G154" s="87"/>
      <c r="H154" s="87"/>
      <c r="I154" s="232"/>
      <c r="J154" s="63"/>
      <c r="K154" s="87"/>
      <c r="L154" s="232"/>
      <c r="M154" s="63"/>
      <c r="N154" s="103"/>
      <c r="O154" s="232"/>
      <c r="P154" s="103"/>
      <c r="Q154" s="2344"/>
      <c r="R154" s="281"/>
      <c r="S154" s="339"/>
      <c r="T154" s="321"/>
      <c r="U154" s="927"/>
    </row>
    <row r="155" spans="1:21" ht="27" customHeight="1" x14ac:dyDescent="0.2">
      <c r="A155" s="729"/>
      <c r="B155" s="732"/>
      <c r="C155" s="226"/>
      <c r="D155" s="2128" t="s">
        <v>131</v>
      </c>
      <c r="E155" s="200"/>
      <c r="F155" s="725"/>
      <c r="G155" s="87"/>
      <c r="H155" s="87"/>
      <c r="I155" s="232"/>
      <c r="J155" s="63"/>
      <c r="K155" s="87"/>
      <c r="L155" s="232"/>
      <c r="M155" s="63"/>
      <c r="N155" s="103"/>
      <c r="O155" s="232"/>
      <c r="P155" s="63"/>
      <c r="Q155" s="539" t="s">
        <v>132</v>
      </c>
      <c r="R155" s="357"/>
      <c r="S155" s="357">
        <v>6</v>
      </c>
      <c r="T155" s="806"/>
      <c r="U155" s="927"/>
    </row>
    <row r="156" spans="1:21" ht="15.75" customHeight="1" x14ac:dyDescent="0.2">
      <c r="A156" s="729"/>
      <c r="B156" s="732"/>
      <c r="C156" s="226"/>
      <c r="D156" s="2129"/>
      <c r="E156" s="751"/>
      <c r="F156" s="725"/>
      <c r="G156" s="90"/>
      <c r="H156" s="90"/>
      <c r="I156" s="43"/>
      <c r="J156" s="179"/>
      <c r="K156" s="90"/>
      <c r="L156" s="43"/>
      <c r="M156" s="179"/>
      <c r="N156" s="155"/>
      <c r="O156" s="43"/>
      <c r="P156" s="179"/>
      <c r="Q156" s="178" t="s">
        <v>236</v>
      </c>
      <c r="R156" s="264">
        <v>6</v>
      </c>
      <c r="S156" s="538"/>
      <c r="T156" s="463">
        <v>6</v>
      </c>
      <c r="U156" s="927"/>
    </row>
    <row r="157" spans="1:21" ht="18" customHeight="1" thickBot="1" x14ac:dyDescent="0.25">
      <c r="A157" s="762"/>
      <c r="B157" s="278"/>
      <c r="C157" s="749"/>
      <c r="D157" s="655"/>
      <c r="E157" s="641"/>
      <c r="F157" s="642"/>
      <c r="G157" s="212" t="s">
        <v>6</v>
      </c>
      <c r="H157" s="212">
        <f>SUM(H131:H156)</f>
        <v>5886.7</v>
      </c>
      <c r="I157" s="833">
        <f>SUM(I131:I156)+I140</f>
        <v>5886.7</v>
      </c>
      <c r="J157" s="607">
        <f>SUM(J131:J156)</f>
        <v>0</v>
      </c>
      <c r="K157" s="212">
        <f>SUM(K131:K156)</f>
        <v>5326.8</v>
      </c>
      <c r="L157" s="833">
        <f>SUM(L131:L156)</f>
        <v>5326.8</v>
      </c>
      <c r="M157" s="367"/>
      <c r="N157" s="189">
        <f>SUM(N131:N156)</f>
        <v>5328.3</v>
      </c>
      <c r="O157" s="833">
        <f>SUM(O131:O156)</f>
        <v>5328.3</v>
      </c>
      <c r="P157" s="189"/>
      <c r="Q157" s="643"/>
      <c r="R157" s="644"/>
      <c r="S157" s="645"/>
      <c r="T157" s="790"/>
      <c r="U157" s="646"/>
    </row>
    <row r="158" spans="1:21" ht="54" customHeight="1" x14ac:dyDescent="0.2">
      <c r="A158" s="745" t="s">
        <v>5</v>
      </c>
      <c r="B158" s="746" t="s">
        <v>7</v>
      </c>
      <c r="C158" s="722" t="s">
        <v>7</v>
      </c>
      <c r="D158" s="750" t="s">
        <v>261</v>
      </c>
      <c r="E158" s="734" t="s">
        <v>47</v>
      </c>
      <c r="F158" s="725" t="s">
        <v>43</v>
      </c>
      <c r="G158" s="353" t="s">
        <v>70</v>
      </c>
      <c r="H158" s="224">
        <v>150</v>
      </c>
      <c r="I158" s="187">
        <v>150</v>
      </c>
      <c r="J158" s="224"/>
      <c r="K158" s="223">
        <f>391.7+15</f>
        <v>406.7</v>
      </c>
      <c r="L158" s="187">
        <f>391.7+15</f>
        <v>406.7</v>
      </c>
      <c r="M158" s="366"/>
      <c r="N158" s="364">
        <v>558.6</v>
      </c>
      <c r="O158" s="875">
        <v>558.6</v>
      </c>
      <c r="P158" s="364"/>
      <c r="Q158" s="548" t="s">
        <v>260</v>
      </c>
      <c r="R158" s="206">
        <v>4</v>
      </c>
      <c r="S158" s="504">
        <v>6</v>
      </c>
      <c r="T158" s="871"/>
      <c r="U158" s="654"/>
    </row>
    <row r="159" spans="1:21" ht="26.25" customHeight="1" x14ac:dyDescent="0.2">
      <c r="A159" s="340"/>
      <c r="B159" s="746"/>
      <c r="C159" s="767"/>
      <c r="D159" s="743"/>
      <c r="E159" s="734"/>
      <c r="F159" s="725"/>
      <c r="G159" s="242"/>
      <c r="H159" s="245"/>
      <c r="I159" s="556"/>
      <c r="J159" s="245"/>
      <c r="K159" s="683"/>
      <c r="L159" s="556"/>
      <c r="M159" s="289"/>
      <c r="N159" s="245"/>
      <c r="O159" s="556"/>
      <c r="P159" s="245"/>
      <c r="Q159" s="221" t="s">
        <v>262</v>
      </c>
      <c r="R159" s="198"/>
      <c r="S159" s="656" t="s">
        <v>56</v>
      </c>
      <c r="T159" s="566" t="s">
        <v>224</v>
      </c>
      <c r="U159" s="362"/>
    </row>
    <row r="160" spans="1:21" ht="36.75" customHeight="1" x14ac:dyDescent="0.2">
      <c r="A160" s="340"/>
      <c r="B160" s="746"/>
      <c r="C160" s="767"/>
      <c r="D160" s="728"/>
      <c r="E160" s="734"/>
      <c r="F160" s="725"/>
      <c r="G160" s="77" t="s">
        <v>25</v>
      </c>
      <c r="H160" s="162">
        <v>40</v>
      </c>
      <c r="I160" s="165">
        <v>40</v>
      </c>
      <c r="J160" s="162"/>
      <c r="K160" s="131"/>
      <c r="L160" s="165"/>
      <c r="M160" s="184"/>
      <c r="N160" s="162"/>
      <c r="O160" s="165"/>
      <c r="P160" s="184"/>
      <c r="Q160" s="739" t="s">
        <v>277</v>
      </c>
      <c r="R160" s="38">
        <v>1</v>
      </c>
      <c r="S160" s="554"/>
      <c r="T160" s="204"/>
      <c r="U160" s="362"/>
    </row>
    <row r="161" spans="1:21" ht="18" customHeight="1" thickBot="1" x14ac:dyDescent="0.25">
      <c r="A161" s="762"/>
      <c r="B161" s="278"/>
      <c r="C161" s="749"/>
      <c r="D161" s="655"/>
      <c r="E161" s="641"/>
      <c r="F161" s="642"/>
      <c r="G161" s="212" t="s">
        <v>6</v>
      </c>
      <c r="H161" s="212">
        <f>SUM(H158:H160)</f>
        <v>190</v>
      </c>
      <c r="I161" s="833">
        <f>SUM(I158:I160)</f>
        <v>190</v>
      </c>
      <c r="J161" s="833">
        <f>SUM(J158:J160)</f>
        <v>0</v>
      </c>
      <c r="K161" s="212">
        <f>SUM(K158:K160)</f>
        <v>406.7</v>
      </c>
      <c r="L161" s="833">
        <f>SUM(L158:L160)</f>
        <v>406.7</v>
      </c>
      <c r="M161" s="367"/>
      <c r="N161" s="189">
        <f>SUM(N158:N160)</f>
        <v>558.6</v>
      </c>
      <c r="O161" s="833">
        <f>SUM(O158:O160)</f>
        <v>558.6</v>
      </c>
      <c r="P161" s="189"/>
      <c r="Q161" s="643"/>
      <c r="R161" s="644"/>
      <c r="S161" s="645"/>
      <c r="T161" s="790"/>
      <c r="U161" s="646"/>
    </row>
    <row r="162" spans="1:21" ht="15" customHeight="1" x14ac:dyDescent="0.2">
      <c r="A162" s="2131" t="s">
        <v>5</v>
      </c>
      <c r="B162" s="2134" t="s">
        <v>7</v>
      </c>
      <c r="C162" s="2137" t="s">
        <v>28</v>
      </c>
      <c r="D162" s="2140" t="s">
        <v>130</v>
      </c>
      <c r="E162" s="2151" t="s">
        <v>47</v>
      </c>
      <c r="F162" s="2137" t="s">
        <v>43</v>
      </c>
      <c r="G162" s="190" t="s">
        <v>25</v>
      </c>
      <c r="H162" s="103">
        <v>113</v>
      </c>
      <c r="I162" s="232">
        <v>113</v>
      </c>
      <c r="J162" s="103"/>
      <c r="K162" s="223">
        <v>639.6</v>
      </c>
      <c r="L162" s="187">
        <v>639.6</v>
      </c>
      <c r="M162" s="63"/>
      <c r="N162" s="103"/>
      <c r="O162" s="232"/>
      <c r="P162" s="125"/>
      <c r="Q162" s="785" t="s">
        <v>263</v>
      </c>
      <c r="R162" s="282"/>
      <c r="S162" s="275">
        <v>17</v>
      </c>
      <c r="T162" s="791"/>
      <c r="U162" s="829"/>
    </row>
    <row r="163" spans="1:21" ht="14.25" customHeight="1" x14ac:dyDescent="0.2">
      <c r="A163" s="2132"/>
      <c r="B163" s="2135"/>
      <c r="C163" s="2138"/>
      <c r="D163" s="2141"/>
      <c r="E163" s="2152"/>
      <c r="F163" s="2138"/>
      <c r="G163" s="64" t="s">
        <v>309</v>
      </c>
      <c r="H163" s="155">
        <v>640</v>
      </c>
      <c r="I163" s="43">
        <v>640</v>
      </c>
      <c r="J163" s="155"/>
      <c r="K163" s="90">
        <v>3624.5</v>
      </c>
      <c r="L163" s="43">
        <v>3624.5</v>
      </c>
      <c r="M163" s="179"/>
      <c r="N163" s="155"/>
      <c r="O163" s="43"/>
      <c r="P163" s="179"/>
      <c r="Q163" s="754"/>
      <c r="R163" s="281"/>
      <c r="S163" s="281"/>
      <c r="T163" s="321"/>
      <c r="U163" s="265"/>
    </row>
    <row r="164" spans="1:21" ht="15" customHeight="1" thickBot="1" x14ac:dyDescent="0.25">
      <c r="A164" s="2133"/>
      <c r="B164" s="2136"/>
      <c r="C164" s="2139"/>
      <c r="D164" s="2142"/>
      <c r="E164" s="2153"/>
      <c r="F164" s="2139"/>
      <c r="G164" s="93" t="s">
        <v>6</v>
      </c>
      <c r="H164" s="283">
        <f>SUM(H162:H163)</f>
        <v>753</v>
      </c>
      <c r="I164" s="188">
        <f>SUM(I162:I163)</f>
        <v>753</v>
      </c>
      <c r="J164" s="188">
        <f>SUM(J162:J163)</f>
        <v>0</v>
      </c>
      <c r="K164" s="186">
        <f t="shared" ref="K164:O164" si="13">SUM(K162:K163)</f>
        <v>4264.1000000000004</v>
      </c>
      <c r="L164" s="188">
        <f t="shared" ref="L164" si="14">SUM(L162:L163)</f>
        <v>4264.1000000000004</v>
      </c>
      <c r="M164" s="220"/>
      <c r="N164" s="283">
        <f t="shared" ref="N164" si="15">SUM(N162:N163)</f>
        <v>0</v>
      </c>
      <c r="O164" s="833">
        <f t="shared" si="13"/>
        <v>0</v>
      </c>
      <c r="P164" s="786"/>
      <c r="Q164" s="240"/>
      <c r="R164" s="192"/>
      <c r="S164" s="192"/>
      <c r="T164" s="807"/>
      <c r="U164" s="599"/>
    </row>
    <row r="165" spans="1:21" ht="14.25" customHeight="1" thickBot="1" x14ac:dyDescent="0.25">
      <c r="A165" s="94" t="s">
        <v>5</v>
      </c>
      <c r="B165" s="280" t="s">
        <v>7</v>
      </c>
      <c r="C165" s="2154" t="s">
        <v>8</v>
      </c>
      <c r="D165" s="2155"/>
      <c r="E165" s="2155"/>
      <c r="F165" s="2155"/>
      <c r="G165" s="2156"/>
      <c r="H165" s="361">
        <f>H161+H157+H164</f>
        <v>6829.7</v>
      </c>
      <c r="I165" s="83">
        <f>I161+I157+I164</f>
        <v>6829.7</v>
      </c>
      <c r="J165" s="83">
        <f>J161+J157+J164</f>
        <v>0</v>
      </c>
      <c r="K165" s="361">
        <f t="shared" ref="K165:P165" si="16">K161+K157+K164</f>
        <v>9997.6</v>
      </c>
      <c r="L165" s="835">
        <f t="shared" ref="L165:M165" si="17">L161+L157+L164</f>
        <v>9997.6</v>
      </c>
      <c r="M165" s="835">
        <f t="shared" si="17"/>
        <v>0</v>
      </c>
      <c r="N165" s="361">
        <f t="shared" ref="N165" si="18">N161+N157+N164</f>
        <v>5886.9</v>
      </c>
      <c r="O165" s="83">
        <f>O161+O157+O164</f>
        <v>5886.9</v>
      </c>
      <c r="P165" s="1118">
        <f t="shared" si="16"/>
        <v>0</v>
      </c>
      <c r="Q165" s="2157"/>
      <c r="R165" s="2157"/>
      <c r="S165" s="2157"/>
      <c r="T165" s="2157"/>
      <c r="U165" s="2158"/>
    </row>
    <row r="166" spans="1:21" ht="18" customHeight="1" thickBot="1" x14ac:dyDescent="0.25">
      <c r="A166" s="82" t="s">
        <v>5</v>
      </c>
      <c r="B166" s="280" t="s">
        <v>28</v>
      </c>
      <c r="C166" s="2159" t="s">
        <v>118</v>
      </c>
      <c r="D166" s="2160"/>
      <c r="E166" s="2160"/>
      <c r="F166" s="2160"/>
      <c r="G166" s="2160"/>
      <c r="H166" s="2160"/>
      <c r="I166" s="2160"/>
      <c r="J166" s="2160"/>
      <c r="K166" s="2160"/>
      <c r="L166" s="2160"/>
      <c r="M166" s="2160"/>
      <c r="N166" s="2160"/>
      <c r="O166" s="2160"/>
      <c r="P166" s="2160"/>
      <c r="Q166" s="2160"/>
      <c r="R166" s="2160"/>
      <c r="S166" s="2160"/>
      <c r="T166" s="2160"/>
      <c r="U166" s="2161"/>
    </row>
    <row r="167" spans="1:21" ht="11.25" customHeight="1" x14ac:dyDescent="0.2">
      <c r="A167" s="761" t="s">
        <v>5</v>
      </c>
      <c r="B167" s="279" t="s">
        <v>28</v>
      </c>
      <c r="C167" s="748" t="s">
        <v>5</v>
      </c>
      <c r="D167" s="2162" t="s">
        <v>114</v>
      </c>
      <c r="E167" s="117" t="s">
        <v>79</v>
      </c>
      <c r="F167" s="658">
        <v>6</v>
      </c>
      <c r="G167" s="190" t="s">
        <v>25</v>
      </c>
      <c r="H167" s="187">
        <v>90.1</v>
      </c>
      <c r="I167" s="187">
        <v>90.1</v>
      </c>
      <c r="J167" s="911"/>
      <c r="K167" s="223">
        <v>360.1</v>
      </c>
      <c r="L167" s="187">
        <v>360.1</v>
      </c>
      <c r="M167" s="879"/>
      <c r="N167" s="223">
        <v>360.1</v>
      </c>
      <c r="O167" s="187">
        <v>360.1</v>
      </c>
      <c r="P167" s="366"/>
      <c r="Q167" s="857"/>
      <c r="R167" s="187"/>
      <c r="S167" s="230"/>
      <c r="T167" s="230"/>
      <c r="U167" s="2163"/>
    </row>
    <row r="168" spans="1:21" ht="12.75" customHeight="1" x14ac:dyDescent="0.2">
      <c r="A168" s="720"/>
      <c r="B168" s="732"/>
      <c r="C168" s="723"/>
      <c r="D168" s="2048"/>
      <c r="E168" s="533"/>
      <c r="F168" s="725"/>
      <c r="G168" s="65" t="s">
        <v>70</v>
      </c>
      <c r="H168" s="232">
        <f>809</f>
        <v>809</v>
      </c>
      <c r="I168" s="232">
        <f>809</f>
        <v>809</v>
      </c>
      <c r="J168" s="103"/>
      <c r="K168" s="87">
        <v>505</v>
      </c>
      <c r="L168" s="232">
        <v>505</v>
      </c>
      <c r="M168" s="103"/>
      <c r="N168" s="87">
        <v>505</v>
      </c>
      <c r="O168" s="232">
        <v>505</v>
      </c>
      <c r="P168" s="63"/>
      <c r="Q168" s="571"/>
      <c r="R168" s="232"/>
      <c r="S168" s="40"/>
      <c r="T168" s="40"/>
      <c r="U168" s="2164"/>
    </row>
    <row r="169" spans="1:21" ht="12.75" customHeight="1" x14ac:dyDescent="0.2">
      <c r="A169" s="720"/>
      <c r="B169" s="732"/>
      <c r="C169" s="723"/>
      <c r="D169" s="2048"/>
      <c r="E169" s="533"/>
      <c r="F169" s="725"/>
      <c r="G169" s="65" t="s">
        <v>77</v>
      </c>
      <c r="H169" s="232">
        <v>224.6</v>
      </c>
      <c r="I169" s="232">
        <v>224.6</v>
      </c>
      <c r="J169" s="912"/>
      <c r="K169" s="87"/>
      <c r="L169" s="232"/>
      <c r="M169" s="103"/>
      <c r="N169" s="87"/>
      <c r="O169" s="232"/>
      <c r="P169" s="63"/>
      <c r="Q169" s="571"/>
      <c r="R169" s="232"/>
      <c r="S169" s="40"/>
      <c r="T169" s="40"/>
      <c r="U169" s="2164"/>
    </row>
    <row r="170" spans="1:21" ht="12.75" customHeight="1" x14ac:dyDescent="0.2">
      <c r="A170" s="720"/>
      <c r="B170" s="732"/>
      <c r="C170" s="723"/>
      <c r="D170" s="593"/>
      <c r="E170" s="533"/>
      <c r="F170" s="725"/>
      <c r="G170" s="65" t="s">
        <v>62</v>
      </c>
      <c r="H170" s="232">
        <f>49+150</f>
        <v>199</v>
      </c>
      <c r="I170" s="232">
        <f>49+150</f>
        <v>199</v>
      </c>
      <c r="J170" s="103"/>
      <c r="K170" s="87"/>
      <c r="L170" s="232"/>
      <c r="M170" s="103"/>
      <c r="N170" s="87"/>
      <c r="O170" s="232"/>
      <c r="P170" s="63"/>
      <c r="Q170" s="571"/>
      <c r="R170" s="232"/>
      <c r="S170" s="40"/>
      <c r="T170" s="40"/>
      <c r="U170" s="2164"/>
    </row>
    <row r="171" spans="1:21" ht="15.75" customHeight="1" x14ac:dyDescent="0.2">
      <c r="A171" s="720"/>
      <c r="B171" s="732"/>
      <c r="C171" s="723"/>
      <c r="D171" s="370"/>
      <c r="E171" s="533"/>
      <c r="F171" s="725"/>
      <c r="G171" s="64" t="s">
        <v>105</v>
      </c>
      <c r="H171" s="43">
        <v>250</v>
      </c>
      <c r="I171" s="43">
        <v>250</v>
      </c>
      <c r="J171" s="155"/>
      <c r="K171" s="90">
        <v>250</v>
      </c>
      <c r="L171" s="43">
        <v>250</v>
      </c>
      <c r="M171" s="155"/>
      <c r="N171" s="90">
        <v>250</v>
      </c>
      <c r="O171" s="43">
        <v>250</v>
      </c>
      <c r="P171" s="179"/>
      <c r="Q171" s="850"/>
      <c r="R171" s="43"/>
      <c r="S171" s="42"/>
      <c r="T171" s="42"/>
      <c r="U171" s="44"/>
    </row>
    <row r="172" spans="1:21" ht="13.5" customHeight="1" x14ac:dyDescent="0.2">
      <c r="A172" s="720"/>
      <c r="B172" s="732"/>
      <c r="C172" s="723"/>
      <c r="D172" s="2032" t="s">
        <v>112</v>
      </c>
      <c r="E172" s="2143" t="s">
        <v>78</v>
      </c>
      <c r="F172" s="781"/>
      <c r="G172" s="65"/>
      <c r="H172" s="87"/>
      <c r="I172" s="232"/>
      <c r="J172" s="103"/>
      <c r="K172" s="87"/>
      <c r="L172" s="232"/>
      <c r="M172" s="103"/>
      <c r="N172" s="87"/>
      <c r="O172" s="232"/>
      <c r="P172" s="63"/>
      <c r="Q172" s="770" t="s">
        <v>119</v>
      </c>
      <c r="R172" s="232">
        <v>13.8</v>
      </c>
      <c r="S172" s="40">
        <v>13.8</v>
      </c>
      <c r="T172" s="40">
        <v>13.8</v>
      </c>
      <c r="U172" s="41"/>
    </row>
    <row r="173" spans="1:21" ht="14.25" customHeight="1" x14ac:dyDescent="0.2">
      <c r="A173" s="720"/>
      <c r="B173" s="732"/>
      <c r="C173" s="723"/>
      <c r="D173" s="2141"/>
      <c r="E173" s="2144"/>
      <c r="F173" s="781"/>
      <c r="G173" s="65"/>
      <c r="H173" s="87"/>
      <c r="I173" s="232"/>
      <c r="J173" s="103"/>
      <c r="K173" s="87"/>
      <c r="L173" s="232"/>
      <c r="M173" s="103"/>
      <c r="N173" s="87"/>
      <c r="O173" s="232"/>
      <c r="P173" s="63"/>
      <c r="Q173" s="770" t="s">
        <v>38</v>
      </c>
      <c r="R173" s="281">
        <v>67</v>
      </c>
      <c r="S173" s="321">
        <v>67</v>
      </c>
      <c r="T173" s="166">
        <v>67</v>
      </c>
      <c r="U173" s="265"/>
    </row>
    <row r="174" spans="1:21" ht="15" customHeight="1" x14ac:dyDescent="0.2">
      <c r="A174" s="720"/>
      <c r="B174" s="732"/>
      <c r="C174" s="723"/>
      <c r="D174" s="2141"/>
      <c r="E174" s="2050"/>
      <c r="F174" s="781"/>
      <c r="G174" s="65"/>
      <c r="H174" s="87"/>
      <c r="I174" s="232"/>
      <c r="J174" s="103"/>
      <c r="K174" s="87"/>
      <c r="L174" s="232"/>
      <c r="M174" s="103"/>
      <c r="N174" s="87"/>
      <c r="O174" s="232"/>
      <c r="P174" s="63"/>
      <c r="Q174" s="770" t="s">
        <v>84</v>
      </c>
      <c r="R174" s="660">
        <v>1.8</v>
      </c>
      <c r="S174" s="661">
        <v>1.8</v>
      </c>
      <c r="T174" s="40">
        <v>1.8</v>
      </c>
      <c r="U174" s="41"/>
    </row>
    <row r="175" spans="1:21" ht="15" customHeight="1" x14ac:dyDescent="0.2">
      <c r="A175" s="720"/>
      <c r="B175" s="732"/>
      <c r="C175" s="723"/>
      <c r="D175" s="2141"/>
      <c r="E175" s="751"/>
      <c r="F175" s="781"/>
      <c r="G175" s="65"/>
      <c r="H175" s="87"/>
      <c r="I175" s="232"/>
      <c r="J175" s="125"/>
      <c r="K175" s="87"/>
      <c r="L175" s="232"/>
      <c r="M175" s="103"/>
      <c r="N175" s="87"/>
      <c r="O175" s="232"/>
      <c r="P175" s="63"/>
      <c r="Q175" s="770" t="s">
        <v>253</v>
      </c>
      <c r="R175" s="281">
        <v>100</v>
      </c>
      <c r="S175" s="321"/>
      <c r="T175" s="876"/>
      <c r="U175" s="662"/>
    </row>
    <row r="176" spans="1:21" ht="15" customHeight="1" x14ac:dyDescent="0.2">
      <c r="A176" s="720"/>
      <c r="B176" s="732"/>
      <c r="C176" s="723"/>
      <c r="D176" s="2141"/>
      <c r="E176" s="751"/>
      <c r="F176" s="781"/>
      <c r="G176" s="65"/>
      <c r="H176" s="87"/>
      <c r="I176" s="232"/>
      <c r="J176" s="125"/>
      <c r="K176" s="87"/>
      <c r="L176" s="232"/>
      <c r="M176" s="103"/>
      <c r="N176" s="87"/>
      <c r="O176" s="232"/>
      <c r="P176" s="63"/>
      <c r="Q176" s="237" t="s">
        <v>154</v>
      </c>
      <c r="R176" s="926">
        <v>165</v>
      </c>
      <c r="S176" s="331"/>
      <c r="T176" s="1142"/>
      <c r="U176" s="718"/>
    </row>
    <row r="177" spans="1:27" ht="69.75" customHeight="1" x14ac:dyDescent="0.2">
      <c r="A177" s="720"/>
      <c r="B177" s="732"/>
      <c r="C177" s="723"/>
      <c r="D177" s="2141"/>
      <c r="E177" s="751"/>
      <c r="F177" s="781"/>
      <c r="G177" s="62" t="s">
        <v>62</v>
      </c>
      <c r="H177" s="140"/>
      <c r="I177" s="1143">
        <v>-16.7</v>
      </c>
      <c r="J177" s="1144">
        <f>I177-H177</f>
        <v>-16.7</v>
      </c>
      <c r="K177" s="140"/>
      <c r="L177" s="1145"/>
      <c r="M177" s="196"/>
      <c r="N177" s="140"/>
      <c r="O177" s="1145"/>
      <c r="P177" s="1146"/>
      <c r="Q177" s="770" t="s">
        <v>292</v>
      </c>
      <c r="R177" s="281">
        <v>4</v>
      </c>
      <c r="S177" s="321"/>
      <c r="T177" s="877"/>
      <c r="U177" s="1140" t="s">
        <v>341</v>
      </c>
      <c r="V177" s="1" t="s">
        <v>324</v>
      </c>
    </row>
    <row r="178" spans="1:27" ht="17.25" customHeight="1" x14ac:dyDescent="0.2">
      <c r="A178" s="720"/>
      <c r="B178" s="732"/>
      <c r="C178" s="723"/>
      <c r="D178" s="657" t="s">
        <v>66</v>
      </c>
      <c r="E178" s="751"/>
      <c r="F178" s="781"/>
      <c r="G178" s="61"/>
      <c r="H178" s="87"/>
      <c r="I178" s="232"/>
      <c r="J178" s="103"/>
      <c r="K178" s="87"/>
      <c r="L178" s="232"/>
      <c r="M178" s="103"/>
      <c r="N178" s="87"/>
      <c r="O178" s="232"/>
      <c r="P178" s="63"/>
      <c r="Q178" s="880" t="s">
        <v>85</v>
      </c>
      <c r="R178" s="24">
        <v>1</v>
      </c>
      <c r="S178" s="24">
        <v>1</v>
      </c>
      <c r="T178" s="808">
        <v>1</v>
      </c>
      <c r="U178" s="1141"/>
    </row>
    <row r="179" spans="1:27" ht="15.75" customHeight="1" x14ac:dyDescent="0.2">
      <c r="A179" s="720"/>
      <c r="B179" s="732"/>
      <c r="C179" s="723"/>
      <c r="D179" s="2038" t="s">
        <v>121</v>
      </c>
      <c r="E179" s="143"/>
      <c r="F179" s="725"/>
      <c r="G179" s="65"/>
      <c r="H179" s="87"/>
      <c r="I179" s="232"/>
      <c r="J179" s="103"/>
      <c r="K179" s="87"/>
      <c r="L179" s="232"/>
      <c r="M179" s="125"/>
      <c r="N179" s="87"/>
      <c r="O179" s="232"/>
      <c r="P179" s="63"/>
      <c r="Q179" s="2145" t="s">
        <v>269</v>
      </c>
      <c r="R179" s="2147">
        <v>14</v>
      </c>
      <c r="S179" s="2149"/>
      <c r="T179" s="2255"/>
      <c r="U179" s="2172"/>
    </row>
    <row r="180" spans="1:27" ht="12.75" customHeight="1" x14ac:dyDescent="0.2">
      <c r="A180" s="720"/>
      <c r="B180" s="732"/>
      <c r="C180" s="723"/>
      <c r="D180" s="2038"/>
      <c r="E180" s="1133"/>
      <c r="F180" s="725"/>
      <c r="G180" s="65"/>
      <c r="H180" s="87"/>
      <c r="I180" s="232"/>
      <c r="J180" s="103"/>
      <c r="K180" s="87"/>
      <c r="L180" s="232"/>
      <c r="M180" s="103"/>
      <c r="N180" s="87"/>
      <c r="O180" s="232"/>
      <c r="P180" s="63"/>
      <c r="Q180" s="2146"/>
      <c r="R180" s="2148"/>
      <c r="S180" s="2150"/>
      <c r="T180" s="2256"/>
      <c r="U180" s="2173"/>
      <c r="V180" s="929"/>
      <c r="W180" s="929"/>
      <c r="X180" s="929"/>
      <c r="Y180" s="929"/>
      <c r="Z180" s="929"/>
      <c r="AA180" s="929"/>
    </row>
    <row r="181" spans="1:27" ht="16.5" customHeight="1" x14ac:dyDescent="0.2">
      <c r="A181" s="720"/>
      <c r="B181" s="732"/>
      <c r="C181" s="723"/>
      <c r="D181" s="2101" t="s">
        <v>113</v>
      </c>
      <c r="E181" s="1132" t="s">
        <v>47</v>
      </c>
      <c r="F181" s="659"/>
      <c r="G181" s="65"/>
      <c r="H181" s="86"/>
      <c r="I181" s="34"/>
      <c r="J181" s="106"/>
      <c r="K181" s="87"/>
      <c r="L181" s="232"/>
      <c r="M181" s="103"/>
      <c r="N181" s="87"/>
      <c r="O181" s="232"/>
      <c r="P181" s="63"/>
      <c r="Q181" s="881" t="s">
        <v>155</v>
      </c>
      <c r="R181" s="686">
        <v>170</v>
      </c>
      <c r="S181" s="686">
        <v>170</v>
      </c>
      <c r="T181" s="686">
        <v>170</v>
      </c>
      <c r="U181" s="1148"/>
      <c r="V181" s="1238"/>
      <c r="W181" s="1239"/>
      <c r="X181" s="1239"/>
      <c r="Y181" s="1239"/>
      <c r="Z181" s="929"/>
      <c r="AA181" s="929"/>
    </row>
    <row r="182" spans="1:27" ht="120" customHeight="1" x14ac:dyDescent="0.2">
      <c r="A182" s="720"/>
      <c r="B182" s="732"/>
      <c r="C182" s="723"/>
      <c r="D182" s="2174"/>
      <c r="E182" s="1133"/>
      <c r="F182" s="659"/>
      <c r="G182" s="65"/>
      <c r="H182" s="87"/>
      <c r="I182" s="232"/>
      <c r="J182" s="103"/>
      <c r="K182" s="87"/>
      <c r="L182" s="232"/>
      <c r="M182" s="103"/>
      <c r="N182" s="87"/>
      <c r="O182" s="232"/>
      <c r="P182" s="63"/>
      <c r="Q182" s="882" t="s">
        <v>150</v>
      </c>
      <c r="R182" s="1139" t="s">
        <v>345</v>
      </c>
      <c r="S182" s="1139"/>
      <c r="T182" s="1137"/>
      <c r="U182" s="1147" t="s">
        <v>346</v>
      </c>
      <c r="V182" s="929" t="s">
        <v>325</v>
      </c>
      <c r="W182" s="929"/>
      <c r="X182" s="929"/>
      <c r="Y182" s="929"/>
      <c r="Z182" s="929"/>
      <c r="AA182" s="929"/>
    </row>
    <row r="183" spans="1:27" ht="45" customHeight="1" x14ac:dyDescent="0.2">
      <c r="A183" s="729"/>
      <c r="B183" s="732"/>
      <c r="C183" s="226"/>
      <c r="D183" s="2129" t="s">
        <v>173</v>
      </c>
      <c r="E183" s="730" t="s">
        <v>47</v>
      </c>
      <c r="F183" s="781"/>
      <c r="G183" s="64"/>
      <c r="H183" s="90"/>
      <c r="I183" s="43"/>
      <c r="J183" s="155"/>
      <c r="K183" s="90"/>
      <c r="L183" s="43"/>
      <c r="M183" s="155"/>
      <c r="N183" s="90"/>
      <c r="O183" s="43"/>
      <c r="P183" s="179"/>
      <c r="Q183" s="2176" t="s">
        <v>151</v>
      </c>
      <c r="R183" s="1138">
        <v>33</v>
      </c>
      <c r="S183" s="502">
        <v>19</v>
      </c>
      <c r="T183" s="522">
        <v>19</v>
      </c>
      <c r="U183" s="2026" t="s">
        <v>342</v>
      </c>
      <c r="V183" s="929" t="s">
        <v>331</v>
      </c>
      <c r="W183" s="929"/>
      <c r="X183" s="929"/>
      <c r="Y183" s="929"/>
      <c r="Z183" s="929"/>
      <c r="AA183" s="929"/>
    </row>
    <row r="184" spans="1:27" ht="15.75" customHeight="1" thickBot="1" x14ac:dyDescent="0.25">
      <c r="A184" s="72"/>
      <c r="B184" s="764"/>
      <c r="C184" s="99"/>
      <c r="D184" s="2175"/>
      <c r="E184" s="641"/>
      <c r="F184" s="99"/>
      <c r="G184" s="141" t="s">
        <v>6</v>
      </c>
      <c r="H184" s="212">
        <f>SUM(H167:H183)</f>
        <v>1572.7</v>
      </c>
      <c r="I184" s="833">
        <f>SUM(I167:I183)</f>
        <v>1556</v>
      </c>
      <c r="J184" s="833">
        <f>SUM(J167:J183)</f>
        <v>-16.7</v>
      </c>
      <c r="K184" s="212">
        <f>SUM(K167:K183)</f>
        <v>1115.0999999999999</v>
      </c>
      <c r="L184" s="833">
        <f>SUM(L167:L183)</f>
        <v>1115.0999999999999</v>
      </c>
      <c r="M184" s="367"/>
      <c r="N184" s="212">
        <f>SUM(N167:N183)</f>
        <v>1115.0999999999999</v>
      </c>
      <c r="O184" s="833">
        <f>SUM(O167:O183)</f>
        <v>1115.0999999999999</v>
      </c>
      <c r="P184" s="885"/>
      <c r="Q184" s="2177"/>
      <c r="R184" s="644"/>
      <c r="S184" s="645"/>
      <c r="T184" s="790"/>
      <c r="U184" s="2186"/>
    </row>
    <row r="185" spans="1:27" ht="15" customHeight="1" x14ac:dyDescent="0.2">
      <c r="A185" s="2178" t="s">
        <v>5</v>
      </c>
      <c r="B185" s="2180" t="s">
        <v>28</v>
      </c>
      <c r="C185" s="2137" t="s">
        <v>7</v>
      </c>
      <c r="D185" s="2182" t="s">
        <v>247</v>
      </c>
      <c r="E185" s="2151" t="s">
        <v>320</v>
      </c>
      <c r="F185" s="2184" t="s">
        <v>56</v>
      </c>
      <c r="G185" s="100" t="s">
        <v>25</v>
      </c>
      <c r="H185" s="223">
        <v>112.6</v>
      </c>
      <c r="I185" s="187">
        <v>112.6</v>
      </c>
      <c r="J185" s="224"/>
      <c r="K185" s="223">
        <v>112.6</v>
      </c>
      <c r="L185" s="187">
        <v>112.6</v>
      </c>
      <c r="M185" s="224"/>
      <c r="N185" s="223">
        <v>112.6</v>
      </c>
      <c r="O185" s="187">
        <v>112.6</v>
      </c>
      <c r="P185" s="366"/>
      <c r="Q185" s="883" t="s">
        <v>69</v>
      </c>
      <c r="R185" s="275">
        <v>18</v>
      </c>
      <c r="S185" s="275">
        <v>18</v>
      </c>
      <c r="T185" s="791">
        <v>18</v>
      </c>
      <c r="U185" s="829"/>
    </row>
    <row r="186" spans="1:27" ht="16.5" customHeight="1" x14ac:dyDescent="0.2">
      <c r="A186" s="2029"/>
      <c r="B186" s="2030"/>
      <c r="C186" s="2138"/>
      <c r="D186" s="2129"/>
      <c r="E186" s="2152"/>
      <c r="F186" s="2034"/>
      <c r="G186" s="77" t="s">
        <v>62</v>
      </c>
      <c r="H186" s="151">
        <v>93</v>
      </c>
      <c r="I186" s="163">
        <v>93</v>
      </c>
      <c r="J186" s="130"/>
      <c r="K186" s="151"/>
      <c r="L186" s="163"/>
      <c r="M186" s="130"/>
      <c r="N186" s="151"/>
      <c r="O186" s="163"/>
      <c r="P186" s="409"/>
      <c r="Q186" s="770" t="s">
        <v>86</v>
      </c>
      <c r="R186" s="281">
        <v>7</v>
      </c>
      <c r="S186" s="281">
        <v>7</v>
      </c>
      <c r="T186" s="321">
        <v>7</v>
      </c>
      <c r="U186" s="265"/>
    </row>
    <row r="187" spans="1:27" ht="15" customHeight="1" thickBot="1" x14ac:dyDescent="0.25">
      <c r="A187" s="2179"/>
      <c r="B187" s="2181"/>
      <c r="C187" s="2139"/>
      <c r="D187" s="2183"/>
      <c r="E187" s="2153"/>
      <c r="F187" s="2185"/>
      <c r="G187" s="93" t="s">
        <v>6</v>
      </c>
      <c r="H187" s="212">
        <f>SUM(H185:H186)</f>
        <v>205.6</v>
      </c>
      <c r="I187" s="833">
        <f>SUM(I185:I186)</f>
        <v>205.6</v>
      </c>
      <c r="J187" s="786"/>
      <c r="K187" s="212">
        <f t="shared" ref="K187:O187" si="19">SUM(K185:K186)</f>
        <v>112.6</v>
      </c>
      <c r="L187" s="833">
        <f t="shared" ref="L187" si="20">SUM(L185:L186)</f>
        <v>112.6</v>
      </c>
      <c r="M187" s="189"/>
      <c r="N187" s="212">
        <f t="shared" ref="N187" si="21">SUM(N185:N186)</f>
        <v>112.6</v>
      </c>
      <c r="O187" s="833">
        <f t="shared" si="19"/>
        <v>112.6</v>
      </c>
      <c r="P187" s="367"/>
      <c r="Q187" s="655"/>
      <c r="R187" s="192"/>
      <c r="S187" s="192"/>
      <c r="T187" s="807"/>
      <c r="U187" s="599"/>
    </row>
    <row r="188" spans="1:27" ht="11.25" customHeight="1" x14ac:dyDescent="0.2">
      <c r="A188" s="744" t="s">
        <v>5</v>
      </c>
      <c r="B188" s="667" t="s">
        <v>28</v>
      </c>
      <c r="C188" s="747" t="s">
        <v>28</v>
      </c>
      <c r="D188" s="2162" t="s">
        <v>193</v>
      </c>
      <c r="E188" s="117" t="s">
        <v>47</v>
      </c>
      <c r="F188" s="658">
        <v>5</v>
      </c>
      <c r="G188" s="190" t="s">
        <v>25</v>
      </c>
      <c r="H188" s="223">
        <v>197.1</v>
      </c>
      <c r="I188" s="187">
        <v>197.1</v>
      </c>
      <c r="J188" s="224"/>
      <c r="K188" s="223">
        <v>412.5</v>
      </c>
      <c r="L188" s="187">
        <v>412.5</v>
      </c>
      <c r="M188" s="366"/>
      <c r="N188" s="223">
        <v>155</v>
      </c>
      <c r="O188" s="187">
        <v>155</v>
      </c>
      <c r="P188" s="366"/>
      <c r="Q188" s="673"/>
      <c r="R188" s="232"/>
      <c r="S188" s="232"/>
      <c r="T188" s="103"/>
      <c r="U188" s="41"/>
    </row>
    <row r="189" spans="1:27" ht="12" customHeight="1" x14ac:dyDescent="0.2">
      <c r="A189" s="745"/>
      <c r="B189" s="760"/>
      <c r="C189" s="722"/>
      <c r="D189" s="2165"/>
      <c r="E189" s="533"/>
      <c r="F189" s="725"/>
      <c r="G189" s="65" t="s">
        <v>62</v>
      </c>
      <c r="H189" s="87">
        <v>150</v>
      </c>
      <c r="I189" s="232">
        <v>150</v>
      </c>
      <c r="J189" s="103"/>
      <c r="K189" s="87"/>
      <c r="L189" s="232"/>
      <c r="M189" s="63"/>
      <c r="N189" s="87"/>
      <c r="O189" s="232"/>
      <c r="P189" s="63"/>
      <c r="Q189" s="673"/>
      <c r="R189" s="40"/>
      <c r="S189" s="232"/>
      <c r="T189" s="103"/>
      <c r="U189" s="41"/>
    </row>
    <row r="190" spans="1:27" ht="15" customHeight="1" x14ac:dyDescent="0.2">
      <c r="A190" s="745"/>
      <c r="B190" s="760"/>
      <c r="C190" s="722"/>
      <c r="D190" s="2166"/>
      <c r="E190" s="529"/>
      <c r="F190" s="781"/>
      <c r="G190" s="64" t="s">
        <v>44</v>
      </c>
      <c r="H190" s="90">
        <v>579.5</v>
      </c>
      <c r="I190" s="43">
        <v>579.5</v>
      </c>
      <c r="J190" s="155"/>
      <c r="K190" s="90">
        <v>634.1</v>
      </c>
      <c r="L190" s="43">
        <v>634.1</v>
      </c>
      <c r="M190" s="179"/>
      <c r="N190" s="90">
        <f>279+850</f>
        <v>1129</v>
      </c>
      <c r="O190" s="43">
        <f>279+850</f>
        <v>1129</v>
      </c>
      <c r="P190" s="179"/>
      <c r="Q190" s="674"/>
      <c r="R190" s="42"/>
      <c r="S190" s="43"/>
      <c r="T190" s="155"/>
      <c r="U190" s="41"/>
    </row>
    <row r="191" spans="1:27" ht="24.75" customHeight="1" x14ac:dyDescent="0.2">
      <c r="A191" s="2132"/>
      <c r="B191" s="2167"/>
      <c r="C191" s="2138"/>
      <c r="D191" s="2128" t="s">
        <v>279</v>
      </c>
      <c r="E191" s="2143" t="s">
        <v>95</v>
      </c>
      <c r="F191" s="767"/>
      <c r="G191" s="201"/>
      <c r="H191" s="91"/>
      <c r="I191" s="51"/>
      <c r="J191" s="128"/>
      <c r="K191" s="91"/>
      <c r="L191" s="51"/>
      <c r="M191" s="203"/>
      <c r="N191" s="91"/>
      <c r="O191" s="51"/>
      <c r="P191" s="203"/>
      <c r="Q191" s="675" t="s">
        <v>141</v>
      </c>
      <c r="R191" s="595" t="s">
        <v>142</v>
      </c>
      <c r="S191" s="782">
        <v>100</v>
      </c>
      <c r="T191" s="809"/>
      <c r="U191" s="265"/>
    </row>
    <row r="192" spans="1:27" ht="26.25" customHeight="1" x14ac:dyDescent="0.2">
      <c r="A192" s="2132"/>
      <c r="B192" s="2167"/>
      <c r="C192" s="2138"/>
      <c r="D192" s="2168"/>
      <c r="E192" s="2170"/>
      <c r="F192" s="725"/>
      <c r="G192" s="65"/>
      <c r="H192" s="103"/>
      <c r="I192" s="232"/>
      <c r="J192" s="103"/>
      <c r="K192" s="87"/>
      <c r="L192" s="232"/>
      <c r="M192" s="63"/>
      <c r="N192" s="87"/>
      <c r="O192" s="232"/>
      <c r="P192" s="63"/>
      <c r="Q192" s="676" t="s">
        <v>278</v>
      </c>
      <c r="R192" s="171">
        <v>1</v>
      </c>
      <c r="S192" s="32"/>
      <c r="T192" s="448"/>
      <c r="U192" s="265"/>
    </row>
    <row r="193" spans="1:23" ht="15.75" customHeight="1" x14ac:dyDescent="0.2">
      <c r="A193" s="2132"/>
      <c r="B193" s="2167"/>
      <c r="C193" s="2138"/>
      <c r="D193" s="2169"/>
      <c r="E193" s="2171"/>
      <c r="F193" s="725"/>
      <c r="G193" s="65"/>
      <c r="H193" s="103"/>
      <c r="I193" s="232"/>
      <c r="J193" s="103"/>
      <c r="K193" s="87"/>
      <c r="L193" s="232"/>
      <c r="M193" s="63"/>
      <c r="N193" s="87"/>
      <c r="O193" s="232"/>
      <c r="P193" s="63"/>
      <c r="Q193" s="677" t="s">
        <v>133</v>
      </c>
      <c r="R193" s="596" t="s">
        <v>215</v>
      </c>
      <c r="S193" s="597">
        <v>2</v>
      </c>
      <c r="T193" s="597"/>
      <c r="U193" s="265"/>
    </row>
    <row r="194" spans="1:23" ht="15" customHeight="1" x14ac:dyDescent="0.2">
      <c r="A194" s="2132"/>
      <c r="B194" s="2167"/>
      <c r="C194" s="2138"/>
      <c r="D194" s="2108" t="s">
        <v>227</v>
      </c>
      <c r="E194" s="2188" t="s">
        <v>134</v>
      </c>
      <c r="F194" s="767"/>
      <c r="G194" s="61"/>
      <c r="H194" s="87"/>
      <c r="I194" s="232"/>
      <c r="J194" s="103"/>
      <c r="K194" s="87"/>
      <c r="L194" s="232"/>
      <c r="M194" s="63"/>
      <c r="N194" s="87"/>
      <c r="O194" s="232"/>
      <c r="P194" s="63"/>
      <c r="Q194" s="676" t="s">
        <v>185</v>
      </c>
      <c r="R194" s="171">
        <v>1</v>
      </c>
      <c r="S194" s="171"/>
      <c r="T194" s="166"/>
      <c r="U194" s="265"/>
    </row>
    <row r="195" spans="1:23" ht="29.25" customHeight="1" x14ac:dyDescent="0.2">
      <c r="A195" s="2132"/>
      <c r="B195" s="2167"/>
      <c r="C195" s="2138"/>
      <c r="D195" s="2187"/>
      <c r="E195" s="2189"/>
      <c r="F195" s="725"/>
      <c r="G195" s="65"/>
      <c r="H195" s="87"/>
      <c r="I195" s="232"/>
      <c r="J195" s="103"/>
      <c r="K195" s="87"/>
      <c r="L195" s="232"/>
      <c r="M195" s="63"/>
      <c r="N195" s="87"/>
      <c r="O195" s="232"/>
      <c r="P195" s="63"/>
      <c r="Q195" s="676" t="s">
        <v>228</v>
      </c>
      <c r="R195" s="171"/>
      <c r="S195" s="171">
        <v>1</v>
      </c>
      <c r="T195" s="171"/>
      <c r="U195" s="265"/>
    </row>
    <row r="196" spans="1:23" ht="14.25" customHeight="1" x14ac:dyDescent="0.2">
      <c r="A196" s="2029"/>
      <c r="B196" s="2030"/>
      <c r="C196" s="2138"/>
      <c r="D196" s="2101" t="s">
        <v>180</v>
      </c>
      <c r="E196" s="2188"/>
      <c r="F196" s="2194"/>
      <c r="G196" s="61"/>
      <c r="H196" s="87"/>
      <c r="I196" s="232"/>
      <c r="J196" s="103"/>
      <c r="K196" s="87"/>
      <c r="L196" s="232"/>
      <c r="M196" s="63"/>
      <c r="N196" s="87"/>
      <c r="O196" s="232"/>
      <c r="P196" s="63"/>
      <c r="Q196" s="678" t="s">
        <v>156</v>
      </c>
      <c r="R196" s="757">
        <v>1</v>
      </c>
      <c r="S196" s="759"/>
      <c r="T196" s="336"/>
      <c r="U196" s="265"/>
    </row>
    <row r="197" spans="1:23" ht="15" customHeight="1" x14ac:dyDescent="0.2">
      <c r="A197" s="2029"/>
      <c r="B197" s="2030"/>
      <c r="C197" s="2138"/>
      <c r="D197" s="2190"/>
      <c r="E197" s="2171"/>
      <c r="F197" s="2194"/>
      <c r="G197" s="65"/>
      <c r="H197" s="87"/>
      <c r="I197" s="232"/>
      <c r="J197" s="103"/>
      <c r="K197" s="87"/>
      <c r="L197" s="232"/>
      <c r="M197" s="63"/>
      <c r="N197" s="87"/>
      <c r="O197" s="232"/>
      <c r="P197" s="63"/>
      <c r="Q197" s="884" t="s">
        <v>229</v>
      </c>
      <c r="R197" s="46">
        <v>6</v>
      </c>
      <c r="S197" s="167"/>
      <c r="T197" s="49"/>
      <c r="U197" s="21"/>
    </row>
    <row r="198" spans="1:23" ht="26.25" customHeight="1" x14ac:dyDescent="0.2">
      <c r="A198" s="2132"/>
      <c r="B198" s="2167"/>
      <c r="C198" s="2138"/>
      <c r="D198" s="2108" t="s">
        <v>266</v>
      </c>
      <c r="E198" s="2195" t="s">
        <v>295</v>
      </c>
      <c r="F198" s="767"/>
      <c r="G198" s="57" t="s">
        <v>25</v>
      </c>
      <c r="H198" s="91"/>
      <c r="I198" s="51"/>
      <c r="J198" s="128"/>
      <c r="K198" s="91">
        <v>50</v>
      </c>
      <c r="L198" s="51">
        <v>50</v>
      </c>
      <c r="M198" s="944"/>
      <c r="N198" s="91"/>
      <c r="O198" s="51"/>
      <c r="P198" s="203"/>
      <c r="Q198" s="999" t="s">
        <v>268</v>
      </c>
      <c r="R198" s="997">
        <v>1</v>
      </c>
      <c r="S198" s="996"/>
      <c r="T198" s="996"/>
      <c r="U198" s="2026"/>
      <c r="W198" s="710"/>
    </row>
    <row r="199" spans="1:23" ht="15.75" customHeight="1" x14ac:dyDescent="0.2">
      <c r="A199" s="2132"/>
      <c r="B199" s="2167"/>
      <c r="C199" s="2138"/>
      <c r="D199" s="2108"/>
      <c r="E199" s="2196"/>
      <c r="F199" s="767"/>
      <c r="G199" s="65"/>
      <c r="H199" s="103"/>
      <c r="I199" s="232"/>
      <c r="J199" s="103"/>
      <c r="K199" s="87"/>
      <c r="L199" s="232"/>
      <c r="M199" s="63"/>
      <c r="N199" s="87"/>
      <c r="O199" s="232"/>
      <c r="P199" s="63"/>
      <c r="Q199" s="221" t="s">
        <v>97</v>
      </c>
      <c r="R199" s="25"/>
      <c r="S199" s="171">
        <v>1</v>
      </c>
      <c r="T199" s="171"/>
      <c r="U199" s="2164"/>
      <c r="W199" s="710"/>
    </row>
    <row r="200" spans="1:23" ht="26.25" customHeight="1" x14ac:dyDescent="0.2">
      <c r="A200" s="2132"/>
      <c r="B200" s="2167"/>
      <c r="C200" s="2138"/>
      <c r="D200" s="2187"/>
      <c r="E200" s="709"/>
      <c r="F200" s="767"/>
      <c r="G200" s="64"/>
      <c r="H200" s="155"/>
      <c r="I200" s="43"/>
      <c r="J200" s="155"/>
      <c r="K200" s="90"/>
      <c r="L200" s="43"/>
      <c r="M200" s="179"/>
      <c r="N200" s="90"/>
      <c r="O200" s="43"/>
      <c r="P200" s="179"/>
      <c r="Q200" s="216" t="s">
        <v>267</v>
      </c>
      <c r="R200" s="20"/>
      <c r="S200" s="49"/>
      <c r="T200" s="998">
        <v>30</v>
      </c>
      <c r="U200" s="2197"/>
    </row>
    <row r="201" spans="1:23" ht="38.25" customHeight="1" x14ac:dyDescent="0.2">
      <c r="A201" s="720"/>
      <c r="B201" s="721"/>
      <c r="C201" s="723"/>
      <c r="D201" s="693" t="s">
        <v>280</v>
      </c>
      <c r="E201" s="694" t="s">
        <v>189</v>
      </c>
      <c r="F201" s="695" t="s">
        <v>37</v>
      </c>
      <c r="G201" s="64" t="s">
        <v>77</v>
      </c>
      <c r="H201" s="90">
        <f>24.2+4</f>
        <v>28.2</v>
      </c>
      <c r="I201" s="43">
        <f>24.2+4</f>
        <v>28.2</v>
      </c>
      <c r="J201" s="155"/>
      <c r="K201" s="90"/>
      <c r="L201" s="43"/>
      <c r="M201" s="179"/>
      <c r="N201" s="90"/>
      <c r="O201" s="43"/>
      <c r="P201" s="179"/>
      <c r="Q201" s="850" t="s">
        <v>87</v>
      </c>
      <c r="R201" s="995">
        <v>1</v>
      </c>
      <c r="S201" s="995"/>
      <c r="T201" s="798"/>
      <c r="U201" s="21"/>
    </row>
    <row r="202" spans="1:23" ht="40.5" customHeight="1" x14ac:dyDescent="0.2">
      <c r="A202" s="729"/>
      <c r="B202" s="721"/>
      <c r="C202" s="92"/>
      <c r="D202" s="741" t="s">
        <v>265</v>
      </c>
      <c r="E202" s="768" t="s">
        <v>134</v>
      </c>
      <c r="F202" s="725"/>
      <c r="G202" s="64" t="s">
        <v>25</v>
      </c>
      <c r="H202" s="90">
        <v>6</v>
      </c>
      <c r="I202" s="43">
        <v>6</v>
      </c>
      <c r="J202" s="155"/>
      <c r="K202" s="90">
        <v>6.2</v>
      </c>
      <c r="L202" s="43">
        <v>6.2</v>
      </c>
      <c r="M202" s="155"/>
      <c r="N202" s="90">
        <v>6.2</v>
      </c>
      <c r="O202" s="43">
        <v>6.2</v>
      </c>
      <c r="P202" s="948"/>
      <c r="Q202" s="571" t="s">
        <v>314</v>
      </c>
      <c r="R202" s="1119" t="s">
        <v>37</v>
      </c>
      <c r="S202" s="264">
        <v>6</v>
      </c>
      <c r="T202" s="463">
        <v>6</v>
      </c>
      <c r="U202" s="950"/>
    </row>
    <row r="203" spans="1:23" ht="14.25" customHeight="1" thickBot="1" x14ac:dyDescent="0.25">
      <c r="A203" s="72"/>
      <c r="B203" s="764"/>
      <c r="C203" s="54"/>
      <c r="D203" s="572"/>
      <c r="E203" s="598"/>
      <c r="F203" s="672"/>
      <c r="G203" s="141" t="s">
        <v>6</v>
      </c>
      <c r="H203" s="212">
        <f t="shared" ref="H203:P203" si="22">SUM(H188:H202)</f>
        <v>960.8</v>
      </c>
      <c r="I203" s="833">
        <f t="shared" si="22"/>
        <v>960.8</v>
      </c>
      <c r="J203" s="833">
        <f t="shared" si="22"/>
        <v>0</v>
      </c>
      <c r="K203" s="212">
        <f t="shared" si="22"/>
        <v>1102.8</v>
      </c>
      <c r="L203" s="833">
        <f t="shared" si="22"/>
        <v>1102.8</v>
      </c>
      <c r="M203" s="833">
        <f t="shared" si="22"/>
        <v>0</v>
      </c>
      <c r="N203" s="212">
        <f t="shared" si="22"/>
        <v>1290.2</v>
      </c>
      <c r="O203" s="833">
        <f t="shared" si="22"/>
        <v>1290.2</v>
      </c>
      <c r="P203" s="607">
        <f t="shared" si="22"/>
        <v>0</v>
      </c>
      <c r="Q203" s="655"/>
      <c r="R203" s="949"/>
      <c r="S203" s="192"/>
      <c r="T203" s="191"/>
      <c r="U203" s="599"/>
    </row>
    <row r="204" spans="1:23" ht="14.25" customHeight="1" thickBot="1" x14ac:dyDescent="0.25">
      <c r="A204" s="94" t="s">
        <v>5</v>
      </c>
      <c r="B204" s="83" t="s">
        <v>28</v>
      </c>
      <c r="C204" s="2155" t="s">
        <v>8</v>
      </c>
      <c r="D204" s="2155"/>
      <c r="E204" s="2155"/>
      <c r="F204" s="2155"/>
      <c r="G204" s="2156"/>
      <c r="H204" s="878">
        <f t="shared" ref="H204:P204" si="23">H203+H187+H184</f>
        <v>2739.1</v>
      </c>
      <c r="I204" s="764">
        <f t="shared" si="23"/>
        <v>2722.4</v>
      </c>
      <c r="J204" s="947">
        <f t="shared" si="23"/>
        <v>-16.7</v>
      </c>
      <c r="K204" s="878">
        <f t="shared" si="23"/>
        <v>2330.5</v>
      </c>
      <c r="L204" s="764">
        <f t="shared" si="23"/>
        <v>2330.5</v>
      </c>
      <c r="M204" s="946">
        <f t="shared" si="23"/>
        <v>0</v>
      </c>
      <c r="N204" s="878">
        <f t="shared" si="23"/>
        <v>2517.9</v>
      </c>
      <c r="O204" s="951">
        <f t="shared" si="23"/>
        <v>2517.9</v>
      </c>
      <c r="P204" s="955">
        <f t="shared" si="23"/>
        <v>0</v>
      </c>
      <c r="Q204" s="2157"/>
      <c r="R204" s="2157"/>
      <c r="S204" s="2157"/>
      <c r="T204" s="2157"/>
      <c r="U204" s="2158"/>
    </row>
    <row r="205" spans="1:23" ht="14.25" customHeight="1" thickBot="1" x14ac:dyDescent="0.25">
      <c r="A205" s="82" t="s">
        <v>5</v>
      </c>
      <c r="B205" s="83" t="s">
        <v>33</v>
      </c>
      <c r="C205" s="2159" t="s">
        <v>192</v>
      </c>
      <c r="D205" s="2160"/>
      <c r="E205" s="2160"/>
      <c r="F205" s="2160"/>
      <c r="G205" s="2160"/>
      <c r="H205" s="2160"/>
      <c r="I205" s="2160"/>
      <c r="J205" s="2160"/>
      <c r="K205" s="2160"/>
      <c r="L205" s="2160"/>
      <c r="M205" s="2160"/>
      <c r="N205" s="2160"/>
      <c r="O205" s="2160"/>
      <c r="P205" s="2160"/>
      <c r="Q205" s="2160"/>
      <c r="R205" s="2160"/>
      <c r="S205" s="2160"/>
      <c r="T205" s="2160"/>
      <c r="U205" s="2161"/>
    </row>
    <row r="206" spans="1:23" ht="12" customHeight="1" x14ac:dyDescent="0.2">
      <c r="A206" s="761" t="s">
        <v>5</v>
      </c>
      <c r="B206" s="763" t="s">
        <v>33</v>
      </c>
      <c r="C206" s="260" t="s">
        <v>5</v>
      </c>
      <c r="D206" s="227" t="s">
        <v>111</v>
      </c>
      <c r="E206" s="369"/>
      <c r="F206" s="658">
        <v>6</v>
      </c>
      <c r="G206" s="65" t="s">
        <v>25</v>
      </c>
      <c r="H206" s="187">
        <v>4289.3</v>
      </c>
      <c r="I206" s="1227">
        <f>4289.3+85.8</f>
        <v>4375.1000000000004</v>
      </c>
      <c r="J206" s="911">
        <f>I206-H206</f>
        <v>85.8</v>
      </c>
      <c r="K206" s="223">
        <v>3279.6</v>
      </c>
      <c r="L206" s="187">
        <v>3279.6</v>
      </c>
      <c r="M206" s="366"/>
      <c r="N206" s="223">
        <v>3388</v>
      </c>
      <c r="O206" s="187">
        <v>3388</v>
      </c>
      <c r="P206" s="231"/>
      <c r="Q206" s="102"/>
      <c r="R206" s="6"/>
      <c r="S206" s="6"/>
      <c r="T206" s="810"/>
      <c r="U206" s="2163" t="s">
        <v>344</v>
      </c>
    </row>
    <row r="207" spans="1:23" ht="12" customHeight="1" x14ac:dyDescent="0.2">
      <c r="A207" s="720"/>
      <c r="B207" s="721"/>
      <c r="C207" s="226"/>
      <c r="D207" s="370"/>
      <c r="E207" s="769"/>
      <c r="F207" s="725"/>
      <c r="G207" s="65" t="s">
        <v>77</v>
      </c>
      <c r="H207" s="232">
        <v>300</v>
      </c>
      <c r="I207" s="232">
        <v>300</v>
      </c>
      <c r="J207" s="103"/>
      <c r="K207" s="87"/>
      <c r="L207" s="232"/>
      <c r="M207" s="63"/>
      <c r="N207" s="87"/>
      <c r="O207" s="232"/>
      <c r="P207" s="41"/>
      <c r="Q207" s="571"/>
      <c r="R207" s="232"/>
      <c r="S207" s="232"/>
      <c r="T207" s="103"/>
      <c r="U207" s="2164"/>
    </row>
    <row r="208" spans="1:23" ht="12.75" customHeight="1" x14ac:dyDescent="0.2">
      <c r="A208" s="720"/>
      <c r="B208" s="721"/>
      <c r="C208" s="226"/>
      <c r="D208" s="370"/>
      <c r="E208" s="769"/>
      <c r="F208" s="725"/>
      <c r="G208" s="65" t="s">
        <v>105</v>
      </c>
      <c r="H208" s="232">
        <f>1271.8+0.2</f>
        <v>1272</v>
      </c>
      <c r="I208" s="232">
        <f>1271.8+0.2</f>
        <v>1272</v>
      </c>
      <c r="J208" s="103"/>
      <c r="K208" s="87">
        <v>1272</v>
      </c>
      <c r="L208" s="232">
        <v>1272</v>
      </c>
      <c r="M208" s="63"/>
      <c r="N208" s="87">
        <v>1272</v>
      </c>
      <c r="O208" s="232">
        <v>1272</v>
      </c>
      <c r="P208" s="41"/>
      <c r="Q208" s="571"/>
      <c r="R208" s="232"/>
      <c r="S208" s="232"/>
      <c r="T208" s="103"/>
      <c r="U208" s="2164"/>
    </row>
    <row r="209" spans="1:21" ht="13.5" customHeight="1" x14ac:dyDescent="0.2">
      <c r="A209" s="720"/>
      <c r="B209" s="721"/>
      <c r="C209" s="226"/>
      <c r="D209" s="371"/>
      <c r="E209" s="769"/>
      <c r="F209" s="725"/>
      <c r="G209" s="64" t="s">
        <v>62</v>
      </c>
      <c r="H209" s="43">
        <v>84.2</v>
      </c>
      <c r="I209" s="43">
        <v>84.2</v>
      </c>
      <c r="J209" s="913"/>
      <c r="K209" s="90"/>
      <c r="L209" s="43"/>
      <c r="M209" s="179"/>
      <c r="N209" s="90"/>
      <c r="O209" s="43"/>
      <c r="P209" s="44"/>
      <c r="Q209" s="600"/>
      <c r="R209" s="588"/>
      <c r="S209" s="588"/>
      <c r="T209" s="811"/>
      <c r="U209" s="2197"/>
    </row>
    <row r="210" spans="1:21" ht="15.75" customHeight="1" x14ac:dyDescent="0.2">
      <c r="A210" s="720"/>
      <c r="B210" s="721"/>
      <c r="C210" s="98"/>
      <c r="D210" s="727" t="s">
        <v>108</v>
      </c>
      <c r="E210" s="769"/>
      <c r="F210" s="767"/>
      <c r="G210" s="65"/>
      <c r="H210" s="87"/>
      <c r="I210" s="604"/>
      <c r="J210" s="912"/>
      <c r="K210" s="87"/>
      <c r="L210" s="232"/>
      <c r="M210" s="63"/>
      <c r="N210" s="87"/>
      <c r="O210" s="232"/>
      <c r="P210" s="41"/>
      <c r="Q210" s="571" t="s">
        <v>68</v>
      </c>
      <c r="R210" s="1134">
        <v>11</v>
      </c>
      <c r="S210" s="232"/>
      <c r="T210" s="103"/>
      <c r="U210" s="41"/>
    </row>
    <row r="211" spans="1:21" ht="26.25" customHeight="1" x14ac:dyDescent="0.2">
      <c r="A211" s="720"/>
      <c r="B211" s="721"/>
      <c r="C211" s="2191" t="s">
        <v>194</v>
      </c>
      <c r="D211" s="459" t="s">
        <v>195</v>
      </c>
      <c r="E211" s="769"/>
      <c r="F211" s="725"/>
      <c r="G211" s="65"/>
      <c r="H211" s="87"/>
      <c r="I211" s="232"/>
      <c r="J211" s="103"/>
      <c r="K211" s="87"/>
      <c r="L211" s="232"/>
      <c r="M211" s="63"/>
      <c r="N211" s="87"/>
      <c r="O211" s="232"/>
      <c r="P211" s="41"/>
      <c r="Q211" s="571"/>
      <c r="R211" s="232"/>
      <c r="S211" s="232"/>
      <c r="T211" s="103"/>
      <c r="U211" s="41"/>
    </row>
    <row r="212" spans="1:21" ht="27.75" customHeight="1" x14ac:dyDescent="0.2">
      <c r="A212" s="720"/>
      <c r="B212" s="721"/>
      <c r="C212" s="2191"/>
      <c r="D212" s="239" t="s">
        <v>281</v>
      </c>
      <c r="E212" s="769"/>
      <c r="F212" s="725"/>
      <c r="G212" s="65"/>
      <c r="H212" s="87"/>
      <c r="I212" s="232"/>
      <c r="J212" s="103"/>
      <c r="K212" s="87"/>
      <c r="L212" s="232"/>
      <c r="M212" s="63"/>
      <c r="N212" s="87"/>
      <c r="O212" s="232"/>
      <c r="P212" s="41"/>
      <c r="Q212" s="571"/>
      <c r="R212" s="232"/>
      <c r="S212" s="232"/>
      <c r="T212" s="103"/>
      <c r="U212" s="41"/>
    </row>
    <row r="213" spans="1:21" ht="24.75" customHeight="1" x14ac:dyDescent="0.2">
      <c r="A213" s="720"/>
      <c r="B213" s="721"/>
      <c r="C213" s="2191"/>
      <c r="D213" s="239" t="s">
        <v>282</v>
      </c>
      <c r="E213" s="769"/>
      <c r="F213" s="725"/>
      <c r="G213" s="65"/>
      <c r="H213" s="87"/>
      <c r="I213" s="232"/>
      <c r="J213" s="103"/>
      <c r="K213" s="87"/>
      <c r="L213" s="232"/>
      <c r="M213" s="63"/>
      <c r="N213" s="87"/>
      <c r="O213" s="232"/>
      <c r="P213" s="41"/>
      <c r="Q213" s="571"/>
      <c r="R213" s="232"/>
      <c r="S213" s="232"/>
      <c r="T213" s="103"/>
      <c r="U213" s="41"/>
    </row>
    <row r="214" spans="1:21" ht="12.75" customHeight="1" x14ac:dyDescent="0.2">
      <c r="A214" s="720"/>
      <c r="B214" s="721"/>
      <c r="C214" s="2191"/>
      <c r="D214" s="239" t="s">
        <v>199</v>
      </c>
      <c r="E214" s="769"/>
      <c r="F214" s="725"/>
      <c r="G214" s="65"/>
      <c r="H214" s="87"/>
      <c r="I214" s="232"/>
      <c r="J214" s="103"/>
      <c r="K214" s="87"/>
      <c r="L214" s="232"/>
      <c r="M214" s="63"/>
      <c r="N214" s="87"/>
      <c r="O214" s="232"/>
      <c r="P214" s="41"/>
      <c r="Q214" s="571"/>
      <c r="R214" s="232"/>
      <c r="S214" s="232"/>
      <c r="T214" s="103"/>
      <c r="U214" s="41"/>
    </row>
    <row r="215" spans="1:21" ht="13.5" customHeight="1" x14ac:dyDescent="0.2">
      <c r="A215" s="720"/>
      <c r="B215" s="721"/>
      <c r="C215" s="2191"/>
      <c r="D215" s="239" t="s">
        <v>283</v>
      </c>
      <c r="E215" s="769"/>
      <c r="F215" s="725"/>
      <c r="G215" s="65"/>
      <c r="H215" s="87"/>
      <c r="I215" s="232"/>
      <c r="J215" s="103"/>
      <c r="K215" s="87"/>
      <c r="L215" s="232"/>
      <c r="M215" s="63"/>
      <c r="N215" s="87"/>
      <c r="O215" s="232"/>
      <c r="P215" s="41"/>
      <c r="Q215" s="571"/>
      <c r="R215" s="232"/>
      <c r="S215" s="232"/>
      <c r="T215" s="103"/>
      <c r="U215" s="41"/>
    </row>
    <row r="216" spans="1:21" ht="13.5" customHeight="1" x14ac:dyDescent="0.2">
      <c r="A216" s="720"/>
      <c r="B216" s="721"/>
      <c r="C216" s="2191"/>
      <c r="D216" s="239" t="s">
        <v>203</v>
      </c>
      <c r="E216" s="769"/>
      <c r="F216" s="725"/>
      <c r="G216" s="65"/>
      <c r="H216" s="87"/>
      <c r="I216" s="232"/>
      <c r="J216" s="103"/>
      <c r="K216" s="87"/>
      <c r="L216" s="232"/>
      <c r="M216" s="63"/>
      <c r="N216" s="87"/>
      <c r="O216" s="232"/>
      <c r="P216" s="41"/>
      <c r="Q216" s="571"/>
      <c r="R216" s="232"/>
      <c r="S216" s="232"/>
      <c r="T216" s="103"/>
      <c r="U216" s="41"/>
    </row>
    <row r="217" spans="1:21" ht="25.5" customHeight="1" x14ac:dyDescent="0.2">
      <c r="A217" s="720"/>
      <c r="B217" s="721"/>
      <c r="C217" s="2191"/>
      <c r="D217" s="458" t="s">
        <v>204</v>
      </c>
      <c r="E217" s="769"/>
      <c r="F217" s="725"/>
      <c r="G217" s="65"/>
      <c r="H217" s="87"/>
      <c r="I217" s="232"/>
      <c r="J217" s="103"/>
      <c r="K217" s="87"/>
      <c r="L217" s="232"/>
      <c r="M217" s="63"/>
      <c r="N217" s="87"/>
      <c r="O217" s="232"/>
      <c r="P217" s="41"/>
      <c r="Q217" s="571"/>
      <c r="R217" s="232"/>
      <c r="S217" s="232"/>
      <c r="T217" s="103"/>
      <c r="U217" s="41"/>
    </row>
    <row r="218" spans="1:21" ht="25.5" customHeight="1" x14ac:dyDescent="0.2">
      <c r="A218" s="720"/>
      <c r="B218" s="721"/>
      <c r="C218" s="2192"/>
      <c r="D218" s="456" t="s">
        <v>284</v>
      </c>
      <c r="E218" s="769"/>
      <c r="F218" s="723"/>
      <c r="G218" s="65"/>
      <c r="H218" s="87"/>
      <c r="I218" s="232"/>
      <c r="J218" s="103"/>
      <c r="K218" s="87"/>
      <c r="L218" s="232"/>
      <c r="M218" s="63"/>
      <c r="N218" s="87"/>
      <c r="O218" s="232"/>
      <c r="P218" s="41"/>
      <c r="Q218" s="850"/>
      <c r="R218" s="43"/>
      <c r="S218" s="43"/>
      <c r="T218" s="155"/>
      <c r="U218" s="41"/>
    </row>
    <row r="219" spans="1:21" ht="27.75" customHeight="1" x14ac:dyDescent="0.2">
      <c r="A219" s="720"/>
      <c r="B219" s="721"/>
      <c r="C219" s="2193" t="s">
        <v>200</v>
      </c>
      <c r="D219" s="741" t="s">
        <v>285</v>
      </c>
      <c r="E219" s="769"/>
      <c r="F219" s="725"/>
      <c r="G219" s="65"/>
      <c r="H219" s="87"/>
      <c r="I219" s="232"/>
      <c r="J219" s="103"/>
      <c r="K219" s="87"/>
      <c r="L219" s="232"/>
      <c r="M219" s="63"/>
      <c r="N219" s="87"/>
      <c r="O219" s="232"/>
      <c r="P219" s="41"/>
      <c r="Q219" s="858" t="s">
        <v>68</v>
      </c>
      <c r="R219" s="232"/>
      <c r="S219" s="232">
        <v>5.7</v>
      </c>
      <c r="T219" s="103"/>
      <c r="U219" s="41"/>
    </row>
    <row r="220" spans="1:21" ht="13.5" customHeight="1" x14ac:dyDescent="0.2">
      <c r="A220" s="720"/>
      <c r="B220" s="721"/>
      <c r="C220" s="2191"/>
      <c r="D220" s="239" t="s">
        <v>206</v>
      </c>
      <c r="E220" s="769"/>
      <c r="F220" s="725"/>
      <c r="G220" s="65"/>
      <c r="H220" s="87"/>
      <c r="I220" s="232"/>
      <c r="J220" s="103"/>
      <c r="K220" s="87"/>
      <c r="L220" s="232"/>
      <c r="M220" s="63"/>
      <c r="N220" s="87"/>
      <c r="O220" s="232"/>
      <c r="P220" s="41"/>
      <c r="Q220" s="571"/>
      <c r="R220" s="232"/>
      <c r="S220" s="232"/>
      <c r="T220" s="103"/>
      <c r="U220" s="41"/>
    </row>
    <row r="221" spans="1:21" ht="27.75" customHeight="1" x14ac:dyDescent="0.2">
      <c r="A221" s="720"/>
      <c r="B221" s="721"/>
      <c r="C221" s="2191"/>
      <c r="D221" s="239" t="s">
        <v>286</v>
      </c>
      <c r="E221" s="769"/>
      <c r="F221" s="725"/>
      <c r="G221" s="65"/>
      <c r="H221" s="87"/>
      <c r="I221" s="232"/>
      <c r="J221" s="103"/>
      <c r="K221" s="87"/>
      <c r="L221" s="232"/>
      <c r="M221" s="63"/>
      <c r="N221" s="87"/>
      <c r="O221" s="232"/>
      <c r="P221" s="41"/>
      <c r="Q221" s="571"/>
      <c r="R221" s="232"/>
      <c r="S221" s="232"/>
      <c r="T221" s="103"/>
      <c r="U221" s="41"/>
    </row>
    <row r="222" spans="1:21" ht="15.75" customHeight="1" x14ac:dyDescent="0.2">
      <c r="A222" s="720"/>
      <c r="B222" s="721"/>
      <c r="C222" s="2191"/>
      <c r="D222" s="460" t="s">
        <v>207</v>
      </c>
      <c r="E222" s="769"/>
      <c r="F222" s="725"/>
      <c r="G222" s="65"/>
      <c r="H222" s="87"/>
      <c r="I222" s="232"/>
      <c r="J222" s="103"/>
      <c r="K222" s="87"/>
      <c r="L222" s="232"/>
      <c r="M222" s="63"/>
      <c r="N222" s="87"/>
      <c r="O222" s="232"/>
      <c r="P222" s="41"/>
      <c r="Q222" s="571"/>
      <c r="R222" s="232"/>
      <c r="S222" s="232"/>
      <c r="T222" s="103"/>
      <c r="U222" s="41"/>
    </row>
    <row r="223" spans="1:21" ht="15" customHeight="1" x14ac:dyDescent="0.2">
      <c r="A223" s="720"/>
      <c r="B223" s="721"/>
      <c r="C223" s="2191"/>
      <c r="D223" s="460" t="s">
        <v>208</v>
      </c>
      <c r="E223" s="769"/>
      <c r="F223" s="725"/>
      <c r="G223" s="65"/>
      <c r="H223" s="87"/>
      <c r="I223" s="232"/>
      <c r="J223" s="103"/>
      <c r="K223" s="87"/>
      <c r="L223" s="232"/>
      <c r="M223" s="63"/>
      <c r="N223" s="87"/>
      <c r="O223" s="232"/>
      <c r="P223" s="41"/>
      <c r="Q223" s="571"/>
      <c r="R223" s="232"/>
      <c r="S223" s="232"/>
      <c r="T223" s="103"/>
      <c r="U223" s="41"/>
    </row>
    <row r="224" spans="1:21" ht="14.25" customHeight="1" x14ac:dyDescent="0.2">
      <c r="A224" s="720"/>
      <c r="B224" s="721"/>
      <c r="C224" s="2191"/>
      <c r="D224" s="460" t="s">
        <v>209</v>
      </c>
      <c r="E224" s="769"/>
      <c r="F224" s="725"/>
      <c r="G224" s="65"/>
      <c r="H224" s="87"/>
      <c r="I224" s="232"/>
      <c r="J224" s="103"/>
      <c r="K224" s="87"/>
      <c r="L224" s="232"/>
      <c r="M224" s="63"/>
      <c r="N224" s="87"/>
      <c r="O224" s="232"/>
      <c r="P224" s="41"/>
      <c r="Q224" s="571"/>
      <c r="R224" s="232"/>
      <c r="S224" s="232"/>
      <c r="T224" s="103"/>
      <c r="U224" s="41"/>
    </row>
    <row r="225" spans="1:25" ht="12.75" customHeight="1" x14ac:dyDescent="0.2">
      <c r="A225" s="720"/>
      <c r="B225" s="721"/>
      <c r="C225" s="2191"/>
      <c r="D225" s="741" t="s">
        <v>196</v>
      </c>
      <c r="E225" s="769"/>
      <c r="F225" s="725"/>
      <c r="G225" s="65"/>
      <c r="H225" s="87"/>
      <c r="I225" s="232"/>
      <c r="J225" s="103"/>
      <c r="K225" s="87"/>
      <c r="L225" s="232"/>
      <c r="M225" s="63"/>
      <c r="N225" s="87"/>
      <c r="O225" s="232"/>
      <c r="P225" s="41"/>
      <c r="Q225" s="571"/>
      <c r="R225" s="232"/>
      <c r="S225" s="232"/>
      <c r="T225" s="103"/>
      <c r="U225" s="41"/>
    </row>
    <row r="226" spans="1:25" ht="15.75" customHeight="1" x14ac:dyDescent="0.2">
      <c r="A226" s="720"/>
      <c r="B226" s="721"/>
      <c r="C226" s="2192"/>
      <c r="D226" s="727" t="s">
        <v>210</v>
      </c>
      <c r="E226" s="769"/>
      <c r="F226" s="725"/>
      <c r="G226" s="65"/>
      <c r="H226" s="87"/>
      <c r="I226" s="232"/>
      <c r="J226" s="103"/>
      <c r="K226" s="87"/>
      <c r="L226" s="232"/>
      <c r="M226" s="63"/>
      <c r="N226" s="87"/>
      <c r="O226" s="232"/>
      <c r="P226" s="41"/>
      <c r="Q226" s="850"/>
      <c r="R226" s="43"/>
      <c r="S226" s="43"/>
      <c r="T226" s="155"/>
      <c r="U226" s="41"/>
    </row>
    <row r="227" spans="1:25" ht="20.25" customHeight="1" x14ac:dyDescent="0.2">
      <c r="A227" s="720"/>
      <c r="B227" s="721"/>
      <c r="C227" s="2193" t="s">
        <v>201</v>
      </c>
      <c r="D227" s="726" t="s">
        <v>287</v>
      </c>
      <c r="E227" s="769"/>
      <c r="F227" s="725"/>
      <c r="G227" s="65"/>
      <c r="H227" s="87"/>
      <c r="I227" s="232"/>
      <c r="J227" s="103"/>
      <c r="K227" s="87"/>
      <c r="L227" s="232"/>
      <c r="M227" s="63"/>
      <c r="N227" s="87"/>
      <c r="O227" s="232"/>
      <c r="P227" s="41"/>
      <c r="Q227" s="858" t="s">
        <v>68</v>
      </c>
      <c r="R227" s="51"/>
      <c r="S227" s="51"/>
      <c r="T227" s="128">
        <v>6.5</v>
      </c>
      <c r="U227" s="41"/>
    </row>
    <row r="228" spans="1:25" ht="29.25" customHeight="1" x14ac:dyDescent="0.2">
      <c r="A228" s="720"/>
      <c r="B228" s="721"/>
      <c r="C228" s="2191"/>
      <c r="D228" s="239" t="s">
        <v>288</v>
      </c>
      <c r="E228" s="769"/>
      <c r="F228" s="725"/>
      <c r="G228" s="65"/>
      <c r="H228" s="87"/>
      <c r="I228" s="232"/>
      <c r="J228" s="103"/>
      <c r="K228" s="87"/>
      <c r="L228" s="232"/>
      <c r="M228" s="63"/>
      <c r="N228" s="87"/>
      <c r="O228" s="232"/>
      <c r="P228" s="41"/>
      <c r="Q228" s="571"/>
      <c r="R228" s="232"/>
      <c r="S228" s="232"/>
      <c r="T228" s="103"/>
      <c r="U228" s="41"/>
    </row>
    <row r="229" spans="1:25" ht="15.75" customHeight="1" x14ac:dyDescent="0.2">
      <c r="A229" s="720"/>
      <c r="B229" s="721"/>
      <c r="C229" s="2191"/>
      <c r="D229" s="239" t="s">
        <v>211</v>
      </c>
      <c r="E229" s="769"/>
      <c r="F229" s="725"/>
      <c r="G229" s="65"/>
      <c r="H229" s="87"/>
      <c r="I229" s="232"/>
      <c r="J229" s="103"/>
      <c r="K229" s="87"/>
      <c r="L229" s="232"/>
      <c r="M229" s="63"/>
      <c r="N229" s="87"/>
      <c r="O229" s="232"/>
      <c r="P229" s="41"/>
      <c r="Q229" s="571"/>
      <c r="R229" s="232"/>
      <c r="S229" s="232"/>
      <c r="T229" s="103"/>
      <c r="U229" s="41"/>
    </row>
    <row r="230" spans="1:25" ht="16.5" customHeight="1" x14ac:dyDescent="0.2">
      <c r="A230" s="720"/>
      <c r="B230" s="721"/>
      <c r="C230" s="2192"/>
      <c r="D230" s="727" t="s">
        <v>289</v>
      </c>
      <c r="E230" s="769"/>
      <c r="F230" s="725"/>
      <c r="G230" s="65"/>
      <c r="H230" s="87"/>
      <c r="I230" s="232"/>
      <c r="J230" s="103"/>
      <c r="K230" s="87"/>
      <c r="L230" s="232"/>
      <c r="M230" s="63"/>
      <c r="N230" s="87"/>
      <c r="O230" s="232"/>
      <c r="P230" s="41"/>
      <c r="Q230" s="850"/>
      <c r="R230" s="43"/>
      <c r="S230" s="43"/>
      <c r="T230" s="155"/>
      <c r="U230" s="41"/>
    </row>
    <row r="231" spans="1:25" ht="29.25" customHeight="1" x14ac:dyDescent="0.2">
      <c r="A231" s="720"/>
      <c r="B231" s="721"/>
      <c r="C231" s="226"/>
      <c r="D231" s="2045" t="s">
        <v>110</v>
      </c>
      <c r="E231" s="769"/>
      <c r="F231" s="725"/>
      <c r="G231" s="65"/>
      <c r="H231" s="87"/>
      <c r="I231" s="232"/>
      <c r="J231" s="103"/>
      <c r="K231" s="87"/>
      <c r="L231" s="232"/>
      <c r="M231" s="63"/>
      <c r="N231" s="87"/>
      <c r="O231" s="232"/>
      <c r="P231" s="41"/>
      <c r="Q231" s="889" t="s">
        <v>184</v>
      </c>
      <c r="R231" s="338">
        <v>0.2</v>
      </c>
      <c r="S231" s="338">
        <v>0.2</v>
      </c>
      <c r="T231" s="812">
        <v>0.2</v>
      </c>
      <c r="U231" s="41"/>
    </row>
    <row r="232" spans="1:25" ht="26.25" customHeight="1" x14ac:dyDescent="0.2">
      <c r="A232" s="720"/>
      <c r="B232" s="721"/>
      <c r="C232" s="226"/>
      <c r="D232" s="2100"/>
      <c r="E232" s="769"/>
      <c r="F232" s="725"/>
      <c r="G232" s="65"/>
      <c r="H232" s="87"/>
      <c r="I232" s="232"/>
      <c r="J232" s="103"/>
      <c r="K232" s="87"/>
      <c r="L232" s="232"/>
      <c r="M232" s="63"/>
      <c r="N232" s="87"/>
      <c r="O232" s="232"/>
      <c r="P232" s="41"/>
      <c r="Q232" s="890" t="s">
        <v>40</v>
      </c>
      <c r="R232" s="290">
        <v>4</v>
      </c>
      <c r="S232" s="290">
        <v>4</v>
      </c>
      <c r="T232" s="813">
        <v>4</v>
      </c>
      <c r="U232" s="362"/>
    </row>
    <row r="233" spans="1:25" ht="17.25" customHeight="1" x14ac:dyDescent="0.2">
      <c r="A233" s="720"/>
      <c r="B233" s="721"/>
      <c r="C233" s="226"/>
      <c r="D233" s="2046"/>
      <c r="E233" s="769"/>
      <c r="F233" s="725"/>
      <c r="G233" s="242"/>
      <c r="H233" s="683"/>
      <c r="I233" s="556"/>
      <c r="J233" s="245"/>
      <c r="K233" s="683"/>
      <c r="L233" s="556"/>
      <c r="M233" s="289"/>
      <c r="N233" s="683"/>
      <c r="O233" s="556"/>
      <c r="P233" s="874"/>
      <c r="Q233" s="600" t="s">
        <v>67</v>
      </c>
      <c r="R233" s="261">
        <v>54.6</v>
      </c>
      <c r="S233" s="261">
        <v>54.6</v>
      </c>
      <c r="T233" s="814">
        <v>54.6</v>
      </c>
      <c r="U233" s="41"/>
    </row>
    <row r="234" spans="1:25" ht="15.75" customHeight="1" x14ac:dyDescent="0.2">
      <c r="A234" s="2029"/>
      <c r="B234" s="2030"/>
      <c r="C234" s="2031"/>
      <c r="D234" s="2032" t="s">
        <v>53</v>
      </c>
      <c r="E234" s="769"/>
      <c r="F234" s="725"/>
      <c r="G234" s="65"/>
      <c r="H234" s="87"/>
      <c r="I234" s="232"/>
      <c r="J234" s="103"/>
      <c r="K234" s="87"/>
      <c r="L234" s="232"/>
      <c r="M234" s="63"/>
      <c r="N234" s="87"/>
      <c r="O234" s="232"/>
      <c r="P234" s="41"/>
      <c r="Q234" s="2200" t="s">
        <v>321</v>
      </c>
      <c r="R234" s="38" t="s">
        <v>139</v>
      </c>
      <c r="S234" s="38" t="s">
        <v>139</v>
      </c>
      <c r="T234" s="554" t="s">
        <v>140</v>
      </c>
      <c r="U234" s="362"/>
    </row>
    <row r="235" spans="1:25" ht="11.25" customHeight="1" x14ac:dyDescent="0.2">
      <c r="A235" s="2029"/>
      <c r="B235" s="2030"/>
      <c r="C235" s="2031"/>
      <c r="D235" s="2033"/>
      <c r="E235" s="769"/>
      <c r="F235" s="725"/>
      <c r="G235" s="65"/>
      <c r="H235" s="87"/>
      <c r="I235" s="232"/>
      <c r="J235" s="103"/>
      <c r="K235" s="87"/>
      <c r="L235" s="232"/>
      <c r="M235" s="63"/>
      <c r="N235" s="87"/>
      <c r="O235" s="232"/>
      <c r="P235" s="41"/>
      <c r="Q235" s="2201"/>
      <c r="R235" s="43"/>
      <c r="S235" s="43"/>
      <c r="T235" s="155"/>
      <c r="U235" s="41"/>
    </row>
    <row r="236" spans="1:25" ht="14.25" customHeight="1" x14ac:dyDescent="0.2">
      <c r="A236" s="2029"/>
      <c r="B236" s="2030"/>
      <c r="C236" s="2031"/>
      <c r="D236" s="2204" t="s">
        <v>212</v>
      </c>
      <c r="E236" s="2188"/>
      <c r="F236" s="2031"/>
      <c r="G236" s="65"/>
      <c r="H236" s="87"/>
      <c r="I236" s="490"/>
      <c r="J236" s="491"/>
      <c r="K236" s="87"/>
      <c r="L236" s="232"/>
      <c r="M236" s="63"/>
      <c r="N236" s="87"/>
      <c r="O236" s="232"/>
      <c r="P236" s="41"/>
      <c r="Q236" s="2202" t="s">
        <v>305</v>
      </c>
      <c r="R236" s="51">
        <v>44.6</v>
      </c>
      <c r="S236" s="51">
        <v>44.6</v>
      </c>
      <c r="T236" s="401">
        <v>44.6</v>
      </c>
      <c r="U236" s="41"/>
    </row>
    <row r="237" spans="1:25" ht="15" customHeight="1" x14ac:dyDescent="0.2">
      <c r="A237" s="2029"/>
      <c r="B237" s="2030"/>
      <c r="C237" s="2031"/>
      <c r="D237" s="2048"/>
      <c r="E237" s="2188"/>
      <c r="F237" s="2031"/>
      <c r="G237" s="65"/>
      <c r="H237" s="87"/>
      <c r="I237" s="490"/>
      <c r="J237" s="491"/>
      <c r="K237" s="87"/>
      <c r="L237" s="232"/>
      <c r="M237" s="63"/>
      <c r="N237" s="87"/>
      <c r="O237" s="232"/>
      <c r="P237" s="41"/>
      <c r="Q237" s="2203"/>
      <c r="R237" s="164"/>
      <c r="S237" s="164"/>
      <c r="T237" s="164"/>
      <c r="U237" s="41"/>
    </row>
    <row r="238" spans="1:25" ht="21.75" customHeight="1" x14ac:dyDescent="0.2">
      <c r="A238" s="2029"/>
      <c r="B238" s="2030"/>
      <c r="C238" s="2031"/>
      <c r="D238" s="440"/>
      <c r="E238" s="2188"/>
      <c r="F238" s="2031"/>
      <c r="G238" s="65"/>
      <c r="H238" s="87"/>
      <c r="I238" s="490"/>
      <c r="J238" s="491"/>
      <c r="K238" s="87"/>
      <c r="L238" s="232"/>
      <c r="M238" s="63"/>
      <c r="N238" s="87"/>
      <c r="O238" s="232"/>
      <c r="P238" s="41"/>
      <c r="Q238" s="2198" t="s">
        <v>179</v>
      </c>
      <c r="R238" s="2205">
        <v>100</v>
      </c>
      <c r="S238" s="2207"/>
      <c r="T238" s="2257"/>
      <c r="U238" s="2208"/>
    </row>
    <row r="239" spans="1:25" ht="19.5" customHeight="1" x14ac:dyDescent="0.2">
      <c r="A239" s="2029"/>
      <c r="B239" s="2030"/>
      <c r="C239" s="2031"/>
      <c r="D239" s="374"/>
      <c r="E239" s="2188"/>
      <c r="F239" s="2031"/>
      <c r="G239" s="65"/>
      <c r="H239" s="87"/>
      <c r="I239" s="490"/>
      <c r="J239" s="491"/>
      <c r="K239" s="87"/>
      <c r="L239" s="232"/>
      <c r="M239" s="63"/>
      <c r="N239" s="87"/>
      <c r="O239" s="232"/>
      <c r="P239" s="41"/>
      <c r="Q239" s="2199"/>
      <c r="R239" s="2206"/>
      <c r="S239" s="2206"/>
      <c r="T239" s="2258"/>
      <c r="U239" s="2209"/>
    </row>
    <row r="240" spans="1:25" ht="27" customHeight="1" x14ac:dyDescent="0.2">
      <c r="A240" s="720"/>
      <c r="B240" s="721"/>
      <c r="C240" s="723"/>
      <c r="D240" s="2129" t="s">
        <v>109</v>
      </c>
      <c r="E240" s="769"/>
      <c r="F240" s="725"/>
      <c r="G240" s="65"/>
      <c r="H240" s="87"/>
      <c r="I240" s="604"/>
      <c r="J240" s="912"/>
      <c r="K240" s="87"/>
      <c r="L240" s="232"/>
      <c r="M240" s="63"/>
      <c r="N240" s="87"/>
      <c r="O240" s="232"/>
      <c r="P240" s="41"/>
      <c r="Q240" s="2211" t="s">
        <v>170</v>
      </c>
      <c r="R240" s="339">
        <v>20</v>
      </c>
      <c r="S240" s="281">
        <v>15</v>
      </c>
      <c r="T240" s="321">
        <v>15</v>
      </c>
      <c r="U240" s="2042"/>
      <c r="V240" s="363"/>
      <c r="W240" s="1176"/>
      <c r="X240" s="363"/>
      <c r="Y240" s="363"/>
    </row>
    <row r="241" spans="1:25" ht="40.5" customHeight="1" x14ac:dyDescent="0.2">
      <c r="A241" s="720"/>
      <c r="B241" s="721"/>
      <c r="C241" s="723"/>
      <c r="D241" s="2210"/>
      <c r="E241" s="769"/>
      <c r="F241" s="725"/>
      <c r="G241" s="65"/>
      <c r="H241" s="87"/>
      <c r="I241" s="232"/>
      <c r="J241" s="103"/>
      <c r="K241" s="87"/>
      <c r="L241" s="232"/>
      <c r="M241" s="63"/>
      <c r="N241" s="87"/>
      <c r="O241" s="232"/>
      <c r="P241" s="41"/>
      <c r="Q241" s="2212"/>
      <c r="R241" s="20"/>
      <c r="S241" s="20"/>
      <c r="T241" s="322"/>
      <c r="U241" s="2220"/>
      <c r="V241" s="363"/>
      <c r="W241" s="1176"/>
      <c r="X241" s="363"/>
      <c r="Y241" s="363"/>
    </row>
    <row r="242" spans="1:25" ht="22.5" customHeight="1" x14ac:dyDescent="0.2">
      <c r="A242" s="729"/>
      <c r="B242" s="721"/>
      <c r="C242" s="725"/>
      <c r="D242" s="724" t="s">
        <v>39</v>
      </c>
      <c r="E242" s="769"/>
      <c r="F242" s="725"/>
      <c r="G242" s="59"/>
      <c r="H242" s="90"/>
      <c r="I242" s="43"/>
      <c r="J242" s="155"/>
      <c r="K242" s="90"/>
      <c r="L242" s="43"/>
      <c r="M242" s="179"/>
      <c r="N242" s="90"/>
      <c r="O242" s="43"/>
      <c r="P242" s="44"/>
      <c r="Q242" s="858" t="s">
        <v>55</v>
      </c>
      <c r="R242" s="372" t="s">
        <v>319</v>
      </c>
      <c r="S242" s="755">
        <v>15</v>
      </c>
      <c r="T242" s="797">
        <v>15</v>
      </c>
      <c r="U242" s="952"/>
    </row>
    <row r="243" spans="1:25" ht="14.25" customHeight="1" thickBot="1" x14ac:dyDescent="0.25">
      <c r="A243" s="72"/>
      <c r="B243" s="764"/>
      <c r="C243" s="99"/>
      <c r="D243" s="572"/>
      <c r="E243" s="598"/>
      <c r="F243" s="54"/>
      <c r="G243" s="141" t="s">
        <v>6</v>
      </c>
      <c r="H243" s="212">
        <f>SUM(H206:H242)</f>
        <v>5945.5</v>
      </c>
      <c r="I243" s="833">
        <f t="shared" ref="I243:P243" si="24">SUM(I206:I242)</f>
        <v>6031.3</v>
      </c>
      <c r="J243" s="833">
        <f t="shared" si="24"/>
        <v>85.8</v>
      </c>
      <c r="K243" s="212">
        <f t="shared" si="24"/>
        <v>4551.6000000000004</v>
      </c>
      <c r="L243" s="833">
        <f t="shared" si="24"/>
        <v>4551.6000000000004</v>
      </c>
      <c r="M243" s="833">
        <f t="shared" si="24"/>
        <v>0</v>
      </c>
      <c r="N243" s="212">
        <f t="shared" si="24"/>
        <v>4660</v>
      </c>
      <c r="O243" s="833">
        <f t="shared" si="24"/>
        <v>4660</v>
      </c>
      <c r="P243" s="607">
        <f t="shared" si="24"/>
        <v>0</v>
      </c>
      <c r="Q243" s="891"/>
      <c r="R243" s="192"/>
      <c r="S243" s="192"/>
      <c r="T243" s="191"/>
      <c r="U243" s="599"/>
    </row>
    <row r="244" spans="1:25" ht="28.5" customHeight="1" x14ac:dyDescent="0.2">
      <c r="A244" s="729" t="s">
        <v>5</v>
      </c>
      <c r="B244" s="721" t="s">
        <v>33</v>
      </c>
      <c r="C244" s="226" t="s">
        <v>7</v>
      </c>
      <c r="D244" s="2140" t="s">
        <v>152</v>
      </c>
      <c r="E244" s="2123" t="s">
        <v>47</v>
      </c>
      <c r="F244" s="2215" t="s">
        <v>43</v>
      </c>
      <c r="G244" s="65" t="s">
        <v>25</v>
      </c>
      <c r="H244" s="87">
        <f>100-30-34</f>
        <v>36</v>
      </c>
      <c r="I244" s="604">
        <f>100-30-34-10.2</f>
        <v>25.8</v>
      </c>
      <c r="J244" s="912">
        <f>I244-H244</f>
        <v>-10.199999999999999</v>
      </c>
      <c r="K244" s="87">
        <v>194.1</v>
      </c>
      <c r="L244" s="604">
        <f>194.1+10.2</f>
        <v>204.3</v>
      </c>
      <c r="M244" s="940">
        <f>L244-K244</f>
        <v>10.199999999999999</v>
      </c>
      <c r="N244" s="87"/>
      <c r="O244" s="232"/>
      <c r="P244" s="40"/>
      <c r="Q244" s="548" t="s">
        <v>162</v>
      </c>
      <c r="R244" s="1218" t="s">
        <v>56</v>
      </c>
      <c r="S244" s="1219">
        <v>1</v>
      </c>
      <c r="T244" s="504"/>
      <c r="U244" s="2221" t="s">
        <v>347</v>
      </c>
    </row>
    <row r="245" spans="1:25" ht="43.5" customHeight="1" x14ac:dyDescent="0.2">
      <c r="A245" s="729"/>
      <c r="B245" s="721"/>
      <c r="C245" s="226"/>
      <c r="D245" s="2141"/>
      <c r="E245" s="2123"/>
      <c r="F245" s="2215"/>
      <c r="G245" s="65" t="s">
        <v>62</v>
      </c>
      <c r="H245" s="87">
        <v>64</v>
      </c>
      <c r="I245" s="232">
        <v>64</v>
      </c>
      <c r="J245" s="103"/>
      <c r="K245" s="87"/>
      <c r="L245" s="232"/>
      <c r="M245" s="63"/>
      <c r="N245" s="87"/>
      <c r="O245" s="232"/>
      <c r="P245" s="40"/>
      <c r="Q245" s="89" t="s">
        <v>264</v>
      </c>
      <c r="R245" s="25">
        <v>100</v>
      </c>
      <c r="S245" s="25"/>
      <c r="T245" s="330"/>
      <c r="U245" s="2222"/>
    </row>
    <row r="246" spans="1:25" ht="29.25" customHeight="1" x14ac:dyDescent="0.2">
      <c r="A246" s="729"/>
      <c r="B246" s="721"/>
      <c r="C246" s="226"/>
      <c r="D246" s="2141"/>
      <c r="E246" s="2123"/>
      <c r="F246" s="2216"/>
      <c r="G246" s="64"/>
      <c r="H246" s="90"/>
      <c r="I246" s="43"/>
      <c r="J246" s="155"/>
      <c r="K246" s="90"/>
      <c r="L246" s="43"/>
      <c r="M246" s="179"/>
      <c r="N246" s="90"/>
      <c r="O246" s="43"/>
      <c r="P246" s="42"/>
      <c r="Q246" s="2218" t="s">
        <v>157</v>
      </c>
      <c r="R246" s="38"/>
      <c r="S246" s="38" t="s">
        <v>115</v>
      </c>
      <c r="T246" s="554"/>
      <c r="U246" s="2222"/>
    </row>
    <row r="247" spans="1:25" ht="17.25" customHeight="1" thickBot="1" x14ac:dyDescent="0.25">
      <c r="A247" s="72"/>
      <c r="B247" s="764"/>
      <c r="C247" s="99"/>
      <c r="D247" s="2213"/>
      <c r="E247" s="2214"/>
      <c r="F247" s="2217"/>
      <c r="G247" s="141" t="s">
        <v>6</v>
      </c>
      <c r="H247" s="212">
        <f t="shared" ref="H247:M247" si="25">SUM(H244:H246)</f>
        <v>100</v>
      </c>
      <c r="I247" s="833">
        <f t="shared" si="25"/>
        <v>89.8</v>
      </c>
      <c r="J247" s="833">
        <f t="shared" si="25"/>
        <v>-10.199999999999999</v>
      </c>
      <c r="K247" s="212">
        <f t="shared" si="25"/>
        <v>194.1</v>
      </c>
      <c r="L247" s="833">
        <f t="shared" si="25"/>
        <v>204.3</v>
      </c>
      <c r="M247" s="833">
        <f t="shared" si="25"/>
        <v>10.199999999999999</v>
      </c>
      <c r="N247" s="212">
        <f t="shared" ref="N247:O247" si="26">SUM(N244:N246)</f>
        <v>0</v>
      </c>
      <c r="O247" s="833">
        <f t="shared" si="26"/>
        <v>0</v>
      </c>
      <c r="P247" s="379">
        <f t="shared" ref="P247" si="27">SUM(P244:P246)</f>
        <v>0</v>
      </c>
      <c r="Q247" s="2219"/>
      <c r="R247" s="205"/>
      <c r="S247" s="205"/>
      <c r="T247" s="815"/>
      <c r="U247" s="892"/>
    </row>
    <row r="248" spans="1:25" ht="14.25" customHeight="1" thickBot="1" x14ac:dyDescent="0.25">
      <c r="A248" s="72" t="s">
        <v>5</v>
      </c>
      <c r="B248" s="764" t="s">
        <v>33</v>
      </c>
      <c r="C248" s="2235" t="s">
        <v>8</v>
      </c>
      <c r="D248" s="2235"/>
      <c r="E248" s="2235"/>
      <c r="F248" s="2235"/>
      <c r="G248" s="2156"/>
      <c r="H248" s="361">
        <f>H247+H243</f>
        <v>6045.5</v>
      </c>
      <c r="I248" s="83">
        <f t="shared" ref="I248" si="28">I247+I243</f>
        <v>6121.1</v>
      </c>
      <c r="J248" s="83">
        <f>J247+J243</f>
        <v>75.599999999999994</v>
      </c>
      <c r="K248" s="361">
        <f t="shared" ref="K248:O248" si="29">K247+K243</f>
        <v>4745.7</v>
      </c>
      <c r="L248" s="83">
        <f t="shared" ref="L248" si="30">L247+L243</f>
        <v>4755.8999999999996</v>
      </c>
      <c r="M248" s="83">
        <f t="shared" ref="M248" si="31">M247+M243</f>
        <v>10.199999999999999</v>
      </c>
      <c r="N248" s="361">
        <f t="shared" ref="N248" si="32">N247+N243</f>
        <v>4660</v>
      </c>
      <c r="O248" s="83">
        <f t="shared" si="29"/>
        <v>4660</v>
      </c>
      <c r="P248" s="280">
        <f t="shared" ref="P248" si="33">P247+P243</f>
        <v>0</v>
      </c>
      <c r="Q248" s="2236"/>
      <c r="R248" s="2157"/>
      <c r="S248" s="2157"/>
      <c r="T248" s="2157"/>
      <c r="U248" s="2158"/>
    </row>
    <row r="249" spans="1:25" ht="14.25" customHeight="1" thickBot="1" x14ac:dyDescent="0.25">
      <c r="A249" s="94" t="s">
        <v>5</v>
      </c>
      <c r="B249" s="2237" t="s">
        <v>9</v>
      </c>
      <c r="C249" s="2238"/>
      <c r="D249" s="2238"/>
      <c r="E249" s="2238"/>
      <c r="F249" s="2238"/>
      <c r="G249" s="2239"/>
      <c r="H249" s="72">
        <f t="shared" ref="H249:P249" si="34">H248+H204+H165+H129</f>
        <v>27065.7</v>
      </c>
      <c r="I249" s="887">
        <f t="shared" si="34"/>
        <v>28292.799999999999</v>
      </c>
      <c r="J249" s="887">
        <f t="shared" si="34"/>
        <v>1227.0999999999999</v>
      </c>
      <c r="K249" s="72">
        <f t="shared" si="34"/>
        <v>38270</v>
      </c>
      <c r="L249" s="887">
        <f t="shared" si="34"/>
        <v>36680</v>
      </c>
      <c r="M249" s="887">
        <f t="shared" si="34"/>
        <v>-1590</v>
      </c>
      <c r="N249" s="72">
        <f t="shared" si="34"/>
        <v>29831.7</v>
      </c>
      <c r="O249" s="887">
        <f t="shared" si="34"/>
        <v>29856.7</v>
      </c>
      <c r="P249" s="953">
        <f t="shared" si="34"/>
        <v>25</v>
      </c>
      <c r="Q249" s="2240"/>
      <c r="R249" s="2241"/>
      <c r="S249" s="2241"/>
      <c r="T249" s="2241"/>
      <c r="U249" s="2242"/>
    </row>
    <row r="250" spans="1:25" ht="14.25" customHeight="1" thickBot="1" x14ac:dyDescent="0.25">
      <c r="A250" s="105" t="s">
        <v>35</v>
      </c>
      <c r="B250" s="2243" t="s">
        <v>58</v>
      </c>
      <c r="C250" s="2244"/>
      <c r="D250" s="2244"/>
      <c r="E250" s="2244"/>
      <c r="F250" s="2244"/>
      <c r="G250" s="2245"/>
      <c r="H250" s="886">
        <f t="shared" ref="H250:O250" si="35">SUM(H249)</f>
        <v>27065.7</v>
      </c>
      <c r="I250" s="888">
        <f t="shared" ref="I250" si="36">SUM(I249)</f>
        <v>28292.799999999999</v>
      </c>
      <c r="J250" s="888">
        <f t="shared" ref="J250" si="37">SUM(J249)</f>
        <v>1227.0999999999999</v>
      </c>
      <c r="K250" s="886">
        <f>SUM(K249)</f>
        <v>38270</v>
      </c>
      <c r="L250" s="888">
        <f>SUM(L249)</f>
        <v>36680</v>
      </c>
      <c r="M250" s="888">
        <f>SUM(M249)</f>
        <v>-1590</v>
      </c>
      <c r="N250" s="886">
        <f t="shared" ref="N250" si="38">SUM(N249)</f>
        <v>29831.7</v>
      </c>
      <c r="O250" s="888">
        <f t="shared" si="35"/>
        <v>29856.7</v>
      </c>
      <c r="P250" s="954">
        <f t="shared" ref="P250" si="39">SUM(P249)</f>
        <v>25</v>
      </c>
      <c r="Q250" s="2246"/>
      <c r="R250" s="2247"/>
      <c r="S250" s="2247"/>
      <c r="T250" s="2247"/>
      <c r="U250" s="2248"/>
    </row>
    <row r="251" spans="1:25" s="5" customFormat="1" ht="15" customHeight="1" x14ac:dyDescent="0.2">
      <c r="A251" s="601"/>
      <c r="B251" s="773"/>
      <c r="C251" s="773"/>
      <c r="D251" s="773"/>
      <c r="E251" s="773"/>
      <c r="F251" s="773"/>
      <c r="G251" s="773"/>
      <c r="H251" s="773"/>
      <c r="I251" s="773"/>
      <c r="J251" s="773"/>
      <c r="K251" s="773"/>
      <c r="L251" s="773"/>
      <c r="M251" s="773"/>
      <c r="N251" s="773"/>
      <c r="O251" s="773"/>
      <c r="P251" s="773"/>
      <c r="Q251" s="773"/>
      <c r="R251" s="773"/>
      <c r="S251" s="773"/>
      <c r="T251" s="773"/>
      <c r="U251" s="773"/>
    </row>
    <row r="252" spans="1:25" s="4" customFormat="1" ht="17.25" customHeight="1" x14ac:dyDescent="0.2">
      <c r="A252" s="774"/>
      <c r="B252" s="775"/>
      <c r="C252" s="775"/>
      <c r="D252" s="775"/>
      <c r="E252" s="775"/>
      <c r="F252" s="775"/>
      <c r="G252" s="775"/>
      <c r="H252" s="985"/>
      <c r="I252" s="987"/>
      <c r="J252" s="986"/>
      <c r="K252" s="986"/>
      <c r="L252" s="986"/>
      <c r="M252" s="986"/>
      <c r="N252" s="986"/>
      <c r="O252" s="983"/>
      <c r="P252" s="775"/>
      <c r="Q252" s="775"/>
      <c r="R252" s="774"/>
      <c r="S252" s="774"/>
      <c r="T252" s="774"/>
      <c r="U252" s="774"/>
    </row>
    <row r="253" spans="1:25" s="5" customFormat="1" ht="15" customHeight="1" thickBot="1" x14ac:dyDescent="0.25">
      <c r="A253" s="2284" t="s">
        <v>13</v>
      </c>
      <c r="B253" s="2284"/>
      <c r="C253" s="2284"/>
      <c r="D253" s="2284"/>
      <c r="E253" s="2284"/>
      <c r="F253" s="2284"/>
      <c r="G253" s="2284"/>
      <c r="H253" s="156"/>
      <c r="I253" s="156"/>
      <c r="J253" s="156"/>
      <c r="K253" s="156"/>
      <c r="L253" s="156"/>
      <c r="M253" s="156"/>
      <c r="N253" s="156"/>
      <c r="O253" s="156"/>
      <c r="P253" s="156"/>
      <c r="Q253" s="106"/>
      <c r="R253" s="106"/>
      <c r="S253" s="106"/>
      <c r="T253" s="106"/>
      <c r="U253" s="106"/>
    </row>
    <row r="254" spans="1:25" ht="70.5" customHeight="1" thickBot="1" x14ac:dyDescent="0.25">
      <c r="A254" s="2285" t="s">
        <v>10</v>
      </c>
      <c r="B254" s="2286"/>
      <c r="C254" s="2286"/>
      <c r="D254" s="2286"/>
      <c r="E254" s="2286"/>
      <c r="F254" s="2286"/>
      <c r="G254" s="2287"/>
      <c r="H254" s="1127" t="s">
        <v>298</v>
      </c>
      <c r="I254" s="1128" t="s">
        <v>303</v>
      </c>
      <c r="J254" s="1129" t="s">
        <v>300</v>
      </c>
      <c r="K254" s="1130" t="s">
        <v>127</v>
      </c>
      <c r="L254" s="1128" t="s">
        <v>301</v>
      </c>
      <c r="M254" s="1129" t="s">
        <v>300</v>
      </c>
      <c r="N254" s="1130" t="s">
        <v>186</v>
      </c>
      <c r="O254" s="1128" t="s">
        <v>302</v>
      </c>
      <c r="P254" s="1129" t="s">
        <v>300</v>
      </c>
      <c r="Q254" s="14"/>
      <c r="R254" s="14"/>
      <c r="S254" s="14"/>
      <c r="T254" s="14"/>
      <c r="U254" s="14"/>
    </row>
    <row r="255" spans="1:25" ht="14.25" customHeight="1" x14ac:dyDescent="0.2">
      <c r="A255" s="2288" t="s">
        <v>14</v>
      </c>
      <c r="B255" s="2289"/>
      <c r="C255" s="2289"/>
      <c r="D255" s="2289"/>
      <c r="E255" s="2289"/>
      <c r="F255" s="2289"/>
      <c r="G255" s="2290"/>
      <c r="H255" s="1120">
        <f>H256+H262+H263+H264</f>
        <v>23803.9</v>
      </c>
      <c r="I255" s="1121">
        <f>I256+I262+I263+I264</f>
        <v>26015.5</v>
      </c>
      <c r="J255" s="1121">
        <f>J256+J262+J263+J264</f>
        <v>2211.6</v>
      </c>
      <c r="K255" s="1122">
        <f>K256+K262+K263+K264</f>
        <v>35067.199999999997</v>
      </c>
      <c r="L255" s="1123">
        <f>L256+L262+L263+L264</f>
        <v>34323.4</v>
      </c>
      <c r="M255" s="1124">
        <f>L255-K255</f>
        <v>-743.8</v>
      </c>
      <c r="N255" s="1125">
        <f>N256+N262+N263+N264</f>
        <v>26957.8</v>
      </c>
      <c r="O255" s="1123">
        <f>O256+O262+O263+O264</f>
        <v>27132.7</v>
      </c>
      <c r="P255" s="1126">
        <f>P256+P262+P263+P264</f>
        <v>174.9</v>
      </c>
      <c r="Q255" s="14"/>
      <c r="R255" s="14"/>
      <c r="S255" s="14"/>
      <c r="T255" s="14"/>
      <c r="U255" s="14"/>
    </row>
    <row r="256" spans="1:25" ht="14.25" customHeight="1" x14ac:dyDescent="0.2">
      <c r="A256" s="2223" t="s">
        <v>96</v>
      </c>
      <c r="B256" s="2224"/>
      <c r="C256" s="2224"/>
      <c r="D256" s="2224"/>
      <c r="E256" s="2224"/>
      <c r="F256" s="2224"/>
      <c r="G256" s="2225"/>
      <c r="H256" s="771">
        <f>SUM(H257:H261)</f>
        <v>16215.7</v>
      </c>
      <c r="I256" s="893">
        <f>SUM(I257:I261)</f>
        <v>18063.2</v>
      </c>
      <c r="J256" s="893">
        <f>SUM(J257:J261)</f>
        <v>1847.5</v>
      </c>
      <c r="K256" s="900">
        <f>SUM(K257:K261)</f>
        <v>35067.199999999997</v>
      </c>
      <c r="L256" s="901">
        <f>SUM(L257:L261)</f>
        <v>34093</v>
      </c>
      <c r="M256" s="902">
        <f t="shared" ref="M256:M270" si="40">L256-K256</f>
        <v>-974.2</v>
      </c>
      <c r="N256" s="977">
        <f>SUM(N257:N261)</f>
        <v>26956.799999999999</v>
      </c>
      <c r="O256" s="901">
        <f>O257+O258+O259+O260+O261</f>
        <v>27131.7</v>
      </c>
      <c r="P256" s="982">
        <f>SUM(P257:P261)</f>
        <v>174.9</v>
      </c>
      <c r="Q256" s="14"/>
      <c r="R256" s="14"/>
      <c r="S256" s="14"/>
      <c r="T256" s="14"/>
      <c r="U256" s="14"/>
    </row>
    <row r="257" spans="1:21" ht="14.25" customHeight="1" x14ac:dyDescent="0.2">
      <c r="A257" s="2226" t="s">
        <v>19</v>
      </c>
      <c r="B257" s="2227"/>
      <c r="C257" s="2227"/>
      <c r="D257" s="2227"/>
      <c r="E257" s="2227"/>
      <c r="F257" s="2227"/>
      <c r="G257" s="2228"/>
      <c r="H257" s="772">
        <f>SUMIF(G11:G250,"SB",H11:H250)</f>
        <v>10077.9</v>
      </c>
      <c r="I257" s="894">
        <f>SUMIF(G11:G250,"SB",I11:I250)</f>
        <v>10933.2</v>
      </c>
      <c r="J257" s="894">
        <f>SUMIF(G11:G250,"SB",J11:J250)</f>
        <v>855.3</v>
      </c>
      <c r="K257" s="698">
        <f>SUMIF(G11:G250,"SB",K11:K250)</f>
        <v>21727.3</v>
      </c>
      <c r="L257" s="699">
        <f>SUMIF(G11:G250,"SB",L11:L250)</f>
        <v>20443.8</v>
      </c>
      <c r="M257" s="923">
        <f t="shared" si="40"/>
        <v>-1283.5</v>
      </c>
      <c r="N257" s="978">
        <f>SUMIF(G11:G250,"SB",N11:N250)</f>
        <v>19269.5</v>
      </c>
      <c r="O257" s="699">
        <f>SUMIF(G11:G250,"SB",O11:O250)</f>
        <v>19294.5</v>
      </c>
      <c r="P257" s="979">
        <f>O257-N257</f>
        <v>25</v>
      </c>
      <c r="Q257" s="14"/>
      <c r="R257" s="14"/>
      <c r="S257" s="14"/>
      <c r="T257" s="14"/>
      <c r="U257" s="14"/>
    </row>
    <row r="258" spans="1:21" ht="14.25" customHeight="1" x14ac:dyDescent="0.2">
      <c r="A258" s="2229" t="s">
        <v>20</v>
      </c>
      <c r="B258" s="2230"/>
      <c r="C258" s="2230"/>
      <c r="D258" s="2230"/>
      <c r="E258" s="2230"/>
      <c r="F258" s="2230"/>
      <c r="G258" s="2231"/>
      <c r="H258" s="776">
        <f>SUMIF(G18:G250,"SB(P)",H18:H250)</f>
        <v>0</v>
      </c>
      <c r="I258" s="894">
        <f>SUMIF(G18:G250,"SB(P)",I18:I250)</f>
        <v>0</v>
      </c>
      <c r="J258" s="917">
        <f t="shared" ref="J258:J269" si="41">I258-H258</f>
        <v>0</v>
      </c>
      <c r="K258" s="698">
        <f>SUMIF(G18:G250,"SB(P)",K18:K250)</f>
        <v>0</v>
      </c>
      <c r="L258" s="699">
        <f>SUMIF(G18:G250,"SB(P)",L18:L250)</f>
        <v>0</v>
      </c>
      <c r="M258" s="923">
        <f t="shared" si="40"/>
        <v>0</v>
      </c>
      <c r="N258" s="978">
        <f>SUMIF(G18:G250,"SB(P)",N18:N250)</f>
        <v>0</v>
      </c>
      <c r="O258" s="699">
        <f>SUMIF(G18:G250,"SB(P)",O18:O250)</f>
        <v>0</v>
      </c>
      <c r="P258" s="923">
        <f t="shared" ref="P258:P270" si="42">O258-N258</f>
        <v>0</v>
      </c>
      <c r="Q258" s="14"/>
      <c r="R258" s="14"/>
      <c r="S258" s="14"/>
      <c r="T258" s="14"/>
      <c r="U258" s="14"/>
    </row>
    <row r="259" spans="1:21" ht="14.25" customHeight="1" x14ac:dyDescent="0.2">
      <c r="A259" s="2229" t="s">
        <v>71</v>
      </c>
      <c r="B259" s="2230"/>
      <c r="C259" s="2230"/>
      <c r="D259" s="2230"/>
      <c r="E259" s="2230"/>
      <c r="F259" s="2230"/>
      <c r="G259" s="2231"/>
      <c r="H259" s="772">
        <f>SUMIF(G18:G250,"SB(VR)",H18:H250)</f>
        <v>1506.4</v>
      </c>
      <c r="I259" s="894">
        <f>SUMIF(G18:G250,"SB(VR)",I18:I250)</f>
        <v>1506.4</v>
      </c>
      <c r="J259" s="917">
        <f t="shared" si="41"/>
        <v>0</v>
      </c>
      <c r="K259" s="698">
        <f>SUMIF(G18:G250,"SB(VR)",K18:K250)</f>
        <v>1160.4000000000001</v>
      </c>
      <c r="L259" s="699">
        <f>SUMIF(G18:G250,"SB(VR)",L18:L250)</f>
        <v>1160.4000000000001</v>
      </c>
      <c r="M259" s="923">
        <f t="shared" si="40"/>
        <v>0</v>
      </c>
      <c r="N259" s="978">
        <f>SUMIF(G18:G250,"SB(VR)",N18:N250)</f>
        <v>1312.3</v>
      </c>
      <c r="O259" s="699">
        <f>SUMIF(G18:G250,"SB(VR)",O18:O250)</f>
        <v>1312.3</v>
      </c>
      <c r="P259" s="923">
        <f t="shared" si="42"/>
        <v>0</v>
      </c>
      <c r="Q259" s="14"/>
      <c r="R259" s="14"/>
      <c r="S259" s="14"/>
      <c r="T259" s="14"/>
      <c r="U259" s="14"/>
    </row>
    <row r="260" spans="1:21" ht="28.5" customHeight="1" x14ac:dyDescent="0.2">
      <c r="A260" s="2232" t="s">
        <v>290</v>
      </c>
      <c r="B260" s="2233"/>
      <c r="C260" s="2233"/>
      <c r="D260" s="2233"/>
      <c r="E260" s="2233"/>
      <c r="F260" s="2233"/>
      <c r="G260" s="2234"/>
      <c r="H260" s="918">
        <f>SUMIF(G12:G242,"SB(ES)",H12:H242)</f>
        <v>640</v>
      </c>
      <c r="I260" s="894">
        <f>SUMIF(G12:G242,"SB(ES)",I12:I242)</f>
        <v>1624.5</v>
      </c>
      <c r="J260" s="917">
        <f t="shared" ref="J260" si="43">I260-H260</f>
        <v>984.5</v>
      </c>
      <c r="K260" s="698">
        <f>SUMIF(G12:G242,"SB(ES)",K12:K242)</f>
        <v>3624.5</v>
      </c>
      <c r="L260" s="699">
        <f>SUMIF(G12:G242,"SB(ES)",L12:L242)</f>
        <v>4470.7</v>
      </c>
      <c r="M260" s="923">
        <f t="shared" ref="M260" si="44">L260-K260</f>
        <v>846.2</v>
      </c>
      <c r="N260" s="978">
        <f>SUMIF(G12:G242,"SB(ES)",N12:N242)</f>
        <v>0</v>
      </c>
      <c r="O260" s="699">
        <f>SUMIF(G12:G242,"SB(ES)",O12:O242)</f>
        <v>149.9</v>
      </c>
      <c r="P260" s="923">
        <f t="shared" ref="P260" si="45">O260-N260</f>
        <v>149.9</v>
      </c>
      <c r="Q260" s="14"/>
      <c r="R260" s="14"/>
      <c r="S260" s="14"/>
      <c r="T260" s="14"/>
      <c r="U260" s="14"/>
    </row>
    <row r="261" spans="1:21" ht="14.25" customHeight="1" x14ac:dyDescent="0.2">
      <c r="A261" s="2274" t="s">
        <v>103</v>
      </c>
      <c r="B261" s="2275"/>
      <c r="C261" s="2275"/>
      <c r="D261" s="2275"/>
      <c r="E261" s="2275"/>
      <c r="F261" s="2275"/>
      <c r="G261" s="2276"/>
      <c r="H261" s="772">
        <f>SUMIF(G18:G249,"SB(KPP)",H18:H249)</f>
        <v>3991.4</v>
      </c>
      <c r="I261" s="894">
        <f>SUMIF(G18:G249,"SB(KPP)",I18:I249)</f>
        <v>3999.1</v>
      </c>
      <c r="J261" s="894">
        <f>SUMIF(G18:G249,"SB(KPP)",J18:J249)</f>
        <v>7.7</v>
      </c>
      <c r="K261" s="698">
        <f>SUMIF(G18:G249,"SB(KPP)",K18:K249)</f>
        <v>8555</v>
      </c>
      <c r="L261" s="699">
        <f>SUMIF(G14:G249,"SB(KPP)",L14:L249)</f>
        <v>8018.1</v>
      </c>
      <c r="M261" s="923">
        <f t="shared" si="40"/>
        <v>-536.9</v>
      </c>
      <c r="N261" s="978">
        <f>SUMIF(G18:G249,"SB(KPP)",N18:N249)</f>
        <v>6375</v>
      </c>
      <c r="O261" s="699">
        <f>SUMIF(G18:G249,"SB(KPP)",O18:O249)</f>
        <v>6375</v>
      </c>
      <c r="P261" s="979">
        <f>O261-N261</f>
        <v>0</v>
      </c>
      <c r="Q261" s="14"/>
      <c r="R261" s="14"/>
      <c r="S261" s="14"/>
      <c r="T261" s="14"/>
      <c r="U261" s="14"/>
    </row>
    <row r="262" spans="1:21" ht="14.25" customHeight="1" x14ac:dyDescent="0.2">
      <c r="A262" s="2277" t="s">
        <v>101</v>
      </c>
      <c r="B262" s="2278"/>
      <c r="C262" s="2278"/>
      <c r="D262" s="2278"/>
      <c r="E262" s="2278"/>
      <c r="F262" s="2278"/>
      <c r="G262" s="2279"/>
      <c r="H262" s="777">
        <f>SUMIF(G18:G249,"SB(VRL)",H18:H249)</f>
        <v>768.9</v>
      </c>
      <c r="I262" s="895">
        <f>SUMIF(G18:G249,"SB(VRL)",I18:I249)</f>
        <v>768.9</v>
      </c>
      <c r="J262" s="919">
        <f t="shared" si="41"/>
        <v>0</v>
      </c>
      <c r="K262" s="903">
        <f>SUMIF(G21:G249,"SB(VRL)",K21:K249)</f>
        <v>0</v>
      </c>
      <c r="L262" s="904">
        <f>SUMIF(G21:G249,"SB(VRL)",L21:L249)</f>
        <v>0</v>
      </c>
      <c r="M262" s="924">
        <f t="shared" si="40"/>
        <v>0</v>
      </c>
      <c r="N262" s="980">
        <f>SUMIF(G18:G249,"SB(VRL)",N18:N249)</f>
        <v>0</v>
      </c>
      <c r="O262" s="904">
        <f>SUMIF(G18:G249,"SB(VRL)",O18:O249)</f>
        <v>0</v>
      </c>
      <c r="P262" s="924">
        <f t="shared" si="42"/>
        <v>0</v>
      </c>
      <c r="Q262" s="14"/>
      <c r="R262" s="14"/>
      <c r="S262" s="14"/>
      <c r="T262" s="14"/>
      <c r="U262" s="14"/>
    </row>
    <row r="263" spans="1:21" ht="14.25" customHeight="1" x14ac:dyDescent="0.2">
      <c r="A263" s="2280" t="s">
        <v>102</v>
      </c>
      <c r="B263" s="2278"/>
      <c r="C263" s="2278"/>
      <c r="D263" s="2278"/>
      <c r="E263" s="2278"/>
      <c r="F263" s="2278"/>
      <c r="G263" s="2279"/>
      <c r="H263" s="777">
        <f>SUMIF(G14:G250,"SB(ŽPL)",H14:H250)</f>
        <v>1526.3</v>
      </c>
      <c r="I263" s="895">
        <f>SUMIF(G14:G250,"SB(ŽPL)",I14:I250)</f>
        <v>1527.4</v>
      </c>
      <c r="J263" s="895">
        <f>SUMIF(G14:G250,"SB(ŽPL)",J14:J250)</f>
        <v>1.1000000000000001</v>
      </c>
      <c r="K263" s="903">
        <f>SUMIF(G9:G250,"SB(ŽPL)",K9:K250)</f>
        <v>0</v>
      </c>
      <c r="L263" s="904">
        <f>SUMIF(G9:G250,"SB(ŽPL)",L9:L250)</f>
        <v>198.4</v>
      </c>
      <c r="M263" s="924">
        <f t="shared" si="40"/>
        <v>198.4</v>
      </c>
      <c r="N263" s="980">
        <f>SUMIF(G18:G250,"SB(ŽPL)",N18:N250)</f>
        <v>0</v>
      </c>
      <c r="O263" s="904">
        <f>SUMIF(G18:G250,"SB(ŽPL)",O18:O250)</f>
        <v>0</v>
      </c>
      <c r="P263" s="924">
        <f t="shared" si="42"/>
        <v>0</v>
      </c>
      <c r="Q263" s="14"/>
      <c r="R263" s="14"/>
      <c r="S263" s="14"/>
      <c r="T263" s="14"/>
      <c r="U263" s="14"/>
    </row>
    <row r="264" spans="1:21" ht="14.25" customHeight="1" x14ac:dyDescent="0.2">
      <c r="A264" s="2281" t="s">
        <v>191</v>
      </c>
      <c r="B264" s="2282"/>
      <c r="C264" s="2282"/>
      <c r="D264" s="2282"/>
      <c r="E264" s="2282"/>
      <c r="F264" s="2282"/>
      <c r="G264" s="2283"/>
      <c r="H264" s="777">
        <f>SUMIF(G14:G250,"SB(L)",H14:H250)</f>
        <v>5293</v>
      </c>
      <c r="I264" s="895">
        <f>SUMIF(G14:G250,"SB(L)",I14:I250)</f>
        <v>5656</v>
      </c>
      <c r="J264" s="895">
        <f>SUMIF(G14:G250,"SB(L)",J14:J250)</f>
        <v>363</v>
      </c>
      <c r="K264" s="903">
        <f>SUMIF(G14:G250,"SB(L)",K14:K250)</f>
        <v>0</v>
      </c>
      <c r="L264" s="904">
        <f>SUMIF(G21:G250,"SB(L)",L21:L250)</f>
        <v>32</v>
      </c>
      <c r="M264" s="924">
        <f t="shared" si="40"/>
        <v>32</v>
      </c>
      <c r="N264" s="980">
        <f>SUMIF(G14:G250,"SB(L)",N14:N250)</f>
        <v>1</v>
      </c>
      <c r="O264" s="904">
        <f>SUMIF(G14:G248,"SB(L)",O14:O250)</f>
        <v>1</v>
      </c>
      <c r="P264" s="924">
        <f t="shared" si="42"/>
        <v>0</v>
      </c>
      <c r="Q264" s="994"/>
      <c r="R264" s="994"/>
      <c r="S264" s="994"/>
      <c r="T264" s="994"/>
      <c r="U264" s="994"/>
    </row>
    <row r="265" spans="1:21" ht="14.25" customHeight="1" x14ac:dyDescent="0.2">
      <c r="A265" s="2262" t="s">
        <v>15</v>
      </c>
      <c r="B265" s="2263"/>
      <c r="C265" s="2263"/>
      <c r="D265" s="2263"/>
      <c r="E265" s="2263"/>
      <c r="F265" s="2263"/>
      <c r="G265" s="2264"/>
      <c r="H265" s="778">
        <f>SUM(H266:H269)</f>
        <v>3261.8</v>
      </c>
      <c r="I265" s="896">
        <f>SUM(I266:I269)</f>
        <v>2277.3000000000002</v>
      </c>
      <c r="J265" s="896">
        <f>SUM(J266:J269)</f>
        <v>-984.5</v>
      </c>
      <c r="K265" s="897">
        <f>K267+K268+K269+K266</f>
        <v>3202.8</v>
      </c>
      <c r="L265" s="898">
        <f>L267+L268+L269+L266</f>
        <v>2356.6</v>
      </c>
      <c r="M265" s="899">
        <f t="shared" si="40"/>
        <v>-846.2</v>
      </c>
      <c r="N265" s="976">
        <f>N267+N268+N269+N266</f>
        <v>2873.9</v>
      </c>
      <c r="O265" s="898">
        <f>O267+O268+O269+O266</f>
        <v>2724</v>
      </c>
      <c r="P265" s="899">
        <f t="shared" si="42"/>
        <v>-149.9</v>
      </c>
      <c r="Q265" s="14"/>
      <c r="R265" s="14"/>
      <c r="S265" s="14"/>
      <c r="T265" s="14"/>
      <c r="U265" s="14"/>
    </row>
    <row r="266" spans="1:21" ht="14.25" customHeight="1" x14ac:dyDescent="0.2">
      <c r="A266" s="2232" t="s">
        <v>21</v>
      </c>
      <c r="B266" s="2233"/>
      <c r="C266" s="2233"/>
      <c r="D266" s="2233"/>
      <c r="E266" s="2233"/>
      <c r="F266" s="2233"/>
      <c r="G266" s="2234"/>
      <c r="H266" s="772">
        <f>SUMIF(G14:G250,"ES",H14:H250)</f>
        <v>1564</v>
      </c>
      <c r="I266" s="894">
        <f>SUMIF(G14:G250,"ES",I14:I250)</f>
        <v>579.5</v>
      </c>
      <c r="J266" s="917">
        <f>I266-H266</f>
        <v>-984.5</v>
      </c>
      <c r="K266" s="698">
        <f>SUMIF(G14:G250,"ES",K14:K250)</f>
        <v>1480.3</v>
      </c>
      <c r="L266" s="699">
        <f>SUMIF(G14:G250,"ES",L14:L250)</f>
        <v>634.1</v>
      </c>
      <c r="M266" s="923">
        <f t="shared" si="40"/>
        <v>-846.2</v>
      </c>
      <c r="N266" s="978">
        <f>SUMIF(G14:G250,"ES",N14:N250)</f>
        <v>1278.9000000000001</v>
      </c>
      <c r="O266" s="699">
        <f>SUMIF(G14:G250,"ES",O14:O250)</f>
        <v>1129</v>
      </c>
      <c r="P266" s="923">
        <f t="shared" si="42"/>
        <v>-149.9</v>
      </c>
      <c r="Q266" s="14"/>
      <c r="R266" s="14"/>
      <c r="S266" s="14"/>
      <c r="T266" s="14"/>
      <c r="U266" s="14"/>
    </row>
    <row r="267" spans="1:21" ht="14.25" customHeight="1" x14ac:dyDescent="0.2">
      <c r="A267" s="2265" t="s">
        <v>22</v>
      </c>
      <c r="B267" s="2266"/>
      <c r="C267" s="2266"/>
      <c r="D267" s="2266"/>
      <c r="E267" s="2266"/>
      <c r="F267" s="2266"/>
      <c r="G267" s="2267"/>
      <c r="H267" s="772">
        <f>SUMIF(G18:G250,"KVJUD",H18:H250)</f>
        <v>1593.4</v>
      </c>
      <c r="I267" s="894">
        <f>SUMIF(G18:G250,"KVJUD",I18:I250)</f>
        <v>1593.4</v>
      </c>
      <c r="J267" s="917">
        <f t="shared" si="41"/>
        <v>0</v>
      </c>
      <c r="K267" s="698">
        <f>SUMIF(G18:G250,"KVJUD",K18:K250)</f>
        <v>1500</v>
      </c>
      <c r="L267" s="699">
        <f>SUMIF(G18:G250,"KVJUD",L18:L250)</f>
        <v>1500</v>
      </c>
      <c r="M267" s="923">
        <f>L267-K267</f>
        <v>0</v>
      </c>
      <c r="N267" s="978">
        <f>SUMIF(G18:G250,"KVJUD",N18:N250)</f>
        <v>1500</v>
      </c>
      <c r="O267" s="699">
        <f>SUMIF(G18:G250,"KVJUD",O18:O250)</f>
        <v>1500</v>
      </c>
      <c r="P267" s="979">
        <f>SUMIF(G18:G250,"KVJUD",P18:P250)</f>
        <v>0</v>
      </c>
      <c r="Q267" s="52"/>
      <c r="R267" s="52"/>
      <c r="S267" s="52"/>
      <c r="T267" s="52"/>
      <c r="U267" s="52"/>
    </row>
    <row r="268" spans="1:21" ht="14.25" customHeight="1" x14ac:dyDescent="0.2">
      <c r="A268" s="2229" t="s">
        <v>23</v>
      </c>
      <c r="B268" s="2230"/>
      <c r="C268" s="2230"/>
      <c r="D268" s="2230"/>
      <c r="E268" s="2230"/>
      <c r="F268" s="2230"/>
      <c r="G268" s="2231"/>
      <c r="H268" s="772">
        <f>SUMIF(G18:G250,"LRVB",H18:H250)</f>
        <v>0</v>
      </c>
      <c r="I268" s="894">
        <f>SUMIF(G18:G250,"LRVB",I18:I250)</f>
        <v>0</v>
      </c>
      <c r="J268" s="917">
        <f t="shared" si="41"/>
        <v>0</v>
      </c>
      <c r="K268" s="698">
        <f>SUMIF(G18:G250,"LRVB",K18:K250)</f>
        <v>0</v>
      </c>
      <c r="L268" s="699">
        <f>SUMIF(G18:G250,"LRVB",L18:L250)</f>
        <v>0</v>
      </c>
      <c r="M268" s="923">
        <f t="shared" si="40"/>
        <v>0</v>
      </c>
      <c r="N268" s="978">
        <f>SUMIF(G18:G250,"LRVB",N18:N250)</f>
        <v>0</v>
      </c>
      <c r="O268" s="699">
        <f>SUMIF(G18:G250,"LRVB",O18:O250)</f>
        <v>0</v>
      </c>
      <c r="P268" s="923">
        <f t="shared" si="42"/>
        <v>0</v>
      </c>
      <c r="Q268" s="52"/>
      <c r="R268" s="52"/>
      <c r="S268" s="52"/>
      <c r="T268" s="52"/>
      <c r="U268" s="52"/>
    </row>
    <row r="269" spans="1:21" ht="14.25" customHeight="1" x14ac:dyDescent="0.2">
      <c r="A269" s="2268" t="s">
        <v>24</v>
      </c>
      <c r="B269" s="2269"/>
      <c r="C269" s="2269"/>
      <c r="D269" s="2269"/>
      <c r="E269" s="2269"/>
      <c r="F269" s="2269"/>
      <c r="G269" s="2270"/>
      <c r="H269" s="772">
        <f>SUMIF(G14:G250,"Kt",H14:H250)</f>
        <v>104.4</v>
      </c>
      <c r="I269" s="894">
        <f>SUMIF(G14:G250,"Kt",I14:I250)</f>
        <v>104.4</v>
      </c>
      <c r="J269" s="917">
        <f t="shared" si="41"/>
        <v>0</v>
      </c>
      <c r="K269" s="698">
        <f>SUMIF(G18:G250,"Kt",K18:K250)</f>
        <v>222.5</v>
      </c>
      <c r="L269" s="699">
        <f>SUMIF(G18:G250,"Kt",L18:L250)</f>
        <v>222.5</v>
      </c>
      <c r="M269" s="923">
        <f t="shared" si="40"/>
        <v>0</v>
      </c>
      <c r="N269" s="978">
        <f>SUMIF(G18:G250,"Kt",N18:N250)</f>
        <v>95</v>
      </c>
      <c r="O269" s="699">
        <f>SUMIF(G18:G250,"Kt",O18:O250)</f>
        <v>95</v>
      </c>
      <c r="P269" s="923">
        <f>O269-N269</f>
        <v>0</v>
      </c>
      <c r="Q269" s="52"/>
      <c r="R269" s="52"/>
      <c r="S269" s="52"/>
      <c r="T269" s="52"/>
      <c r="U269" s="52"/>
    </row>
    <row r="270" spans="1:21" ht="14.25" customHeight="1" thickBot="1" x14ac:dyDescent="0.25">
      <c r="A270" s="2271" t="s">
        <v>16</v>
      </c>
      <c r="B270" s="2272"/>
      <c r="C270" s="2272"/>
      <c r="D270" s="2272"/>
      <c r="E270" s="2272"/>
      <c r="F270" s="2272"/>
      <c r="G270" s="2273"/>
      <c r="H270" s="905">
        <f>SUM(H255,H265)</f>
        <v>27065.7</v>
      </c>
      <c r="I270" s="906">
        <f>SUM(I255,I265)</f>
        <v>28292.799999999999</v>
      </c>
      <c r="J270" s="906">
        <f>SUM(J255,J265)</f>
        <v>1227.0999999999999</v>
      </c>
      <c r="K270" s="907">
        <f>SUM(K255,K265)</f>
        <v>38270</v>
      </c>
      <c r="L270" s="908">
        <f>SUM(L255,L265)</f>
        <v>36680</v>
      </c>
      <c r="M270" s="909">
        <f t="shared" si="40"/>
        <v>-1590</v>
      </c>
      <c r="N270" s="981">
        <f>SUM(N255,N265)</f>
        <v>29831.7</v>
      </c>
      <c r="O270" s="908">
        <f>SUM(O255,O265)</f>
        <v>29856.7</v>
      </c>
      <c r="P270" s="909">
        <f t="shared" si="42"/>
        <v>25</v>
      </c>
      <c r="Q270" s="52"/>
      <c r="R270" s="52"/>
      <c r="S270" s="52"/>
      <c r="T270" s="52"/>
      <c r="U270" s="52"/>
    </row>
    <row r="271" spans="1:21" x14ac:dyDescent="0.2">
      <c r="F271" s="920"/>
      <c r="G271" s="921"/>
      <c r="H271" s="922"/>
      <c r="I271" s="922"/>
      <c r="J271" s="922"/>
      <c r="K271" s="922"/>
      <c r="L271" s="922"/>
      <c r="M271" s="922"/>
      <c r="N271" s="922"/>
      <c r="O271" s="922"/>
      <c r="P271" s="922"/>
      <c r="Q271" s="4"/>
    </row>
    <row r="272" spans="1:21" x14ac:dyDescent="0.2">
      <c r="F272" s="2249" t="s">
        <v>291</v>
      </c>
      <c r="G272" s="2249"/>
      <c r="H272" s="2249"/>
      <c r="I272" s="2249"/>
      <c r="J272" s="2249"/>
      <c r="K272" s="2249"/>
      <c r="L272" s="984"/>
      <c r="M272" s="984"/>
      <c r="N272" s="4"/>
      <c r="O272" s="993"/>
      <c r="P272" s="4"/>
      <c r="Q272" s="4"/>
    </row>
    <row r="273" spans="1:21" x14ac:dyDescent="0.2">
      <c r="F273" s="920"/>
      <c r="G273" s="921"/>
      <c r="H273" s="993"/>
      <c r="I273" s="993"/>
      <c r="J273" s="993"/>
      <c r="K273" s="993"/>
      <c r="L273" s="993"/>
      <c r="M273" s="993"/>
      <c r="N273" s="993"/>
      <c r="O273" s="993"/>
      <c r="P273" s="993"/>
      <c r="Q273" s="4"/>
    </row>
    <row r="274" spans="1:21" x14ac:dyDescent="0.2">
      <c r="A274" s="1"/>
      <c r="B274" s="1"/>
      <c r="C274" s="363"/>
      <c r="D274" s="1"/>
      <c r="E274" s="1"/>
      <c r="F274" s="1"/>
      <c r="G274" s="1"/>
      <c r="H274" s="52"/>
      <c r="I274" s="52"/>
      <c r="J274" s="52"/>
      <c r="K274" s="52"/>
      <c r="L274" s="52"/>
      <c r="M274" s="52"/>
      <c r="N274" s="52"/>
      <c r="O274" s="52"/>
      <c r="P274" s="52"/>
      <c r="Q274" s="1"/>
      <c r="R274" s="1"/>
      <c r="S274" s="1"/>
      <c r="T274" s="1"/>
      <c r="U274" s="1"/>
    </row>
    <row r="275" spans="1:21" x14ac:dyDescent="0.2">
      <c r="A275" s="1"/>
      <c r="B275" s="1"/>
      <c r="C275" s="363"/>
      <c r="D275" s="1"/>
      <c r="E275" s="1"/>
      <c r="F275" s="1"/>
      <c r="G275" s="1"/>
      <c r="H275" s="52"/>
      <c r="I275" s="52"/>
      <c r="J275" s="52"/>
      <c r="K275" s="52"/>
      <c r="L275" s="52"/>
      <c r="M275" s="52"/>
      <c r="N275" s="52"/>
      <c r="O275" s="52"/>
      <c r="P275" s="52"/>
      <c r="Q275" s="1"/>
      <c r="R275" s="1"/>
      <c r="S275" s="1"/>
      <c r="T275" s="1"/>
      <c r="U275" s="1"/>
    </row>
  </sheetData>
  <mergeCells count="296">
    <mergeCell ref="Q153:Q154"/>
    <mergeCell ref="Q151:Q152"/>
    <mergeCell ref="Q144:Q145"/>
    <mergeCell ref="U114:U118"/>
    <mergeCell ref="U47:U48"/>
    <mergeCell ref="R72:R73"/>
    <mergeCell ref="R146:R147"/>
    <mergeCell ref="S146:S147"/>
    <mergeCell ref="U146:U147"/>
    <mergeCell ref="U49:U50"/>
    <mergeCell ref="Q64:Q66"/>
    <mergeCell ref="U140:U141"/>
    <mergeCell ref="E131:E133"/>
    <mergeCell ref="E151:E152"/>
    <mergeCell ref="F151:F152"/>
    <mergeCell ref="Q146:Q147"/>
    <mergeCell ref="U68:U70"/>
    <mergeCell ref="U71:U73"/>
    <mergeCell ref="U95:U99"/>
    <mergeCell ref="D136:D137"/>
    <mergeCell ref="D140:D141"/>
    <mergeCell ref="D144:D145"/>
    <mergeCell ref="C129:G129"/>
    <mergeCell ref="D125:D126"/>
    <mergeCell ref="U84:U88"/>
    <mergeCell ref="F76:F77"/>
    <mergeCell ref="Q105:Q107"/>
    <mergeCell ref="Q100:Q101"/>
    <mergeCell ref="Q89:Q90"/>
    <mergeCell ref="Q80:Q81"/>
    <mergeCell ref="Q83:Q88"/>
    <mergeCell ref="Q72:Q73"/>
    <mergeCell ref="Q140:Q141"/>
    <mergeCell ref="Q125:Q127"/>
    <mergeCell ref="C130:U130"/>
    <mergeCell ref="U131:U134"/>
    <mergeCell ref="U31:U32"/>
    <mergeCell ref="Q31:Q32"/>
    <mergeCell ref="E49:E50"/>
    <mergeCell ref="F49:F50"/>
    <mergeCell ref="D108:D109"/>
    <mergeCell ref="D110:D111"/>
    <mergeCell ref="U110:U111"/>
    <mergeCell ref="U108:U109"/>
    <mergeCell ref="U100:U102"/>
    <mergeCell ref="D95:D97"/>
    <mergeCell ref="E95:E99"/>
    <mergeCell ref="D100:D102"/>
    <mergeCell ref="D103:D104"/>
    <mergeCell ref="D105:D107"/>
    <mergeCell ref="U33:U34"/>
    <mergeCell ref="D76:D77"/>
    <mergeCell ref="E80:E88"/>
    <mergeCell ref="F80:F88"/>
    <mergeCell ref="D71:D73"/>
    <mergeCell ref="E71:E73"/>
    <mergeCell ref="F71:F73"/>
    <mergeCell ref="E74:E75"/>
    <mergeCell ref="S80:S81"/>
    <mergeCell ref="R80:R81"/>
    <mergeCell ref="F74:F75"/>
    <mergeCell ref="D64:D68"/>
    <mergeCell ref="D74:D75"/>
    <mergeCell ref="D49:D50"/>
    <mergeCell ref="U105:U107"/>
    <mergeCell ref="T108:T109"/>
    <mergeCell ref="D123:D124"/>
    <mergeCell ref="D114:D118"/>
    <mergeCell ref="D119:D121"/>
    <mergeCell ref="U64:U67"/>
    <mergeCell ref="D80:D88"/>
    <mergeCell ref="F272:K272"/>
    <mergeCell ref="I7:I9"/>
    <mergeCell ref="L7:L9"/>
    <mergeCell ref="N7:N9"/>
    <mergeCell ref="T146:T147"/>
    <mergeCell ref="T179:T180"/>
    <mergeCell ref="T238:T239"/>
    <mergeCell ref="Q7:T7"/>
    <mergeCell ref="R8:T8"/>
    <mergeCell ref="J7:J9"/>
    <mergeCell ref="A265:G265"/>
    <mergeCell ref="A266:G266"/>
    <mergeCell ref="A267:G267"/>
    <mergeCell ref="A268:G268"/>
    <mergeCell ref="A269:G269"/>
    <mergeCell ref="A270:G270"/>
    <mergeCell ref="A259:G259"/>
    <mergeCell ref="A261:G261"/>
    <mergeCell ref="A262:G262"/>
    <mergeCell ref="A263:G263"/>
    <mergeCell ref="A264:G264"/>
    <mergeCell ref="A253:G253"/>
    <mergeCell ref="A254:G254"/>
    <mergeCell ref="A255:G255"/>
    <mergeCell ref="A256:G256"/>
    <mergeCell ref="A257:G257"/>
    <mergeCell ref="A258:G258"/>
    <mergeCell ref="A260:G260"/>
    <mergeCell ref="C248:G248"/>
    <mergeCell ref="Q248:U248"/>
    <mergeCell ref="B249:G249"/>
    <mergeCell ref="Q249:U249"/>
    <mergeCell ref="B250:G250"/>
    <mergeCell ref="Q250:U250"/>
    <mergeCell ref="R238:R239"/>
    <mergeCell ref="S238:S239"/>
    <mergeCell ref="U238:U239"/>
    <mergeCell ref="D240:D241"/>
    <mergeCell ref="Q240:Q241"/>
    <mergeCell ref="D244:D247"/>
    <mergeCell ref="E244:E247"/>
    <mergeCell ref="F244:F247"/>
    <mergeCell ref="Q246:Q247"/>
    <mergeCell ref="U240:U241"/>
    <mergeCell ref="U244:U246"/>
    <mergeCell ref="A236:A239"/>
    <mergeCell ref="B236:B239"/>
    <mergeCell ref="C236:C239"/>
    <mergeCell ref="E236:E239"/>
    <mergeCell ref="F236:F239"/>
    <mergeCell ref="Q238:Q239"/>
    <mergeCell ref="D231:D233"/>
    <mergeCell ref="A234:A235"/>
    <mergeCell ref="B234:B235"/>
    <mergeCell ref="C234:C235"/>
    <mergeCell ref="D234:D235"/>
    <mergeCell ref="Q234:Q235"/>
    <mergeCell ref="Q236:Q237"/>
    <mergeCell ref="D236:D237"/>
    <mergeCell ref="C204:G204"/>
    <mergeCell ref="Q204:U204"/>
    <mergeCell ref="C205:U205"/>
    <mergeCell ref="C211:C218"/>
    <mergeCell ref="C219:C226"/>
    <mergeCell ref="C227:C230"/>
    <mergeCell ref="F196:F197"/>
    <mergeCell ref="A198:A200"/>
    <mergeCell ref="B198:B200"/>
    <mergeCell ref="C198:C200"/>
    <mergeCell ref="D198:D200"/>
    <mergeCell ref="E198:E199"/>
    <mergeCell ref="U206:U209"/>
    <mergeCell ref="U198:U200"/>
    <mergeCell ref="A194:A195"/>
    <mergeCell ref="B194:B195"/>
    <mergeCell ref="C194:C195"/>
    <mergeCell ref="D194:D195"/>
    <mergeCell ref="E194:E195"/>
    <mergeCell ref="A196:A197"/>
    <mergeCell ref="B196:B197"/>
    <mergeCell ref="C196:C197"/>
    <mergeCell ref="D196:D197"/>
    <mergeCell ref="E196:E197"/>
    <mergeCell ref="D188:D190"/>
    <mergeCell ref="A191:A193"/>
    <mergeCell ref="B191:B193"/>
    <mergeCell ref="C191:C193"/>
    <mergeCell ref="D191:D193"/>
    <mergeCell ref="E191:E193"/>
    <mergeCell ref="U179:U180"/>
    <mergeCell ref="D181:D182"/>
    <mergeCell ref="D183:D184"/>
    <mergeCell ref="Q183:Q184"/>
    <mergeCell ref="A185:A187"/>
    <mergeCell ref="B185:B187"/>
    <mergeCell ref="C185:C187"/>
    <mergeCell ref="D185:D187"/>
    <mergeCell ref="E185:E187"/>
    <mergeCell ref="F185:F187"/>
    <mergeCell ref="U183:U184"/>
    <mergeCell ref="D172:D177"/>
    <mergeCell ref="E172:E174"/>
    <mergeCell ref="D179:D180"/>
    <mergeCell ref="Q179:Q180"/>
    <mergeCell ref="R179:R180"/>
    <mergeCell ref="S179:S180"/>
    <mergeCell ref="E162:E164"/>
    <mergeCell ref="F162:F164"/>
    <mergeCell ref="C165:G165"/>
    <mergeCell ref="Q165:U165"/>
    <mergeCell ref="C166:U166"/>
    <mergeCell ref="D167:D169"/>
    <mergeCell ref="U167:U170"/>
    <mergeCell ref="D155:D156"/>
    <mergeCell ref="A162:A164"/>
    <mergeCell ref="B162:B164"/>
    <mergeCell ref="C162:C164"/>
    <mergeCell ref="D162:D164"/>
    <mergeCell ref="A151:A152"/>
    <mergeCell ref="B151:B152"/>
    <mergeCell ref="C151:C152"/>
    <mergeCell ref="D151:D152"/>
    <mergeCell ref="D153:D154"/>
    <mergeCell ref="A148:A150"/>
    <mergeCell ref="B148:B150"/>
    <mergeCell ref="C148:C150"/>
    <mergeCell ref="D148:D150"/>
    <mergeCell ref="E148:E150"/>
    <mergeCell ref="F148:F150"/>
    <mergeCell ref="A146:A147"/>
    <mergeCell ref="B146:B147"/>
    <mergeCell ref="C146:C147"/>
    <mergeCell ref="D146:D147"/>
    <mergeCell ref="E146:E147"/>
    <mergeCell ref="F146:F147"/>
    <mergeCell ref="A91:A93"/>
    <mergeCell ref="B91:B93"/>
    <mergeCell ref="C91:C93"/>
    <mergeCell ref="D91:D93"/>
    <mergeCell ref="E91:E93"/>
    <mergeCell ref="F91:F93"/>
    <mergeCell ref="Q92:Q93"/>
    <mergeCell ref="A89:A90"/>
    <mergeCell ref="B89:B90"/>
    <mergeCell ref="C89:C90"/>
    <mergeCell ref="D89:D90"/>
    <mergeCell ref="E89:E90"/>
    <mergeCell ref="F89:F90"/>
    <mergeCell ref="A64:A70"/>
    <mergeCell ref="B64:B70"/>
    <mergeCell ref="C64:C70"/>
    <mergeCell ref="E64:E70"/>
    <mergeCell ref="F64:F70"/>
    <mergeCell ref="D51:D52"/>
    <mergeCell ref="D53:D54"/>
    <mergeCell ref="E53:E54"/>
    <mergeCell ref="F53:F54"/>
    <mergeCell ref="D56:D61"/>
    <mergeCell ref="E56:E61"/>
    <mergeCell ref="F21:F22"/>
    <mergeCell ref="Q35:Q36"/>
    <mergeCell ref="D38:D39"/>
    <mergeCell ref="E38:E42"/>
    <mergeCell ref="A43:A46"/>
    <mergeCell ref="B43:B46"/>
    <mergeCell ref="C43:C46"/>
    <mergeCell ref="D43:D46"/>
    <mergeCell ref="F43:F46"/>
    <mergeCell ref="D31:D32"/>
    <mergeCell ref="D33:D34"/>
    <mergeCell ref="F33:F34"/>
    <mergeCell ref="D35:D36"/>
    <mergeCell ref="D21:D22"/>
    <mergeCell ref="Q23:Q24"/>
    <mergeCell ref="E24:E26"/>
    <mergeCell ref="D29:D30"/>
    <mergeCell ref="E29:E30"/>
    <mergeCell ref="D23:D26"/>
    <mergeCell ref="A3:U3"/>
    <mergeCell ref="A4:U4"/>
    <mergeCell ref="A5:U5"/>
    <mergeCell ref="Q6:U6"/>
    <mergeCell ref="A7:A9"/>
    <mergeCell ref="B7:B9"/>
    <mergeCell ref="C7:C9"/>
    <mergeCell ref="D7:D9"/>
    <mergeCell ref="E7:E9"/>
    <mergeCell ref="Q8:Q9"/>
    <mergeCell ref="M7:M9"/>
    <mergeCell ref="P7:P9"/>
    <mergeCell ref="D14:D15"/>
    <mergeCell ref="E14:E17"/>
    <mergeCell ref="F7:F9"/>
    <mergeCell ref="G7:G9"/>
    <mergeCell ref="H7:H9"/>
    <mergeCell ref="K7:K9"/>
    <mergeCell ref="O7:O9"/>
    <mergeCell ref="A10:U10"/>
    <mergeCell ref="A11:U11"/>
    <mergeCell ref="B12:U12"/>
    <mergeCell ref="C13:U13"/>
    <mergeCell ref="U27:U28"/>
    <mergeCell ref="U51:U52"/>
    <mergeCell ref="A27:A28"/>
    <mergeCell ref="B27:B28"/>
    <mergeCell ref="C27:C28"/>
    <mergeCell ref="D27:D28"/>
    <mergeCell ref="F27:F28"/>
    <mergeCell ref="Q19:Q20"/>
    <mergeCell ref="A21:A22"/>
    <mergeCell ref="B21:B22"/>
    <mergeCell ref="C21:C22"/>
    <mergeCell ref="A18:A20"/>
    <mergeCell ref="B18:B20"/>
    <mergeCell ref="C18:C20"/>
    <mergeCell ref="D18:D20"/>
    <mergeCell ref="F18:F20"/>
    <mergeCell ref="E19:E20"/>
    <mergeCell ref="U23:U25"/>
    <mergeCell ref="U21:U22"/>
    <mergeCell ref="A47:A48"/>
    <mergeCell ref="B47:B48"/>
    <mergeCell ref="C47:C48"/>
    <mergeCell ref="D47:D48"/>
    <mergeCell ref="F47:F48"/>
  </mergeCells>
  <printOptions horizontalCentered="1"/>
  <pageMargins left="0.19685039370078741" right="0.19685039370078741" top="0.59055118110236227" bottom="0" header="0" footer="0"/>
  <pageSetup paperSize="9" scale="68" orientation="landscape" r:id="rId1"/>
  <headerFooter alignWithMargins="0"/>
  <rowBreaks count="5" manualBreakCount="5">
    <brk id="63" max="20" man="1"/>
    <brk id="94" max="20" man="1"/>
    <brk id="124" max="20" man="1"/>
    <brk id="154" max="20" man="1"/>
    <brk id="251" max="20"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273"/>
  <sheetViews>
    <sheetView tabSelected="1" zoomScaleNormal="100" zoomScaleSheetLayoutView="100" workbookViewId="0">
      <selection activeCell="U16" sqref="U15:U16"/>
    </sheetView>
  </sheetViews>
  <sheetFormatPr defaultRowHeight="12.75" x14ac:dyDescent="0.2"/>
  <cols>
    <col min="1" max="3" width="2.7109375" style="2" customWidth="1"/>
    <col min="4" max="4" width="36.28515625" style="2" customWidth="1"/>
    <col min="5" max="5" width="3.28515625" style="8" customWidth="1"/>
    <col min="6" max="6" width="3" style="11" customWidth="1"/>
    <col min="7" max="7" width="7.85546875" style="3" customWidth="1"/>
    <col min="8" max="8" width="8.85546875" style="2" customWidth="1"/>
    <col min="9" max="10" width="9" style="2" customWidth="1"/>
    <col min="11" max="11" width="39.85546875" style="2" customWidth="1"/>
    <col min="12" max="14" width="4.7109375" style="2" customWidth="1"/>
    <col min="15" max="16384" width="9.140625" style="1"/>
  </cols>
  <sheetData>
    <row r="1" spans="1:53" s="158" customFormat="1" ht="34.5" customHeight="1" x14ac:dyDescent="0.25">
      <c r="B1" s="579"/>
      <c r="C1" s="579"/>
      <c r="D1" s="579"/>
      <c r="E1" s="579"/>
      <c r="K1" s="2438" t="s">
        <v>467</v>
      </c>
      <c r="L1" s="2438"/>
      <c r="M1" s="2438"/>
      <c r="N1" s="2438"/>
      <c r="P1" s="579"/>
      <c r="Q1" s="579"/>
      <c r="R1" s="579"/>
      <c r="S1" s="579"/>
      <c r="T1" s="579"/>
      <c r="U1" s="579"/>
      <c r="V1" s="579"/>
      <c r="W1" s="579"/>
      <c r="X1" s="579"/>
      <c r="Y1" s="579"/>
      <c r="Z1" s="579"/>
      <c r="AA1" s="579"/>
      <c r="AB1" s="579"/>
      <c r="AC1" s="579"/>
      <c r="AD1" s="579"/>
      <c r="AE1" s="579"/>
      <c r="AF1" s="579"/>
      <c r="AG1" s="579"/>
      <c r="AH1" s="579"/>
      <c r="AI1" s="579"/>
      <c r="AJ1" s="579"/>
      <c r="AK1" s="579"/>
      <c r="AL1" s="579"/>
      <c r="AM1" s="579"/>
      <c r="AN1" s="579"/>
      <c r="AO1" s="579"/>
      <c r="AP1" s="579"/>
      <c r="AQ1" s="579"/>
      <c r="AR1" s="579"/>
      <c r="AS1" s="579"/>
      <c r="AT1" s="579"/>
      <c r="AU1" s="579"/>
      <c r="AV1" s="579"/>
      <c r="AW1" s="579"/>
      <c r="AX1" s="579"/>
      <c r="AY1" s="579"/>
      <c r="AZ1" s="579"/>
      <c r="BA1" s="579"/>
    </row>
    <row r="2" spans="1:53" s="158" customFormat="1" ht="15.75" customHeight="1" x14ac:dyDescent="0.25">
      <c r="B2" s="579"/>
      <c r="C2" s="579"/>
      <c r="D2" s="579"/>
      <c r="E2" s="579"/>
      <c r="K2" s="2025" t="s">
        <v>466</v>
      </c>
      <c r="L2" s="2025"/>
      <c r="M2" s="2025"/>
      <c r="N2" s="2025"/>
      <c r="P2" s="579"/>
      <c r="Q2" s="579"/>
      <c r="R2" s="579"/>
      <c r="S2" s="579"/>
      <c r="T2" s="579"/>
      <c r="U2" s="579"/>
      <c r="V2" s="579"/>
      <c r="W2" s="579"/>
      <c r="X2" s="579"/>
      <c r="Y2" s="579"/>
      <c r="Z2" s="579"/>
      <c r="AA2" s="579"/>
      <c r="AB2" s="579"/>
      <c r="AC2" s="579"/>
      <c r="AD2" s="579"/>
      <c r="AE2" s="579"/>
      <c r="AF2" s="579"/>
      <c r="AG2" s="579"/>
      <c r="AH2" s="579"/>
      <c r="AI2" s="579"/>
      <c r="AJ2" s="579"/>
      <c r="AK2" s="579"/>
      <c r="AL2" s="579"/>
      <c r="AM2" s="579"/>
      <c r="AN2" s="579"/>
      <c r="AO2" s="579"/>
      <c r="AP2" s="579"/>
      <c r="AQ2" s="579"/>
      <c r="AR2" s="579"/>
      <c r="AS2" s="579"/>
      <c r="AT2" s="579"/>
      <c r="AU2" s="579"/>
      <c r="AV2" s="579"/>
      <c r="AW2" s="579"/>
      <c r="AX2" s="579"/>
      <c r="AY2" s="579"/>
      <c r="AZ2" s="579"/>
      <c r="BA2" s="579"/>
    </row>
    <row r="3" spans="1:53" s="158" customFormat="1" ht="12.75" customHeight="1" x14ac:dyDescent="0.25">
      <c r="B3" s="579"/>
      <c r="C3" s="579"/>
      <c r="D3" s="579"/>
      <c r="E3" s="579"/>
      <c r="K3" s="1808"/>
      <c r="L3" s="1808"/>
      <c r="M3" s="1808"/>
      <c r="N3" s="1808"/>
      <c r="P3" s="579"/>
      <c r="Q3" s="579"/>
      <c r="R3" s="579"/>
      <c r="S3" s="579"/>
      <c r="T3" s="579"/>
      <c r="U3" s="579"/>
      <c r="V3" s="579"/>
      <c r="W3" s="579"/>
      <c r="X3" s="579"/>
      <c r="Y3" s="579"/>
      <c r="Z3" s="579"/>
      <c r="AA3" s="579"/>
      <c r="AB3" s="579"/>
      <c r="AC3" s="579"/>
      <c r="AD3" s="579"/>
      <c r="AE3" s="579"/>
      <c r="AF3" s="579"/>
      <c r="AG3" s="579"/>
      <c r="AH3" s="579"/>
      <c r="AI3" s="579"/>
      <c r="AJ3" s="579"/>
      <c r="AK3" s="579"/>
      <c r="AL3" s="579"/>
      <c r="AM3" s="579"/>
      <c r="AN3" s="579"/>
      <c r="AO3" s="579"/>
      <c r="AP3" s="579"/>
      <c r="AQ3" s="579"/>
      <c r="AR3" s="579"/>
      <c r="AS3" s="579"/>
      <c r="AT3" s="579"/>
      <c r="AU3" s="579"/>
      <c r="AV3" s="579"/>
      <c r="AW3" s="579"/>
      <c r="AX3" s="579"/>
      <c r="AY3" s="579"/>
      <c r="AZ3" s="579"/>
      <c r="BA3" s="579"/>
    </row>
    <row r="4" spans="1:53" s="158" customFormat="1" ht="13.5" customHeight="1" x14ac:dyDescent="0.25">
      <c r="B4" s="579"/>
      <c r="C4" s="579"/>
      <c r="D4" s="579"/>
      <c r="E4" s="579"/>
      <c r="K4" s="1808"/>
      <c r="L4" s="1808"/>
      <c r="M4" s="1808"/>
      <c r="N4" s="1808"/>
      <c r="P4" s="579"/>
      <c r="Q4" s="579"/>
      <c r="R4" s="579"/>
      <c r="S4" s="579"/>
      <c r="T4" s="579"/>
      <c r="U4" s="579"/>
      <c r="V4" s="579"/>
      <c r="W4" s="579"/>
      <c r="X4" s="579"/>
      <c r="Y4" s="579"/>
      <c r="Z4" s="579"/>
      <c r="AA4" s="579"/>
      <c r="AB4" s="579"/>
      <c r="AC4" s="579"/>
      <c r="AD4" s="579"/>
      <c r="AE4" s="579"/>
      <c r="AF4" s="579"/>
      <c r="AG4" s="579"/>
      <c r="AH4" s="579"/>
      <c r="AI4" s="579"/>
      <c r="AJ4" s="579"/>
      <c r="AK4" s="579"/>
      <c r="AL4" s="579"/>
      <c r="AM4" s="579"/>
      <c r="AN4" s="579"/>
      <c r="AO4" s="579"/>
      <c r="AP4" s="579"/>
      <c r="AQ4" s="579"/>
      <c r="AR4" s="579"/>
      <c r="AS4" s="579"/>
      <c r="AT4" s="579"/>
      <c r="AU4" s="579"/>
      <c r="AV4" s="579"/>
      <c r="AW4" s="579"/>
      <c r="AX4" s="579"/>
      <c r="AY4" s="579"/>
      <c r="AZ4" s="579"/>
      <c r="BA4" s="579"/>
    </row>
    <row r="5" spans="1:53" s="39" customFormat="1" ht="15" x14ac:dyDescent="0.2">
      <c r="A5" s="2076" t="s">
        <v>468</v>
      </c>
      <c r="B5" s="2076"/>
      <c r="C5" s="2076"/>
      <c r="D5" s="2076"/>
      <c r="E5" s="2076"/>
      <c r="F5" s="2076"/>
      <c r="G5" s="2076"/>
      <c r="H5" s="2076"/>
      <c r="I5" s="2076"/>
      <c r="J5" s="2076"/>
      <c r="K5" s="2076"/>
      <c r="L5" s="2076"/>
      <c r="M5" s="2076"/>
      <c r="N5" s="2076"/>
      <c r="P5" s="989"/>
      <c r="Q5" s="989"/>
      <c r="R5" s="989"/>
      <c r="S5" s="989"/>
      <c r="T5" s="989"/>
      <c r="U5" s="989"/>
      <c r="V5" s="989"/>
      <c r="W5" s="989"/>
      <c r="X5" s="989"/>
      <c r="Y5" s="989"/>
      <c r="Z5" s="989"/>
      <c r="AA5" s="989"/>
      <c r="AB5" s="989"/>
      <c r="AC5" s="989"/>
      <c r="AD5" s="989"/>
      <c r="AE5" s="989"/>
      <c r="AF5" s="989"/>
      <c r="AG5" s="989"/>
      <c r="AH5" s="989"/>
      <c r="AI5" s="989"/>
      <c r="AJ5" s="989"/>
      <c r="AK5" s="989"/>
      <c r="AL5" s="989"/>
      <c r="AM5" s="989"/>
      <c r="AN5" s="989"/>
      <c r="AO5" s="989"/>
      <c r="AP5" s="989"/>
      <c r="AQ5" s="989"/>
      <c r="AR5" s="989"/>
      <c r="AS5" s="989"/>
      <c r="AT5" s="989"/>
      <c r="AU5" s="989"/>
      <c r="AV5" s="989"/>
      <c r="AW5" s="989"/>
      <c r="AX5" s="989"/>
      <c r="AY5" s="989"/>
      <c r="AZ5" s="989"/>
      <c r="BA5" s="989"/>
    </row>
    <row r="6" spans="1:53" ht="15.75" customHeight="1" x14ac:dyDescent="0.2">
      <c r="A6" s="2077" t="s">
        <v>29</v>
      </c>
      <c r="B6" s="2077"/>
      <c r="C6" s="2077"/>
      <c r="D6" s="2077"/>
      <c r="E6" s="2077"/>
      <c r="F6" s="2077"/>
      <c r="G6" s="2077"/>
      <c r="H6" s="2077"/>
      <c r="I6" s="2077"/>
      <c r="J6" s="2077"/>
      <c r="K6" s="2077"/>
      <c r="L6" s="2077"/>
      <c r="M6" s="2077"/>
      <c r="N6" s="2077"/>
      <c r="P6" s="929"/>
      <c r="Q6" s="929"/>
      <c r="R6" s="929"/>
      <c r="S6" s="929"/>
      <c r="T6" s="929"/>
      <c r="U6" s="929"/>
      <c r="V6" s="929"/>
      <c r="W6" s="929"/>
      <c r="X6" s="929"/>
      <c r="Y6" s="929"/>
      <c r="Z6" s="929"/>
      <c r="AA6" s="929"/>
      <c r="AB6" s="929"/>
      <c r="AC6" s="929"/>
      <c r="AD6" s="929"/>
      <c r="AE6" s="929"/>
      <c r="AF6" s="929"/>
      <c r="AG6" s="929"/>
      <c r="AH6" s="929"/>
      <c r="AI6" s="929"/>
      <c r="AJ6" s="929"/>
      <c r="AK6" s="929"/>
      <c r="AL6" s="929"/>
      <c r="AM6" s="929"/>
      <c r="AN6" s="929"/>
      <c r="AO6" s="929"/>
      <c r="AP6" s="929"/>
      <c r="AQ6" s="929"/>
      <c r="AR6" s="929"/>
      <c r="AS6" s="929"/>
      <c r="AT6" s="929"/>
      <c r="AU6" s="929"/>
      <c r="AV6" s="929"/>
      <c r="AW6" s="929"/>
      <c r="AX6" s="929"/>
      <c r="AY6" s="929"/>
      <c r="AZ6" s="929"/>
      <c r="BA6" s="929"/>
    </row>
    <row r="7" spans="1:53" ht="15" customHeight="1" x14ac:dyDescent="0.2">
      <c r="A7" s="2078" t="s">
        <v>17</v>
      </c>
      <c r="B7" s="2078"/>
      <c r="C7" s="2078"/>
      <c r="D7" s="2078"/>
      <c r="E7" s="2078"/>
      <c r="F7" s="2078"/>
      <c r="G7" s="2078"/>
      <c r="H7" s="2078"/>
      <c r="I7" s="2078"/>
      <c r="J7" s="2078"/>
      <c r="K7" s="2078"/>
      <c r="L7" s="2078"/>
      <c r="M7" s="2078"/>
      <c r="N7" s="2078"/>
      <c r="P7" s="929"/>
      <c r="Q7" s="929"/>
      <c r="R7" s="929"/>
      <c r="S7" s="929"/>
      <c r="T7" s="929"/>
      <c r="U7" s="929"/>
      <c r="V7" s="929"/>
      <c r="W7" s="929"/>
      <c r="X7" s="929"/>
      <c r="Y7" s="929"/>
      <c r="Z7" s="929"/>
      <c r="AA7" s="929"/>
      <c r="AB7" s="929"/>
      <c r="AC7" s="929"/>
      <c r="AD7" s="929"/>
      <c r="AE7" s="929"/>
      <c r="AF7" s="929"/>
      <c r="AG7" s="929"/>
      <c r="AH7" s="929"/>
      <c r="AI7" s="929"/>
      <c r="AJ7" s="929"/>
      <c r="AK7" s="929"/>
      <c r="AL7" s="929"/>
      <c r="AM7" s="929"/>
      <c r="AN7" s="929"/>
      <c r="AO7" s="929"/>
      <c r="AP7" s="929"/>
      <c r="AQ7" s="929"/>
      <c r="AR7" s="929"/>
      <c r="AS7" s="929"/>
      <c r="AT7" s="929"/>
      <c r="AU7" s="929"/>
      <c r="AV7" s="929"/>
      <c r="AW7" s="929"/>
      <c r="AX7" s="929"/>
      <c r="AY7" s="929"/>
      <c r="AZ7" s="929"/>
      <c r="BA7" s="929"/>
    </row>
    <row r="8" spans="1:53" ht="14.25" customHeight="1" thickBot="1" x14ac:dyDescent="0.25">
      <c r="A8" s="15"/>
      <c r="B8" s="15"/>
      <c r="C8" s="576"/>
      <c r="D8" s="15"/>
      <c r="E8" s="16"/>
      <c r="F8" s="17"/>
      <c r="G8" s="250"/>
      <c r="H8" s="15"/>
      <c r="I8" s="15"/>
      <c r="J8" s="15"/>
      <c r="K8" s="2079" t="s">
        <v>117</v>
      </c>
      <c r="L8" s="2079"/>
      <c r="M8" s="2079"/>
      <c r="N8" s="2080"/>
      <c r="P8" s="929"/>
      <c r="Q8" s="929"/>
      <c r="R8" s="929"/>
      <c r="S8" s="929"/>
      <c r="T8" s="929"/>
      <c r="U8" s="929"/>
      <c r="V8" s="929"/>
      <c r="W8" s="929"/>
      <c r="X8" s="929"/>
      <c r="Y8" s="929"/>
      <c r="Z8" s="929"/>
      <c r="AA8" s="929"/>
      <c r="AB8" s="929"/>
      <c r="AC8" s="929"/>
      <c r="AD8" s="929"/>
      <c r="AE8" s="929"/>
      <c r="AF8" s="929"/>
      <c r="AG8" s="929"/>
      <c r="AH8" s="929"/>
      <c r="AI8" s="929"/>
      <c r="AJ8" s="929"/>
      <c r="AK8" s="929"/>
      <c r="AL8" s="929"/>
      <c r="AM8" s="929"/>
      <c r="AN8" s="929"/>
      <c r="AO8" s="929"/>
      <c r="AP8" s="929"/>
      <c r="AQ8" s="929"/>
      <c r="AR8" s="929"/>
      <c r="AS8" s="929"/>
      <c r="AT8" s="929"/>
      <c r="AU8" s="929"/>
      <c r="AV8" s="929"/>
      <c r="AW8" s="929"/>
      <c r="AX8" s="929"/>
      <c r="AY8" s="929"/>
      <c r="AZ8" s="929"/>
      <c r="BA8" s="929"/>
    </row>
    <row r="9" spans="1:53" s="39" customFormat="1" ht="30" customHeight="1" x14ac:dyDescent="0.2">
      <c r="A9" s="2373" t="s">
        <v>18</v>
      </c>
      <c r="B9" s="2376" t="s">
        <v>0</v>
      </c>
      <c r="C9" s="2376" t="s">
        <v>1</v>
      </c>
      <c r="D9" s="2379" t="s">
        <v>12</v>
      </c>
      <c r="E9" s="2364" t="s">
        <v>2</v>
      </c>
      <c r="F9" s="2367" t="s">
        <v>3</v>
      </c>
      <c r="G9" s="2370" t="s">
        <v>4</v>
      </c>
      <c r="H9" s="2359" t="s">
        <v>322</v>
      </c>
      <c r="I9" s="2359" t="s">
        <v>186</v>
      </c>
      <c r="J9" s="2359" t="s">
        <v>311</v>
      </c>
      <c r="K9" s="2259" t="s">
        <v>11</v>
      </c>
      <c r="L9" s="2260"/>
      <c r="M9" s="2260"/>
      <c r="N9" s="2362"/>
      <c r="P9" s="1"/>
    </row>
    <row r="10" spans="1:53" s="39" customFormat="1" ht="18.75" customHeight="1" x14ac:dyDescent="0.2">
      <c r="A10" s="2374"/>
      <c r="B10" s="2377"/>
      <c r="C10" s="2377"/>
      <c r="D10" s="2380"/>
      <c r="E10" s="2365"/>
      <c r="F10" s="2368"/>
      <c r="G10" s="2371"/>
      <c r="H10" s="2360"/>
      <c r="I10" s="2360"/>
      <c r="J10" s="2360"/>
      <c r="K10" s="2090" t="s">
        <v>12</v>
      </c>
      <c r="L10" s="2261"/>
      <c r="M10" s="2261"/>
      <c r="N10" s="2363"/>
      <c r="P10" s="1"/>
    </row>
    <row r="11" spans="1:53" s="39" customFormat="1" ht="54" customHeight="1" thickBot="1" x14ac:dyDescent="0.25">
      <c r="A11" s="2375"/>
      <c r="B11" s="2378"/>
      <c r="C11" s="2378"/>
      <c r="D11" s="2381"/>
      <c r="E11" s="2366"/>
      <c r="F11" s="2369"/>
      <c r="G11" s="2372"/>
      <c r="H11" s="2361"/>
      <c r="I11" s="2361"/>
      <c r="J11" s="2361"/>
      <c r="K11" s="2091"/>
      <c r="L11" s="160" t="s">
        <v>128</v>
      </c>
      <c r="M11" s="160" t="s">
        <v>187</v>
      </c>
      <c r="N11" s="161" t="s">
        <v>312</v>
      </c>
      <c r="P11" s="1"/>
    </row>
    <row r="12" spans="1:53" s="10" customFormat="1" ht="14.25" customHeight="1" x14ac:dyDescent="0.2">
      <c r="A12" s="2064" t="s">
        <v>63</v>
      </c>
      <c r="B12" s="2065"/>
      <c r="C12" s="2065"/>
      <c r="D12" s="2065"/>
      <c r="E12" s="2065"/>
      <c r="F12" s="2065"/>
      <c r="G12" s="2065"/>
      <c r="H12" s="2065"/>
      <c r="I12" s="2065"/>
      <c r="J12" s="2065"/>
      <c r="K12" s="2065"/>
      <c r="L12" s="2065"/>
      <c r="M12" s="2065"/>
      <c r="N12" s="2066"/>
      <c r="P12" s="1"/>
    </row>
    <row r="13" spans="1:53" s="10" customFormat="1" ht="14.25" customHeight="1" x14ac:dyDescent="0.2">
      <c r="A13" s="2067" t="s">
        <v>26</v>
      </c>
      <c r="B13" s="2068"/>
      <c r="C13" s="2068"/>
      <c r="D13" s="2068"/>
      <c r="E13" s="2068"/>
      <c r="F13" s="2068"/>
      <c r="G13" s="2068"/>
      <c r="H13" s="2068"/>
      <c r="I13" s="2068"/>
      <c r="J13" s="2068"/>
      <c r="K13" s="2068"/>
      <c r="L13" s="2068"/>
      <c r="M13" s="2068"/>
      <c r="N13" s="2069"/>
      <c r="P13" s="1"/>
    </row>
    <row r="14" spans="1:53" ht="16.5" customHeight="1" x14ac:dyDescent="0.2">
      <c r="A14" s="18" t="s">
        <v>5</v>
      </c>
      <c r="B14" s="2070" t="s">
        <v>30</v>
      </c>
      <c r="C14" s="2071"/>
      <c r="D14" s="2071"/>
      <c r="E14" s="2071"/>
      <c r="F14" s="2071"/>
      <c r="G14" s="2071"/>
      <c r="H14" s="2071"/>
      <c r="I14" s="2071"/>
      <c r="J14" s="2071"/>
      <c r="K14" s="2071"/>
      <c r="L14" s="2071"/>
      <c r="M14" s="2071"/>
      <c r="N14" s="2072"/>
    </row>
    <row r="15" spans="1:53" ht="15" customHeight="1" x14ac:dyDescent="0.2">
      <c r="A15" s="249" t="s">
        <v>5</v>
      </c>
      <c r="B15" s="13" t="s">
        <v>5</v>
      </c>
      <c r="C15" s="2073" t="s">
        <v>31</v>
      </c>
      <c r="D15" s="2074"/>
      <c r="E15" s="2074"/>
      <c r="F15" s="2074"/>
      <c r="G15" s="2074"/>
      <c r="H15" s="2074"/>
      <c r="I15" s="2074"/>
      <c r="J15" s="2074"/>
      <c r="K15" s="2074"/>
      <c r="L15" s="2074"/>
      <c r="M15" s="2074"/>
      <c r="N15" s="2075"/>
    </row>
    <row r="16" spans="1:53" ht="14.1" customHeight="1" x14ac:dyDescent="0.2">
      <c r="A16" s="1826" t="s">
        <v>5</v>
      </c>
      <c r="B16" s="1840" t="s">
        <v>5</v>
      </c>
      <c r="C16" s="1830" t="s">
        <v>5</v>
      </c>
      <c r="D16" s="2439" t="s">
        <v>49</v>
      </c>
      <c r="E16" s="2440" t="s">
        <v>90</v>
      </c>
      <c r="F16" s="1839" t="s">
        <v>43</v>
      </c>
      <c r="G16" s="48" t="s">
        <v>25</v>
      </c>
      <c r="H16" s="581">
        <v>914.8</v>
      </c>
      <c r="I16" s="581">
        <v>233</v>
      </c>
      <c r="J16" s="581">
        <v>563.6</v>
      </c>
      <c r="K16" s="343"/>
      <c r="L16" s="344"/>
      <c r="M16" s="363"/>
      <c r="N16" s="346"/>
    </row>
    <row r="17" spans="1:14" ht="14.1" customHeight="1" x14ac:dyDescent="0.2">
      <c r="A17" s="1826"/>
      <c r="B17" s="1840"/>
      <c r="C17" s="1830"/>
      <c r="D17" s="2047"/>
      <c r="E17" s="2441"/>
      <c r="F17" s="1839"/>
      <c r="G17" s="48" t="s">
        <v>62</v>
      </c>
      <c r="H17" s="581">
        <v>101.5</v>
      </c>
      <c r="I17" s="580"/>
      <c r="J17" s="581"/>
      <c r="K17" s="343"/>
      <c r="L17" s="344"/>
      <c r="M17" s="363"/>
      <c r="N17" s="347"/>
    </row>
    <row r="18" spans="1:14" ht="14.1" customHeight="1" x14ac:dyDescent="0.2">
      <c r="A18" s="1826"/>
      <c r="B18" s="1840"/>
      <c r="C18" s="1830"/>
      <c r="D18" s="2048"/>
      <c r="E18" s="2394"/>
      <c r="F18" s="1839"/>
      <c r="G18" s="48" t="s">
        <v>104</v>
      </c>
      <c r="H18" s="581">
        <v>480.6</v>
      </c>
      <c r="I18" s="580"/>
      <c r="J18" s="581"/>
      <c r="K18" s="343"/>
      <c r="L18" s="344"/>
      <c r="M18" s="363"/>
      <c r="N18" s="347"/>
    </row>
    <row r="19" spans="1:14" ht="14.1" customHeight="1" x14ac:dyDescent="0.2">
      <c r="A19" s="1826"/>
      <c r="B19" s="1840"/>
      <c r="C19" s="1830"/>
      <c r="D19" s="56"/>
      <c r="E19" s="1933"/>
      <c r="F19" s="1839"/>
      <c r="G19" s="48" t="s">
        <v>105</v>
      </c>
      <c r="H19" s="581">
        <v>1100</v>
      </c>
      <c r="I19" s="580"/>
      <c r="J19" s="581">
        <v>96.4</v>
      </c>
      <c r="K19" s="343"/>
      <c r="L19" s="344"/>
      <c r="M19" s="363"/>
      <c r="N19" s="347"/>
    </row>
    <row r="20" spans="1:14" ht="14.1" customHeight="1" x14ac:dyDescent="0.2">
      <c r="A20" s="1826"/>
      <c r="B20" s="1840"/>
      <c r="C20" s="1830"/>
      <c r="D20" s="56"/>
      <c r="E20" s="1933"/>
      <c r="F20" s="1839"/>
      <c r="G20" s="48" t="s">
        <v>361</v>
      </c>
      <c r="H20" s="581"/>
      <c r="I20" s="836"/>
      <c r="J20" s="581">
        <v>44.7</v>
      </c>
      <c r="K20" s="343"/>
      <c r="L20" s="344"/>
      <c r="M20" s="363"/>
      <c r="N20" s="347"/>
    </row>
    <row r="21" spans="1:14" ht="14.1" customHeight="1" x14ac:dyDescent="0.2">
      <c r="A21" s="1826"/>
      <c r="B21" s="1840"/>
      <c r="C21" s="1830"/>
      <c r="D21" s="56"/>
      <c r="E21" s="1933"/>
      <c r="F21" s="1839"/>
      <c r="G21" s="48" t="s">
        <v>48</v>
      </c>
      <c r="H21" s="581">
        <v>162.4</v>
      </c>
      <c r="I21" s="580"/>
      <c r="J21" s="581"/>
      <c r="K21" s="343"/>
      <c r="L21" s="344"/>
      <c r="M21" s="363"/>
      <c r="N21" s="347"/>
    </row>
    <row r="22" spans="1:14" ht="14.1" customHeight="1" x14ac:dyDescent="0.2">
      <c r="A22" s="1826"/>
      <c r="B22" s="1840"/>
      <c r="C22" s="1830"/>
      <c r="D22" s="56"/>
      <c r="E22" s="1933"/>
      <c r="F22" s="1839"/>
      <c r="G22" s="48" t="s">
        <v>44</v>
      </c>
      <c r="H22" s="581"/>
      <c r="I22" s="580">
        <v>850</v>
      </c>
      <c r="J22" s="581">
        <v>1329.7</v>
      </c>
      <c r="K22" s="343"/>
      <c r="L22" s="344"/>
      <c r="M22" s="363"/>
      <c r="N22" s="347"/>
    </row>
    <row r="23" spans="1:14" ht="18.75" customHeight="1" x14ac:dyDescent="0.2">
      <c r="A23" s="1826"/>
      <c r="B23" s="1840"/>
      <c r="C23" s="1830"/>
      <c r="D23" s="2101" t="s">
        <v>266</v>
      </c>
      <c r="E23" s="1308" t="s">
        <v>47</v>
      </c>
      <c r="F23" s="1830"/>
      <c r="G23" s="1660"/>
      <c r="H23" s="1660"/>
      <c r="I23" s="91"/>
      <c r="J23" s="1660"/>
      <c r="K23" s="2343" t="s">
        <v>475</v>
      </c>
      <c r="L23" s="372"/>
      <c r="M23" s="1276" t="s">
        <v>56</v>
      </c>
      <c r="N23" s="472"/>
    </row>
    <row r="24" spans="1:14" ht="33" customHeight="1" x14ac:dyDescent="0.2">
      <c r="A24" s="1826"/>
      <c r="B24" s="1840"/>
      <c r="C24" s="1830"/>
      <c r="D24" s="2108"/>
      <c r="E24" s="2195" t="s">
        <v>329</v>
      </c>
      <c r="F24" s="1839"/>
      <c r="G24" s="65"/>
      <c r="H24" s="65"/>
      <c r="I24" s="87"/>
      <c r="J24" s="65"/>
      <c r="K24" s="2384"/>
      <c r="L24" s="1278"/>
      <c r="M24" s="1279"/>
      <c r="N24" s="583"/>
    </row>
    <row r="25" spans="1:14" ht="24.75" customHeight="1" x14ac:dyDescent="0.2">
      <c r="A25" s="1826"/>
      <c r="B25" s="1840"/>
      <c r="C25" s="1830"/>
      <c r="D25" s="2108"/>
      <c r="E25" s="2385"/>
      <c r="F25" s="1839"/>
      <c r="G25" s="65"/>
      <c r="H25" s="65"/>
      <c r="I25" s="87"/>
      <c r="J25" s="1661"/>
      <c r="K25" s="237" t="s">
        <v>363</v>
      </c>
      <c r="L25" s="1278"/>
      <c r="M25" s="1279" t="s">
        <v>359</v>
      </c>
      <c r="N25" s="583" t="s">
        <v>360</v>
      </c>
    </row>
    <row r="26" spans="1:14" ht="27.75" customHeight="1" x14ac:dyDescent="0.2">
      <c r="A26" s="2029"/>
      <c r="B26" s="2030"/>
      <c r="C26" s="2031"/>
      <c r="D26" s="2037" t="s">
        <v>362</v>
      </c>
      <c r="E26" s="312" t="s">
        <v>47</v>
      </c>
      <c r="F26" s="2031"/>
      <c r="G26" s="317"/>
      <c r="H26" s="1656"/>
      <c r="I26" s="128"/>
      <c r="J26" s="1660"/>
      <c r="K26" s="1864" t="s">
        <v>159</v>
      </c>
      <c r="L26" s="1806">
        <v>2</v>
      </c>
      <c r="M26" s="471"/>
      <c r="N26" s="472"/>
    </row>
    <row r="27" spans="1:14" ht="27.75" customHeight="1" x14ac:dyDescent="0.2">
      <c r="A27" s="2029"/>
      <c r="B27" s="2030"/>
      <c r="C27" s="2031"/>
      <c r="D27" s="2038"/>
      <c r="E27" s="2040" t="s">
        <v>116</v>
      </c>
      <c r="F27" s="2031"/>
      <c r="G27" s="48"/>
      <c r="H27" s="67"/>
      <c r="I27" s="103"/>
      <c r="J27" s="65"/>
      <c r="K27" s="45" t="s">
        <v>317</v>
      </c>
      <c r="L27" s="368">
        <v>1</v>
      </c>
      <c r="M27" s="822"/>
      <c r="N27" s="583"/>
    </row>
    <row r="28" spans="1:14" ht="23.25" customHeight="1" x14ac:dyDescent="0.2">
      <c r="A28" s="2029"/>
      <c r="B28" s="2030"/>
      <c r="C28" s="2031"/>
      <c r="D28" s="2038"/>
      <c r="E28" s="2386"/>
      <c r="F28" s="2031"/>
      <c r="G28" s="48"/>
      <c r="H28" s="67"/>
      <c r="I28" s="103"/>
      <c r="J28" s="65"/>
      <c r="K28" s="2337" t="s">
        <v>370</v>
      </c>
      <c r="L28" s="1855"/>
      <c r="M28" s="204"/>
      <c r="N28" s="362" t="s">
        <v>43</v>
      </c>
    </row>
    <row r="29" spans="1:14" ht="9.75" customHeight="1" x14ac:dyDescent="0.2">
      <c r="A29" s="2029"/>
      <c r="B29" s="2030"/>
      <c r="C29" s="2031"/>
      <c r="D29" s="2387"/>
      <c r="E29" s="2041"/>
      <c r="F29" s="2031"/>
      <c r="G29" s="47"/>
      <c r="H29" s="1657"/>
      <c r="I29" s="155"/>
      <c r="J29" s="1661"/>
      <c r="K29" s="2096"/>
      <c r="L29" s="49"/>
      <c r="M29" s="326"/>
      <c r="N29" s="475"/>
    </row>
    <row r="30" spans="1:14" ht="15.75" customHeight="1" x14ac:dyDescent="0.2">
      <c r="A30" s="2029"/>
      <c r="B30" s="2030"/>
      <c r="C30" s="2031"/>
      <c r="D30" s="2032" t="s">
        <v>240</v>
      </c>
      <c r="E30" s="1824" t="s">
        <v>47</v>
      </c>
      <c r="F30" s="2034"/>
      <c r="G30" s="91"/>
      <c r="H30" s="1660"/>
      <c r="I30" s="128"/>
      <c r="J30" s="1660"/>
      <c r="K30" s="1821" t="s">
        <v>188</v>
      </c>
      <c r="L30" s="522">
        <v>100</v>
      </c>
      <c r="M30" s="824"/>
      <c r="N30" s="523"/>
    </row>
    <row r="31" spans="1:14" ht="16.5" customHeight="1" x14ac:dyDescent="0.2">
      <c r="A31" s="2029"/>
      <c r="B31" s="2030"/>
      <c r="C31" s="2031"/>
      <c r="D31" s="2033"/>
      <c r="E31" s="544"/>
      <c r="F31" s="2034"/>
      <c r="G31" s="132"/>
      <c r="H31" s="1661"/>
      <c r="I31" s="155"/>
      <c r="J31" s="1661"/>
      <c r="K31" s="449"/>
      <c r="L31" s="318"/>
      <c r="M31" s="825"/>
      <c r="N31" s="319"/>
    </row>
    <row r="32" spans="1:14" ht="18.75" customHeight="1" x14ac:dyDescent="0.2">
      <c r="A32" s="1809"/>
      <c r="B32" s="1810"/>
      <c r="C32" s="226"/>
      <c r="D32" s="2045" t="s">
        <v>239</v>
      </c>
      <c r="E32" s="312" t="s">
        <v>47</v>
      </c>
      <c r="F32" s="92"/>
      <c r="G32" s="87"/>
      <c r="H32" s="65"/>
      <c r="I32" s="103"/>
      <c r="J32" s="65"/>
      <c r="K32" s="2388" t="s">
        <v>163</v>
      </c>
      <c r="L32" s="1806">
        <v>1</v>
      </c>
      <c r="M32" s="1871"/>
      <c r="N32" s="1874"/>
    </row>
    <row r="33" spans="1:14" ht="21" customHeight="1" x14ac:dyDescent="0.2">
      <c r="A33" s="1809"/>
      <c r="B33" s="1810"/>
      <c r="C33" s="226"/>
      <c r="D33" s="2100"/>
      <c r="E33" s="2105" t="s">
        <v>116</v>
      </c>
      <c r="F33" s="92"/>
      <c r="G33" s="87"/>
      <c r="H33" s="65"/>
      <c r="I33" s="103"/>
      <c r="J33" s="65"/>
      <c r="K33" s="2389"/>
      <c r="L33" s="1855"/>
      <c r="M33" s="413"/>
      <c r="N33" s="342"/>
    </row>
    <row r="34" spans="1:14" ht="29.25" customHeight="1" x14ac:dyDescent="0.2">
      <c r="A34" s="1809"/>
      <c r="B34" s="1810"/>
      <c r="C34" s="226"/>
      <c r="D34" s="2046"/>
      <c r="E34" s="2107"/>
      <c r="F34" s="92"/>
      <c r="G34" s="90"/>
      <c r="H34" s="1661"/>
      <c r="I34" s="155"/>
      <c r="J34" s="1661"/>
      <c r="K34" s="1637" t="s">
        <v>164</v>
      </c>
      <c r="L34" s="1639"/>
      <c r="M34" s="1639">
        <v>1</v>
      </c>
      <c r="N34" s="1640"/>
    </row>
    <row r="35" spans="1:14" ht="17.25" customHeight="1" x14ac:dyDescent="0.2">
      <c r="A35" s="1809"/>
      <c r="B35" s="1810"/>
      <c r="C35" s="226"/>
      <c r="D35" s="2108" t="s">
        <v>249</v>
      </c>
      <c r="E35" s="1150" t="s">
        <v>47</v>
      </c>
      <c r="F35" s="1812"/>
      <c r="G35" s="87" t="s">
        <v>45</v>
      </c>
      <c r="H35" s="65">
        <v>21.5</v>
      </c>
      <c r="I35" s="567"/>
      <c r="J35" s="174"/>
      <c r="K35" s="1821" t="s">
        <v>46</v>
      </c>
      <c r="L35" s="1855">
        <v>1</v>
      </c>
      <c r="M35" s="1855"/>
      <c r="N35" s="1853"/>
    </row>
    <row r="36" spans="1:14" ht="18" customHeight="1" x14ac:dyDescent="0.2">
      <c r="A36" s="1809"/>
      <c r="B36" s="1810"/>
      <c r="C36" s="97"/>
      <c r="D36" s="2102"/>
      <c r="E36" s="1152" t="s">
        <v>327</v>
      </c>
      <c r="F36" s="1812"/>
      <c r="G36" s="90"/>
      <c r="H36" s="53"/>
      <c r="I36" s="568"/>
      <c r="J36" s="53"/>
      <c r="K36" s="216"/>
      <c r="L36" s="49"/>
      <c r="M36" s="49"/>
      <c r="N36" s="21"/>
    </row>
    <row r="37" spans="1:14" ht="15" customHeight="1" x14ac:dyDescent="0.2">
      <c r="A37" s="2029"/>
      <c r="B37" s="2030"/>
      <c r="C37" s="2031"/>
      <c r="D37" s="2045" t="s">
        <v>171</v>
      </c>
      <c r="E37" s="312" t="s">
        <v>47</v>
      </c>
      <c r="F37" s="2034"/>
      <c r="G37" s="87"/>
      <c r="H37" s="65"/>
      <c r="I37" s="103"/>
      <c r="J37" s="65"/>
      <c r="K37" s="2382" t="s">
        <v>358</v>
      </c>
      <c r="L37" s="563"/>
      <c r="M37" s="1205"/>
      <c r="N37" s="564"/>
    </row>
    <row r="38" spans="1:14" ht="15" customHeight="1" x14ac:dyDescent="0.2">
      <c r="A38" s="2029"/>
      <c r="B38" s="2030"/>
      <c r="C38" s="2031"/>
      <c r="D38" s="2100"/>
      <c r="E38" s="2040" t="s">
        <v>116</v>
      </c>
      <c r="F38" s="2034"/>
      <c r="G38" s="87"/>
      <c r="H38" s="65"/>
      <c r="I38" s="103"/>
      <c r="J38" s="65"/>
      <c r="K38" s="2383"/>
      <c r="L38" s="648"/>
      <c r="M38" s="648"/>
      <c r="N38" s="649"/>
    </row>
    <row r="39" spans="1:14" ht="18" customHeight="1" x14ac:dyDescent="0.2">
      <c r="A39" s="2029"/>
      <c r="B39" s="2030"/>
      <c r="C39" s="2031"/>
      <c r="D39" s="2046"/>
      <c r="E39" s="2041"/>
      <c r="F39" s="2034"/>
      <c r="G39" s="90"/>
      <c r="H39" s="492"/>
      <c r="I39" s="494"/>
      <c r="J39" s="492"/>
      <c r="K39" s="1862"/>
      <c r="L39" s="49"/>
      <c r="M39" s="167"/>
      <c r="N39" s="31"/>
    </row>
    <row r="40" spans="1:14" ht="13.5" customHeight="1" x14ac:dyDescent="0.2">
      <c r="A40" s="1809"/>
      <c r="B40" s="1810"/>
      <c r="C40" s="1811"/>
      <c r="D40" s="2101" t="s">
        <v>241</v>
      </c>
      <c r="E40" s="1824" t="s">
        <v>47</v>
      </c>
      <c r="F40" s="2113"/>
      <c r="G40" s="87"/>
      <c r="H40" s="65"/>
      <c r="I40" s="103"/>
      <c r="J40" s="65"/>
      <c r="K40" s="1845" t="s">
        <v>166</v>
      </c>
      <c r="L40" s="1807"/>
      <c r="M40" s="1852"/>
      <c r="N40" s="1869">
        <v>1</v>
      </c>
    </row>
    <row r="41" spans="1:14" ht="9.75" customHeight="1" x14ac:dyDescent="0.2">
      <c r="A41" s="1809"/>
      <c r="B41" s="1810"/>
      <c r="C41" s="1811"/>
      <c r="D41" s="2108"/>
      <c r="E41" s="1817"/>
      <c r="F41" s="2113"/>
      <c r="G41" s="90"/>
      <c r="H41" s="1661"/>
      <c r="I41" s="155"/>
      <c r="J41" s="1661"/>
      <c r="K41" s="1821"/>
      <c r="L41" s="1873"/>
      <c r="M41" s="321"/>
      <c r="N41" s="1853"/>
    </row>
    <row r="42" spans="1:14" ht="16.5" customHeight="1" thickBot="1" x14ac:dyDescent="0.25">
      <c r="A42" s="72"/>
      <c r="B42" s="1833"/>
      <c r="C42" s="99"/>
      <c r="D42" s="241"/>
      <c r="E42" s="1151"/>
      <c r="F42" s="99"/>
      <c r="G42" s="93" t="s">
        <v>6</v>
      </c>
      <c r="H42" s="93">
        <f>SUM(H16:H41)</f>
        <v>2780.8</v>
      </c>
      <c r="I42" s="93">
        <f t="shared" ref="I42:J42" si="0">SUM(I16:I41)</f>
        <v>1083</v>
      </c>
      <c r="J42" s="93">
        <f t="shared" si="0"/>
        <v>2034.4</v>
      </c>
      <c r="K42" s="1058"/>
      <c r="L42" s="192"/>
      <c r="M42" s="807"/>
      <c r="N42" s="599"/>
    </row>
    <row r="43" spans="1:14" ht="14.1" customHeight="1" x14ac:dyDescent="0.2">
      <c r="A43" s="1831" t="s">
        <v>5</v>
      </c>
      <c r="B43" s="1832" t="s">
        <v>5</v>
      </c>
      <c r="C43" s="1870" t="s">
        <v>7</v>
      </c>
      <c r="D43" s="2097" t="s">
        <v>50</v>
      </c>
      <c r="E43" s="2391" t="s">
        <v>92</v>
      </c>
      <c r="F43" s="1834" t="s">
        <v>43</v>
      </c>
      <c r="G43" s="190" t="s">
        <v>25</v>
      </c>
      <c r="H43" s="190">
        <v>406.6</v>
      </c>
      <c r="I43" s="190">
        <v>464.9</v>
      </c>
      <c r="J43" s="190">
        <v>1300</v>
      </c>
      <c r="K43" s="354"/>
      <c r="L43" s="282"/>
      <c r="M43" s="1036"/>
      <c r="N43" s="654"/>
    </row>
    <row r="44" spans="1:14" ht="14.1" customHeight="1" x14ac:dyDescent="0.2">
      <c r="A44" s="1815"/>
      <c r="B44" s="1810"/>
      <c r="C44" s="1811"/>
      <c r="D44" s="2098"/>
      <c r="E44" s="2392"/>
      <c r="F44" s="1812"/>
      <c r="G44" s="65" t="s">
        <v>62</v>
      </c>
      <c r="H44" s="65">
        <v>0.8</v>
      </c>
      <c r="I44" s="103"/>
      <c r="J44" s="65"/>
      <c r="K44" s="1821"/>
      <c r="L44" s="1873"/>
      <c r="M44" s="321"/>
      <c r="N44" s="1853"/>
    </row>
    <row r="45" spans="1:14" ht="14.1" customHeight="1" x14ac:dyDescent="0.2">
      <c r="A45" s="1815"/>
      <c r="B45" s="1810"/>
      <c r="C45" s="1811"/>
      <c r="D45" s="2114"/>
      <c r="E45" s="2393"/>
      <c r="F45" s="1863"/>
      <c r="G45" s="1661" t="s">
        <v>105</v>
      </c>
      <c r="H45" s="65">
        <v>200</v>
      </c>
      <c r="I45" s="65">
        <v>1496.4</v>
      </c>
      <c r="J45" s="65">
        <v>600</v>
      </c>
      <c r="K45" s="1821"/>
      <c r="L45" s="1873"/>
      <c r="M45" s="321"/>
      <c r="N45" s="1853"/>
    </row>
    <row r="46" spans="1:14" ht="16.5" customHeight="1" x14ac:dyDescent="0.2">
      <c r="A46" s="2044"/>
      <c r="B46" s="2030"/>
      <c r="C46" s="2031"/>
      <c r="D46" s="2100" t="s">
        <v>237</v>
      </c>
      <c r="E46" s="1817" t="s">
        <v>47</v>
      </c>
      <c r="F46" s="2034"/>
      <c r="G46" s="87"/>
      <c r="H46" s="1660"/>
      <c r="I46" s="128"/>
      <c r="J46" s="1660"/>
      <c r="K46" s="2388" t="s">
        <v>174</v>
      </c>
      <c r="L46" s="1631">
        <v>1</v>
      </c>
      <c r="M46" s="1632"/>
      <c r="N46" s="1633"/>
    </row>
    <row r="47" spans="1:14" ht="23.25" customHeight="1" x14ac:dyDescent="0.2">
      <c r="A47" s="2044"/>
      <c r="B47" s="2030"/>
      <c r="C47" s="2031"/>
      <c r="D47" s="2100"/>
      <c r="E47" s="1817"/>
      <c r="F47" s="2034"/>
      <c r="G47" s="87"/>
      <c r="H47" s="65"/>
      <c r="I47" s="103"/>
      <c r="J47" s="65"/>
      <c r="K47" s="2390"/>
      <c r="L47" s="758"/>
      <c r="M47" s="792"/>
      <c r="N47" s="1148"/>
    </row>
    <row r="48" spans="1:14" ht="39.75" customHeight="1" x14ac:dyDescent="0.2">
      <c r="A48" s="2044"/>
      <c r="B48" s="2030"/>
      <c r="C48" s="2031"/>
      <c r="D48" s="2100"/>
      <c r="E48" s="1817"/>
      <c r="F48" s="2034"/>
      <c r="G48" s="87"/>
      <c r="H48" s="65"/>
      <c r="I48" s="103"/>
      <c r="J48" s="65"/>
      <c r="K48" s="30" t="s">
        <v>217</v>
      </c>
      <c r="L48" s="50">
        <v>100</v>
      </c>
      <c r="M48" s="793"/>
      <c r="N48" s="107"/>
    </row>
    <row r="49" spans="1:14" ht="28.5" customHeight="1" x14ac:dyDescent="0.2">
      <c r="A49" s="2044"/>
      <c r="B49" s="2030"/>
      <c r="C49" s="2031"/>
      <c r="D49" s="2100"/>
      <c r="E49" s="1817"/>
      <c r="F49" s="2034"/>
      <c r="G49" s="1932"/>
      <c r="H49" s="65"/>
      <c r="I49" s="103"/>
      <c r="J49" s="65"/>
      <c r="K49" s="30" t="s">
        <v>218</v>
      </c>
      <c r="L49" s="50">
        <v>30</v>
      </c>
      <c r="M49" s="793">
        <v>80</v>
      </c>
      <c r="N49" s="107">
        <v>100</v>
      </c>
    </row>
    <row r="50" spans="1:14" ht="54" customHeight="1" x14ac:dyDescent="0.2">
      <c r="A50" s="2044"/>
      <c r="B50" s="2030"/>
      <c r="C50" s="2031"/>
      <c r="D50" s="2100"/>
      <c r="E50" s="1818"/>
      <c r="F50" s="2034"/>
      <c r="G50" s="87"/>
      <c r="H50" s="65"/>
      <c r="I50" s="103"/>
      <c r="J50" s="65"/>
      <c r="K50" s="1814" t="s">
        <v>219</v>
      </c>
      <c r="L50" s="50"/>
      <c r="M50" s="793"/>
      <c r="N50" s="107">
        <v>5</v>
      </c>
    </row>
    <row r="51" spans="1:14" ht="18.75" customHeight="1" x14ac:dyDescent="0.2">
      <c r="A51" s="2044"/>
      <c r="B51" s="2030"/>
      <c r="C51" s="2031"/>
      <c r="D51" s="2045" t="s">
        <v>59</v>
      </c>
      <c r="E51" s="1860" t="s">
        <v>47</v>
      </c>
      <c r="F51" s="2034"/>
      <c r="G51" s="91"/>
      <c r="H51" s="1660"/>
      <c r="I51" s="128"/>
      <c r="J51" s="1660"/>
      <c r="K51" s="2382" t="s">
        <v>476</v>
      </c>
      <c r="L51" s="1850">
        <v>5</v>
      </c>
      <c r="M51" s="794">
        <v>50</v>
      </c>
      <c r="N51" s="1874">
        <v>80</v>
      </c>
    </row>
    <row r="52" spans="1:14" ht="12" customHeight="1" x14ac:dyDescent="0.2">
      <c r="A52" s="2044"/>
      <c r="B52" s="2030"/>
      <c r="C52" s="2031"/>
      <c r="D52" s="2100"/>
      <c r="E52" s="1811"/>
      <c r="F52" s="2034"/>
      <c r="G52" s="87"/>
      <c r="H52" s="65"/>
      <c r="I52" s="103"/>
      <c r="J52" s="65"/>
      <c r="K52" s="2389"/>
      <c r="L52" s="1191"/>
      <c r="M52" s="801"/>
      <c r="N52" s="342"/>
    </row>
    <row r="53" spans="1:14" ht="9.75" customHeight="1" x14ac:dyDescent="0.2">
      <c r="A53" s="2044"/>
      <c r="B53" s="2030"/>
      <c r="C53" s="2031"/>
      <c r="D53" s="2046"/>
      <c r="E53" s="1861"/>
      <c r="F53" s="2034"/>
      <c r="G53" s="132"/>
      <c r="H53" s="1661"/>
      <c r="I53" s="155"/>
      <c r="J53" s="1661"/>
      <c r="K53" s="262"/>
      <c r="L53" s="1851"/>
      <c r="M53" s="795"/>
      <c r="N53" s="31"/>
    </row>
    <row r="54" spans="1:14" ht="17.25" customHeight="1" x14ac:dyDescent="0.2">
      <c r="A54" s="1809"/>
      <c r="B54" s="1810"/>
      <c r="C54" s="92"/>
      <c r="D54" s="2045" t="s">
        <v>242</v>
      </c>
      <c r="E54" s="2115" t="s">
        <v>47</v>
      </c>
      <c r="F54" s="2291"/>
      <c r="G54" s="91"/>
      <c r="H54" s="1656"/>
      <c r="I54" s="400"/>
      <c r="J54" s="1656"/>
      <c r="K54" s="1846" t="s">
        <v>97</v>
      </c>
      <c r="L54" s="465">
        <v>1</v>
      </c>
      <c r="M54" s="1852"/>
      <c r="N54" s="1869"/>
    </row>
    <row r="55" spans="1:14" ht="21.75" customHeight="1" x14ac:dyDescent="0.2">
      <c r="A55" s="1809"/>
      <c r="B55" s="1810"/>
      <c r="C55" s="92"/>
      <c r="D55" s="2100"/>
      <c r="E55" s="2313"/>
      <c r="F55" s="2291"/>
      <c r="G55" s="90"/>
      <c r="H55" s="1634"/>
      <c r="I55" s="971"/>
      <c r="J55" s="1634"/>
      <c r="K55" s="19"/>
      <c r="L55" s="484"/>
      <c r="M55" s="322"/>
      <c r="N55" s="21"/>
    </row>
    <row r="56" spans="1:14" ht="16.5" customHeight="1" x14ac:dyDescent="0.2">
      <c r="A56" s="1809"/>
      <c r="B56" s="1810"/>
      <c r="C56" s="92"/>
      <c r="D56" s="2045" t="s">
        <v>272</v>
      </c>
      <c r="E56" s="2115" t="s">
        <v>47</v>
      </c>
      <c r="F56" s="2291"/>
      <c r="G56" s="87" t="s">
        <v>45</v>
      </c>
      <c r="H56" s="67"/>
      <c r="I56" s="355">
        <v>95</v>
      </c>
      <c r="J56" s="67"/>
      <c r="K56" s="1259" t="s">
        <v>97</v>
      </c>
      <c r="L56" s="465"/>
      <c r="M56" s="1852">
        <v>1</v>
      </c>
      <c r="N56" s="1869"/>
    </row>
    <row r="57" spans="1:14" ht="17.25" customHeight="1" x14ac:dyDescent="0.2">
      <c r="A57" s="1809"/>
      <c r="B57" s="1810"/>
      <c r="C57" s="92"/>
      <c r="D57" s="2100"/>
      <c r="E57" s="2116"/>
      <c r="F57" s="2291"/>
      <c r="G57" s="1039"/>
      <c r="H57" s="1661"/>
      <c r="I57" s="155"/>
      <c r="J57" s="1661"/>
      <c r="K57" s="1859"/>
      <c r="L57" s="478"/>
      <c r="M57" s="321"/>
      <c r="N57" s="1853"/>
    </row>
    <row r="58" spans="1:14" ht="16.5" customHeight="1" thickBot="1" x14ac:dyDescent="0.25">
      <c r="A58" s="72"/>
      <c r="B58" s="1833"/>
      <c r="C58" s="99"/>
      <c r="D58" s="241"/>
      <c r="E58" s="1151"/>
      <c r="F58" s="99"/>
      <c r="G58" s="93" t="s">
        <v>6</v>
      </c>
      <c r="H58" s="93">
        <f>SUM(H43:H57)</f>
        <v>607.4</v>
      </c>
      <c r="I58" s="93">
        <f t="shared" ref="I58:J58" si="1">SUM(I43:I57)</f>
        <v>2056.3000000000002</v>
      </c>
      <c r="J58" s="93">
        <f t="shared" si="1"/>
        <v>1900</v>
      </c>
      <c r="K58" s="1058"/>
      <c r="L58" s="192"/>
      <c r="M58" s="807"/>
      <c r="N58" s="599"/>
    </row>
    <row r="59" spans="1:14" ht="14.1" customHeight="1" x14ac:dyDescent="0.2">
      <c r="A59" s="1809" t="s">
        <v>5</v>
      </c>
      <c r="B59" s="1820" t="s">
        <v>5</v>
      </c>
      <c r="C59" s="1811" t="s">
        <v>28</v>
      </c>
      <c r="D59" s="2118" t="s">
        <v>100</v>
      </c>
      <c r="E59" s="2120" t="s">
        <v>94</v>
      </c>
      <c r="F59" s="1834" t="s">
        <v>43</v>
      </c>
      <c r="G59" s="223" t="s">
        <v>25</v>
      </c>
      <c r="H59" s="190">
        <v>875.5</v>
      </c>
      <c r="I59" s="190">
        <v>374</v>
      </c>
      <c r="J59" s="190">
        <v>100</v>
      </c>
      <c r="K59" s="354"/>
      <c r="L59" s="585"/>
      <c r="M59" s="585"/>
      <c r="N59" s="586"/>
    </row>
    <row r="60" spans="1:14" ht="14.1" customHeight="1" x14ac:dyDescent="0.2">
      <c r="A60" s="1809"/>
      <c r="B60" s="1820"/>
      <c r="C60" s="1811"/>
      <c r="D60" s="2039"/>
      <c r="E60" s="2394"/>
      <c r="F60" s="1812"/>
      <c r="G60" s="87" t="s">
        <v>62</v>
      </c>
      <c r="H60" s="65">
        <v>298.7</v>
      </c>
      <c r="I60" s="65"/>
      <c r="J60" s="65"/>
      <c r="K60" s="1821"/>
      <c r="L60" s="413"/>
      <c r="M60" s="413"/>
      <c r="N60" s="342"/>
    </row>
    <row r="61" spans="1:14" ht="14.1" customHeight="1" x14ac:dyDescent="0.2">
      <c r="A61" s="1809"/>
      <c r="B61" s="1820"/>
      <c r="C61" s="1811"/>
      <c r="D61" s="2039"/>
      <c r="E61" s="2394"/>
      <c r="F61" s="1812"/>
      <c r="G61" s="87" t="s">
        <v>105</v>
      </c>
      <c r="H61" s="65">
        <v>755.4</v>
      </c>
      <c r="I61" s="65">
        <v>711.8</v>
      </c>
      <c r="J61" s="65">
        <v>400</v>
      </c>
      <c r="K61" s="1821"/>
      <c r="L61" s="413"/>
      <c r="M61" s="413"/>
      <c r="N61" s="342"/>
    </row>
    <row r="62" spans="1:14" ht="14.1" customHeight="1" x14ac:dyDescent="0.2">
      <c r="A62" s="1809"/>
      <c r="B62" s="1820"/>
      <c r="C62" s="1811"/>
      <c r="D62" s="1934"/>
      <c r="E62" s="2394"/>
      <c r="F62" s="1812"/>
      <c r="G62" s="87" t="s">
        <v>309</v>
      </c>
      <c r="H62" s="65">
        <v>1482.2</v>
      </c>
      <c r="I62" s="65">
        <v>122.8</v>
      </c>
      <c r="J62" s="65"/>
      <c r="K62" s="1821"/>
      <c r="L62" s="413"/>
      <c r="M62" s="413"/>
      <c r="N62" s="342"/>
    </row>
    <row r="63" spans="1:14" ht="14.1" customHeight="1" x14ac:dyDescent="0.2">
      <c r="A63" s="1809"/>
      <c r="B63" s="1820"/>
      <c r="C63" s="1811"/>
      <c r="D63" s="1934"/>
      <c r="E63" s="2041"/>
      <c r="F63" s="1812"/>
      <c r="G63" s="90" t="s">
        <v>48</v>
      </c>
      <c r="H63" s="1661">
        <v>200</v>
      </c>
      <c r="I63" s="179"/>
      <c r="J63" s="65"/>
      <c r="K63" s="1821"/>
      <c r="L63" s="413"/>
      <c r="M63" s="413"/>
      <c r="N63" s="342"/>
    </row>
    <row r="64" spans="1:14" ht="14.1" customHeight="1" x14ac:dyDescent="0.2">
      <c r="A64" s="2029"/>
      <c r="B64" s="2111"/>
      <c r="C64" s="2031"/>
      <c r="D64" s="2032" t="s">
        <v>427</v>
      </c>
      <c r="E64" s="2112" t="s">
        <v>47</v>
      </c>
      <c r="F64" s="2396"/>
      <c r="G64" s="87" t="s">
        <v>45</v>
      </c>
      <c r="H64" s="65">
        <v>104.9</v>
      </c>
      <c r="I64" s="103"/>
      <c r="J64" s="1660"/>
      <c r="K64" s="2382"/>
      <c r="L64" s="1806"/>
      <c r="M64" s="1806"/>
      <c r="N64" s="1869"/>
    </row>
    <row r="65" spans="1:14" ht="27" customHeight="1" x14ac:dyDescent="0.2">
      <c r="A65" s="2029"/>
      <c r="B65" s="2111"/>
      <c r="C65" s="2031"/>
      <c r="D65" s="2039"/>
      <c r="E65" s="2109"/>
      <c r="F65" s="2031"/>
      <c r="G65" s="87"/>
      <c r="H65" s="67"/>
      <c r="I65" s="355"/>
      <c r="J65" s="67"/>
      <c r="K65" s="2389"/>
      <c r="L65" s="1855"/>
      <c r="M65" s="1855"/>
      <c r="N65" s="1853"/>
    </row>
    <row r="66" spans="1:14" ht="25.5" customHeight="1" x14ac:dyDescent="0.2">
      <c r="A66" s="2029"/>
      <c r="B66" s="2111"/>
      <c r="C66" s="2031"/>
      <c r="D66" s="524" t="s">
        <v>172</v>
      </c>
      <c r="E66" s="2109"/>
      <c r="F66" s="2031"/>
      <c r="G66" s="1170"/>
      <c r="H66" s="79"/>
      <c r="I66" s="1435"/>
      <c r="J66" s="79"/>
      <c r="K66" s="89" t="s">
        <v>220</v>
      </c>
      <c r="L66" s="171">
        <v>100</v>
      </c>
      <c r="M66" s="171"/>
      <c r="N66" s="26"/>
    </row>
    <row r="67" spans="1:14" ht="40.5" customHeight="1" x14ac:dyDescent="0.2">
      <c r="A67" s="2029"/>
      <c r="B67" s="2111"/>
      <c r="C67" s="2031"/>
      <c r="D67" s="1813" t="s">
        <v>136</v>
      </c>
      <c r="E67" s="2110"/>
      <c r="F67" s="2397"/>
      <c r="G67" s="90"/>
      <c r="H67" s="1661"/>
      <c r="I67" s="155"/>
      <c r="J67" s="1661"/>
      <c r="K67" s="525" t="s">
        <v>221</v>
      </c>
      <c r="L67" s="49">
        <v>80</v>
      </c>
      <c r="M67" s="49">
        <v>100</v>
      </c>
      <c r="N67" s="21"/>
    </row>
    <row r="68" spans="1:14" ht="15" customHeight="1" x14ac:dyDescent="0.2">
      <c r="A68" s="1809"/>
      <c r="B68" s="1820"/>
      <c r="C68" s="1812"/>
      <c r="D68" s="2032" t="s">
        <v>428</v>
      </c>
      <c r="E68" s="1849" t="s">
        <v>47</v>
      </c>
      <c r="F68" s="2398"/>
      <c r="G68" s="407" t="s">
        <v>45</v>
      </c>
      <c r="H68" s="1660"/>
      <c r="I68" s="203">
        <v>40</v>
      </c>
      <c r="J68" s="1660"/>
      <c r="K68" s="1845" t="s">
        <v>46</v>
      </c>
      <c r="L68" s="465">
        <v>1</v>
      </c>
      <c r="M68" s="796"/>
      <c r="N68" s="1045"/>
    </row>
    <row r="69" spans="1:14" ht="15" customHeight="1" x14ac:dyDescent="0.2">
      <c r="A69" s="1809"/>
      <c r="B69" s="1820"/>
      <c r="C69" s="1812"/>
      <c r="D69" s="2141"/>
      <c r="E69" s="574"/>
      <c r="F69" s="2117"/>
      <c r="G69" s="87"/>
      <c r="H69" s="65"/>
      <c r="I69" s="103"/>
      <c r="J69" s="65"/>
      <c r="K69" s="1821" t="s">
        <v>167</v>
      </c>
      <c r="L69" s="478"/>
      <c r="M69" s="485">
        <v>30</v>
      </c>
      <c r="N69" s="652">
        <v>60</v>
      </c>
    </row>
    <row r="70" spans="1:14" ht="11.25" customHeight="1" x14ac:dyDescent="0.2">
      <c r="A70" s="1809"/>
      <c r="B70" s="1820"/>
      <c r="C70" s="1812"/>
      <c r="D70" s="2387"/>
      <c r="E70" s="1848"/>
      <c r="F70" s="2399"/>
      <c r="G70" s="132"/>
      <c r="H70" s="1661"/>
      <c r="I70" s="155"/>
      <c r="J70" s="1661"/>
      <c r="K70" s="1865"/>
      <c r="L70" s="484"/>
      <c r="M70" s="570"/>
      <c r="N70" s="501"/>
    </row>
    <row r="71" spans="1:14" ht="15" customHeight="1" x14ac:dyDescent="0.2">
      <c r="A71" s="1809"/>
      <c r="B71" s="1820"/>
      <c r="C71" s="1812"/>
      <c r="D71" s="2045" t="s">
        <v>414</v>
      </c>
      <c r="E71" s="2115" t="s">
        <v>47</v>
      </c>
      <c r="F71" s="2291"/>
      <c r="G71" s="350"/>
      <c r="H71" s="65"/>
      <c r="I71" s="103"/>
      <c r="J71" s="65"/>
      <c r="K71" s="2382" t="s">
        <v>46</v>
      </c>
      <c r="L71" s="1807">
        <v>1</v>
      </c>
      <c r="M71" s="1852"/>
      <c r="N71" s="1869"/>
    </row>
    <row r="72" spans="1:14" ht="12.75" customHeight="1" x14ac:dyDescent="0.2">
      <c r="A72" s="1809"/>
      <c r="B72" s="1820"/>
      <c r="C72" s="1812"/>
      <c r="D72" s="2100"/>
      <c r="E72" s="2116"/>
      <c r="F72" s="2291"/>
      <c r="G72" s="132"/>
      <c r="H72" s="1661"/>
      <c r="I72" s="155"/>
      <c r="J72" s="1661"/>
      <c r="K72" s="2395"/>
      <c r="L72" s="1873"/>
      <c r="M72" s="321"/>
      <c r="N72" s="1853"/>
    </row>
    <row r="73" spans="1:14" ht="16.5" customHeight="1" thickBot="1" x14ac:dyDescent="0.25">
      <c r="A73" s="72"/>
      <c r="B73" s="1833"/>
      <c r="C73" s="99"/>
      <c r="D73" s="241"/>
      <c r="E73" s="1151"/>
      <c r="F73" s="99"/>
      <c r="G73" s="93" t="s">
        <v>6</v>
      </c>
      <c r="H73" s="93">
        <f>SUM(H59:H72)</f>
        <v>3716.7</v>
      </c>
      <c r="I73" s="93">
        <f t="shared" ref="I73:J73" si="2">SUM(I59:I72)</f>
        <v>1248.5999999999999</v>
      </c>
      <c r="J73" s="93">
        <f t="shared" si="2"/>
        <v>500</v>
      </c>
      <c r="K73" s="1058"/>
      <c r="L73" s="192"/>
      <c r="M73" s="807"/>
      <c r="N73" s="599"/>
    </row>
    <row r="74" spans="1:14" ht="14.1" customHeight="1" x14ac:dyDescent="0.2">
      <c r="A74" s="1831" t="s">
        <v>5</v>
      </c>
      <c r="B74" s="279" t="s">
        <v>5</v>
      </c>
      <c r="C74" s="1870" t="s">
        <v>33</v>
      </c>
      <c r="D74" s="2097" t="s">
        <v>51</v>
      </c>
      <c r="E74" s="2400" t="s">
        <v>91</v>
      </c>
      <c r="F74" s="122" t="s">
        <v>43</v>
      </c>
      <c r="G74" s="1660" t="s">
        <v>105</v>
      </c>
      <c r="H74" s="1660">
        <v>54.3</v>
      </c>
      <c r="I74" s="128"/>
      <c r="J74" s="1660"/>
      <c r="K74" s="1935"/>
      <c r="L74" s="275"/>
      <c r="M74" s="791"/>
      <c r="N74" s="829"/>
    </row>
    <row r="75" spans="1:14" ht="14.1" customHeight="1" x14ac:dyDescent="0.2">
      <c r="A75" s="1809"/>
      <c r="B75" s="1820"/>
      <c r="C75" s="1811"/>
      <c r="D75" s="2098"/>
      <c r="E75" s="2310"/>
      <c r="F75" s="1819"/>
      <c r="G75" s="65" t="s">
        <v>48</v>
      </c>
      <c r="H75" s="65">
        <v>1300</v>
      </c>
      <c r="I75" s="103"/>
      <c r="J75" s="65"/>
      <c r="K75" s="1822"/>
      <c r="L75" s="1873"/>
      <c r="M75" s="321"/>
      <c r="N75" s="1853"/>
    </row>
    <row r="76" spans="1:14" ht="14.1" customHeight="1" x14ac:dyDescent="0.2">
      <c r="A76" s="1809"/>
      <c r="B76" s="1820"/>
      <c r="C76" s="1811"/>
      <c r="D76" s="584"/>
      <c r="E76" s="2310"/>
      <c r="F76" s="1819"/>
      <c r="G76" s="48" t="s">
        <v>25</v>
      </c>
      <c r="H76" s="65">
        <v>10</v>
      </c>
      <c r="I76" s="103">
        <v>24.6</v>
      </c>
      <c r="J76" s="65">
        <v>22.5</v>
      </c>
      <c r="K76" s="1822"/>
      <c r="L76" s="1873"/>
      <c r="M76" s="321"/>
      <c r="N76" s="1853"/>
    </row>
    <row r="77" spans="1:14" ht="14.1" customHeight="1" x14ac:dyDescent="0.2">
      <c r="A77" s="1809"/>
      <c r="B77" s="1820"/>
      <c r="C77" s="1811"/>
      <c r="D77" s="584"/>
      <c r="E77" s="2401"/>
      <c r="F77" s="1819"/>
      <c r="G77" s="87" t="s">
        <v>44</v>
      </c>
      <c r="H77" s="65"/>
      <c r="I77" s="103">
        <v>425</v>
      </c>
      <c r="J77" s="65">
        <v>425</v>
      </c>
      <c r="K77" s="1822"/>
      <c r="L77" s="1873"/>
      <c r="M77" s="321"/>
      <c r="N77" s="1853"/>
    </row>
    <row r="78" spans="1:14" ht="15" customHeight="1" x14ac:dyDescent="0.2">
      <c r="A78" s="1809"/>
      <c r="B78" s="1820"/>
      <c r="C78" s="1811"/>
      <c r="D78" s="2032" t="s">
        <v>61</v>
      </c>
      <c r="E78" s="2115" t="s">
        <v>47</v>
      </c>
      <c r="F78" s="2109"/>
      <c r="G78" s="1660"/>
      <c r="H78" s="1660"/>
      <c r="I78" s="128"/>
      <c r="J78" s="1660"/>
      <c r="K78" s="2345" t="s">
        <v>275</v>
      </c>
      <c r="L78" s="1807">
        <v>100</v>
      </c>
      <c r="M78" s="1852"/>
      <c r="N78" s="1869"/>
    </row>
    <row r="79" spans="1:14" ht="15" customHeight="1" x14ac:dyDescent="0.2">
      <c r="A79" s="1809"/>
      <c r="B79" s="1820"/>
      <c r="C79" s="1811"/>
      <c r="D79" s="2141"/>
      <c r="E79" s="2116"/>
      <c r="F79" s="2109"/>
      <c r="G79" s="1661"/>
      <c r="H79" s="1661"/>
      <c r="I79" s="155"/>
      <c r="J79" s="1661"/>
      <c r="K79" s="2344"/>
      <c r="L79" s="1873"/>
      <c r="M79" s="321"/>
      <c r="N79" s="1853"/>
    </row>
    <row r="80" spans="1:14" ht="14.25" customHeight="1" x14ac:dyDescent="0.2">
      <c r="A80" s="2029"/>
      <c r="B80" s="2111"/>
      <c r="C80" s="2031"/>
      <c r="D80" s="2045" t="s">
        <v>364</v>
      </c>
      <c r="E80" s="2122" t="s">
        <v>47</v>
      </c>
      <c r="F80" s="2124"/>
      <c r="G80" s="48"/>
      <c r="H80" s="65"/>
      <c r="I80" s="103"/>
      <c r="J80" s="65"/>
      <c r="K80" s="1845" t="s">
        <v>46</v>
      </c>
      <c r="L80" s="1807">
        <v>1</v>
      </c>
      <c r="M80" s="1852"/>
      <c r="N80" s="1869"/>
    </row>
    <row r="81" spans="1:14" ht="21" customHeight="1" x14ac:dyDescent="0.2">
      <c r="A81" s="2029"/>
      <c r="B81" s="2111"/>
      <c r="C81" s="2031"/>
      <c r="D81" s="2100"/>
      <c r="E81" s="2123"/>
      <c r="F81" s="2124"/>
      <c r="G81" s="87"/>
      <c r="H81" s="65"/>
      <c r="I81" s="103"/>
      <c r="J81" s="65"/>
      <c r="K81" s="2404" t="s">
        <v>158</v>
      </c>
      <c r="L81" s="1873"/>
      <c r="M81" s="321">
        <v>50</v>
      </c>
      <c r="N81" s="1853">
        <v>100</v>
      </c>
    </row>
    <row r="82" spans="1:14" ht="18.75" customHeight="1" x14ac:dyDescent="0.2">
      <c r="A82" s="2029"/>
      <c r="B82" s="2111"/>
      <c r="C82" s="2031"/>
      <c r="D82" s="2100"/>
      <c r="E82" s="2123"/>
      <c r="F82" s="2124"/>
      <c r="G82" s="132"/>
      <c r="H82" s="1661"/>
      <c r="I82" s="155"/>
      <c r="J82" s="1661"/>
      <c r="K82" s="2389"/>
      <c r="L82" s="1873"/>
      <c r="M82" s="321"/>
      <c r="N82" s="1853"/>
    </row>
    <row r="83" spans="1:14" ht="16.5" customHeight="1" thickBot="1" x14ac:dyDescent="0.25">
      <c r="A83" s="72"/>
      <c r="B83" s="1833"/>
      <c r="C83" s="99"/>
      <c r="D83" s="241"/>
      <c r="E83" s="1151"/>
      <c r="F83" s="99"/>
      <c r="G83" s="93" t="s">
        <v>6</v>
      </c>
      <c r="H83" s="93">
        <f>SUM(H74:H82)</f>
        <v>1364.3</v>
      </c>
      <c r="I83" s="93">
        <f t="shared" ref="I83:J83" si="3">SUM(I74:I82)</f>
        <v>449.6</v>
      </c>
      <c r="J83" s="93">
        <f t="shared" si="3"/>
        <v>447.5</v>
      </c>
      <c r="K83" s="1058"/>
      <c r="L83" s="192"/>
      <c r="M83" s="807"/>
      <c r="N83" s="599"/>
    </row>
    <row r="84" spans="1:14" ht="14.1" customHeight="1" x14ac:dyDescent="0.2">
      <c r="A84" s="1831" t="s">
        <v>5</v>
      </c>
      <c r="B84" s="279" t="s">
        <v>5</v>
      </c>
      <c r="C84" s="1870" t="s">
        <v>34</v>
      </c>
      <c r="D84" s="2097" t="s">
        <v>99</v>
      </c>
      <c r="E84" s="2308" t="s">
        <v>89</v>
      </c>
      <c r="F84" s="1834" t="s">
        <v>43</v>
      </c>
      <c r="G84" s="1937" t="s">
        <v>25</v>
      </c>
      <c r="H84" s="190">
        <v>515.79999999999995</v>
      </c>
      <c r="I84" s="223">
        <v>82</v>
      </c>
      <c r="J84" s="190">
        <v>160.6</v>
      </c>
      <c r="K84" s="243"/>
      <c r="L84" s="356"/>
      <c r="M84" s="800"/>
      <c r="N84" s="586"/>
    </row>
    <row r="85" spans="1:14" ht="14.1" customHeight="1" x14ac:dyDescent="0.2">
      <c r="A85" s="1809"/>
      <c r="B85" s="1820"/>
      <c r="C85" s="1811"/>
      <c r="D85" s="2306"/>
      <c r="E85" s="2050"/>
      <c r="F85" s="1812"/>
      <c r="G85" s="1051" t="s">
        <v>62</v>
      </c>
      <c r="H85" s="65">
        <v>18.2</v>
      </c>
      <c r="I85" s="103"/>
      <c r="J85" s="65"/>
      <c r="K85" s="1822"/>
      <c r="L85" s="1191"/>
      <c r="M85" s="801"/>
      <c r="N85" s="342"/>
    </row>
    <row r="86" spans="1:14" ht="14.1" customHeight="1" x14ac:dyDescent="0.2">
      <c r="A86" s="1809"/>
      <c r="B86" s="1820"/>
      <c r="C86" s="1811"/>
      <c r="D86" s="2355"/>
      <c r="E86" s="2051"/>
      <c r="F86" s="1812"/>
      <c r="G86" s="90" t="s">
        <v>105</v>
      </c>
      <c r="H86" s="1661">
        <v>845.7</v>
      </c>
      <c r="I86" s="155">
        <v>800</v>
      </c>
      <c r="J86" s="1661">
        <v>800</v>
      </c>
      <c r="K86" s="216"/>
      <c r="L86" s="1851"/>
      <c r="M86" s="795"/>
      <c r="N86" s="31"/>
    </row>
    <row r="87" spans="1:14" ht="27" customHeight="1" x14ac:dyDescent="0.2">
      <c r="A87" s="1809"/>
      <c r="B87" s="1820"/>
      <c r="C87" s="1811"/>
      <c r="D87" s="2045" t="s">
        <v>477</v>
      </c>
      <c r="E87" s="113" t="s">
        <v>47</v>
      </c>
      <c r="F87" s="1812"/>
      <c r="G87" s="87"/>
      <c r="H87" s="65"/>
      <c r="I87" s="103"/>
      <c r="J87" s="65"/>
      <c r="K87" s="1821" t="s">
        <v>478</v>
      </c>
      <c r="L87" s="1191">
        <v>100</v>
      </c>
      <c r="M87" s="801"/>
      <c r="N87" s="342"/>
    </row>
    <row r="88" spans="1:14" ht="8.25" customHeight="1" x14ac:dyDescent="0.2">
      <c r="A88" s="1809"/>
      <c r="B88" s="1820"/>
      <c r="C88" s="1811"/>
      <c r="D88" s="2100"/>
      <c r="E88" s="1856"/>
      <c r="F88" s="1812"/>
      <c r="G88" s="610"/>
      <c r="H88" s="608"/>
      <c r="I88" s="155"/>
      <c r="J88" s="1661"/>
      <c r="K88" s="1858"/>
      <c r="L88" s="1851"/>
      <c r="M88" s="801"/>
      <c r="N88" s="342"/>
    </row>
    <row r="89" spans="1:14" ht="15.75" customHeight="1" x14ac:dyDescent="0.2">
      <c r="A89" s="1809"/>
      <c r="B89" s="1820"/>
      <c r="C89" s="1811"/>
      <c r="D89" s="2045" t="s">
        <v>245</v>
      </c>
      <c r="E89" s="113" t="s">
        <v>47</v>
      </c>
      <c r="F89" s="1812"/>
      <c r="G89" s="87"/>
      <c r="H89" s="65"/>
      <c r="I89" s="103"/>
      <c r="J89" s="65"/>
      <c r="K89" s="2382" t="s">
        <v>251</v>
      </c>
      <c r="L89" s="1050">
        <v>10</v>
      </c>
      <c r="M89" s="1034">
        <v>40</v>
      </c>
      <c r="N89" s="1046">
        <v>80</v>
      </c>
    </row>
    <row r="90" spans="1:14" ht="19.5" customHeight="1" x14ac:dyDescent="0.2">
      <c r="A90" s="1809"/>
      <c r="B90" s="1820"/>
      <c r="C90" s="1811"/>
      <c r="D90" s="2405"/>
      <c r="E90" s="611"/>
      <c r="F90" s="1812"/>
      <c r="G90" s="1661"/>
      <c r="H90" s="1661"/>
      <c r="I90" s="155"/>
      <c r="J90" s="1661"/>
      <c r="K90" s="2096"/>
      <c r="L90" s="1851"/>
      <c r="M90" s="795"/>
      <c r="N90" s="31"/>
    </row>
    <row r="91" spans="1:14" ht="15" customHeight="1" x14ac:dyDescent="0.2">
      <c r="A91" s="1809"/>
      <c r="B91" s="1820"/>
      <c r="C91" s="1811"/>
      <c r="D91" s="2045" t="s">
        <v>147</v>
      </c>
      <c r="E91" s="2115" t="s">
        <v>456</v>
      </c>
      <c r="F91" s="2008"/>
      <c r="G91" s="87"/>
      <c r="H91" s="65"/>
      <c r="I91" s="128"/>
      <c r="J91" s="1660"/>
      <c r="K91" s="2009" t="s">
        <v>46</v>
      </c>
      <c r="L91" s="2003">
        <v>1</v>
      </c>
      <c r="M91" s="794"/>
      <c r="N91" s="1874"/>
    </row>
    <row r="92" spans="1:14" ht="39.75" customHeight="1" x14ac:dyDescent="0.2">
      <c r="A92" s="1809"/>
      <c r="B92" s="1820"/>
      <c r="C92" s="1812"/>
      <c r="D92" s="2311"/>
      <c r="E92" s="2402"/>
      <c r="F92" s="2008"/>
      <c r="G92" s="90"/>
      <c r="H92" s="1661"/>
      <c r="I92" s="155"/>
      <c r="J92" s="1661"/>
      <c r="K92" s="2011" t="s">
        <v>470</v>
      </c>
      <c r="L92" s="20"/>
      <c r="M92" s="322"/>
      <c r="N92" s="21"/>
    </row>
    <row r="93" spans="1:14" ht="14.25" customHeight="1" x14ac:dyDescent="0.2">
      <c r="A93" s="1809"/>
      <c r="B93" s="1820"/>
      <c r="C93" s="1811"/>
      <c r="D93" s="2045" t="s">
        <v>307</v>
      </c>
      <c r="E93" s="113" t="s">
        <v>47</v>
      </c>
      <c r="F93" s="1812"/>
      <c r="G93" s="87"/>
      <c r="H93" s="65"/>
      <c r="I93" s="103"/>
      <c r="J93" s="65"/>
      <c r="K93" s="1854" t="s">
        <v>46</v>
      </c>
      <c r="L93" s="612"/>
      <c r="M93" s="2294">
        <v>1</v>
      </c>
      <c r="N93" s="1874"/>
    </row>
    <row r="94" spans="1:14" ht="12.75" customHeight="1" x14ac:dyDescent="0.2">
      <c r="A94" s="1809"/>
      <c r="B94" s="1820"/>
      <c r="C94" s="1811"/>
      <c r="D94" s="2302"/>
      <c r="E94" s="962"/>
      <c r="F94" s="1812"/>
      <c r="G94" s="90"/>
      <c r="H94" s="1661"/>
      <c r="I94" s="155"/>
      <c r="J94" s="1661"/>
      <c r="K94" s="1260"/>
      <c r="L94" s="1191"/>
      <c r="M94" s="2403"/>
      <c r="N94" s="342"/>
    </row>
    <row r="95" spans="1:14" ht="16.5" customHeight="1" thickBot="1" x14ac:dyDescent="0.25">
      <c r="A95" s="72"/>
      <c r="B95" s="1833"/>
      <c r="C95" s="99"/>
      <c r="D95" s="241"/>
      <c r="E95" s="1151"/>
      <c r="F95" s="99"/>
      <c r="G95" s="93" t="s">
        <v>6</v>
      </c>
      <c r="H95" s="93">
        <f>SUM(H84:H94)</f>
        <v>1379.7</v>
      </c>
      <c r="I95" s="93">
        <f>SUM(I84:I94)</f>
        <v>882</v>
      </c>
      <c r="J95" s="93">
        <f>SUM(J84:J94)</f>
        <v>960.6</v>
      </c>
      <c r="K95" s="1058"/>
      <c r="L95" s="192"/>
      <c r="M95" s="807"/>
      <c r="N95" s="599"/>
    </row>
    <row r="96" spans="1:14" ht="29.25" customHeight="1" x14ac:dyDescent="0.2">
      <c r="A96" s="1809" t="s">
        <v>5</v>
      </c>
      <c r="B96" s="1820" t="s">
        <v>5</v>
      </c>
      <c r="C96" s="1811" t="s">
        <v>35</v>
      </c>
      <c r="D96" s="215" t="s">
        <v>74</v>
      </c>
      <c r="E96" s="422" t="s">
        <v>93</v>
      </c>
      <c r="F96" s="1866" t="s">
        <v>43</v>
      </c>
      <c r="G96" s="73"/>
      <c r="H96" s="80"/>
      <c r="I96" s="403"/>
      <c r="J96" s="80"/>
      <c r="K96" s="66"/>
      <c r="L96" s="55"/>
      <c r="M96" s="168"/>
      <c r="N96" s="320"/>
    </row>
    <row r="97" spans="1:16" ht="14.25" customHeight="1" x14ac:dyDescent="0.2">
      <c r="A97" s="1809"/>
      <c r="B97" s="1820"/>
      <c r="C97" s="1811"/>
      <c r="D97" s="2045" t="s">
        <v>145</v>
      </c>
      <c r="E97" s="2115" t="s">
        <v>456</v>
      </c>
      <c r="F97" s="1812"/>
      <c r="G97" s="67" t="s">
        <v>105</v>
      </c>
      <c r="H97" s="65">
        <v>243.1</v>
      </c>
      <c r="I97" s="103"/>
      <c r="J97" s="65">
        <v>1200</v>
      </c>
      <c r="K97" s="1854" t="s">
        <v>46</v>
      </c>
      <c r="L97" s="485">
        <v>1</v>
      </c>
      <c r="M97" s="1806"/>
      <c r="N97" s="1869"/>
    </row>
    <row r="98" spans="1:16" ht="13.5" customHeight="1" x14ac:dyDescent="0.2">
      <c r="A98" s="1809"/>
      <c r="B98" s="1820"/>
      <c r="C98" s="1811"/>
      <c r="D98" s="2100"/>
      <c r="E98" s="2408"/>
      <c r="F98" s="1812"/>
      <c r="G98" s="67" t="s">
        <v>365</v>
      </c>
      <c r="H98" s="65"/>
      <c r="I98" s="103">
        <v>5000</v>
      </c>
      <c r="J98" s="65">
        <v>8609.1</v>
      </c>
      <c r="K98" s="2218" t="s">
        <v>335</v>
      </c>
      <c r="L98" s="485"/>
      <c r="M98" s="1855">
        <v>60</v>
      </c>
      <c r="N98" s="1853">
        <v>90</v>
      </c>
    </row>
    <row r="99" spans="1:16" ht="14.25" customHeight="1" x14ac:dyDescent="0.2">
      <c r="A99" s="1809"/>
      <c r="B99" s="1820"/>
      <c r="C99" s="1811"/>
      <c r="D99" s="2100"/>
      <c r="E99" s="2408"/>
      <c r="F99" s="1812"/>
      <c r="G99" s="67" t="s">
        <v>450</v>
      </c>
      <c r="H99" s="65"/>
      <c r="I99" s="103">
        <v>10000</v>
      </c>
      <c r="J99" s="65"/>
      <c r="K99" s="2409"/>
      <c r="L99" s="485"/>
      <c r="M99" s="1855"/>
      <c r="N99" s="1853"/>
    </row>
    <row r="100" spans="1:16" ht="16.5" customHeight="1" thickBot="1" x14ac:dyDescent="0.25">
      <c r="A100" s="72"/>
      <c r="B100" s="1833"/>
      <c r="C100" s="99"/>
      <c r="D100" s="241"/>
      <c r="E100" s="1151"/>
      <c r="F100" s="99"/>
      <c r="G100" s="93" t="s">
        <v>6</v>
      </c>
      <c r="H100" s="93">
        <f>SUM(H97:H99)</f>
        <v>243.1</v>
      </c>
      <c r="I100" s="93">
        <f>SUM(I97:I99)</f>
        <v>15000</v>
      </c>
      <c r="J100" s="93">
        <f>SUM(J97:J99)</f>
        <v>9809.1</v>
      </c>
      <c r="K100" s="1058"/>
      <c r="L100" s="192"/>
      <c r="M100" s="807"/>
      <c r="N100" s="599"/>
    </row>
    <row r="101" spans="1:16" ht="27" customHeight="1" x14ac:dyDescent="0.2">
      <c r="A101" s="1809" t="s">
        <v>5</v>
      </c>
      <c r="B101" s="1820" t="s">
        <v>5</v>
      </c>
      <c r="C101" s="226" t="s">
        <v>36</v>
      </c>
      <c r="D101" s="115" t="s">
        <v>256</v>
      </c>
      <c r="E101" s="133"/>
      <c r="F101" s="1870" t="s">
        <v>43</v>
      </c>
      <c r="G101" s="1040" t="s">
        <v>25</v>
      </c>
      <c r="H101" s="408">
        <v>28</v>
      </c>
      <c r="I101" s="130">
        <v>28</v>
      </c>
      <c r="J101" s="58">
        <v>28</v>
      </c>
      <c r="K101" s="74"/>
      <c r="L101" s="28"/>
      <c r="M101" s="808"/>
      <c r="N101" s="700"/>
    </row>
    <row r="102" spans="1:16" ht="13.5" customHeight="1" x14ac:dyDescent="0.2">
      <c r="A102" s="1809"/>
      <c r="B102" s="1820"/>
      <c r="C102" s="97"/>
      <c r="D102" s="440" t="s">
        <v>88</v>
      </c>
      <c r="E102" s="1841"/>
      <c r="F102" s="1811"/>
      <c r="G102" s="91"/>
      <c r="H102" s="1660"/>
      <c r="I102" s="128"/>
      <c r="J102" s="1660"/>
      <c r="K102" s="2095" t="s">
        <v>153</v>
      </c>
      <c r="L102" s="465">
        <v>100</v>
      </c>
      <c r="M102" s="796">
        <v>100</v>
      </c>
      <c r="N102" s="1045">
        <v>100</v>
      </c>
    </row>
    <row r="103" spans="1:16" ht="16.5" customHeight="1" x14ac:dyDescent="0.2">
      <c r="A103" s="1809"/>
      <c r="B103" s="1820"/>
      <c r="C103" s="97"/>
      <c r="D103" s="150"/>
      <c r="E103" s="1868"/>
      <c r="F103" s="1812"/>
      <c r="G103" s="87"/>
      <c r="H103" s="65"/>
      <c r="I103" s="103"/>
      <c r="J103" s="65"/>
      <c r="K103" s="2410"/>
      <c r="L103" s="478"/>
      <c r="M103" s="485"/>
      <c r="N103" s="652"/>
    </row>
    <row r="104" spans="1:16" s="9" customFormat="1" ht="49.5" customHeight="1" x14ac:dyDescent="0.2">
      <c r="A104" s="1809"/>
      <c r="B104" s="1820"/>
      <c r="C104" s="1811"/>
      <c r="D104" s="526" t="s">
        <v>80</v>
      </c>
      <c r="E104" s="259"/>
      <c r="F104" s="1866"/>
      <c r="G104" s="1041"/>
      <c r="H104" s="360"/>
      <c r="I104" s="359"/>
      <c r="J104" s="360"/>
      <c r="K104" s="2411"/>
      <c r="L104" s="466"/>
      <c r="M104" s="802"/>
      <c r="N104" s="830"/>
      <c r="P104" s="1"/>
    </row>
    <row r="105" spans="1:16" ht="16.5" customHeight="1" thickBot="1" x14ac:dyDescent="0.25">
      <c r="A105" s="72"/>
      <c r="B105" s="1833"/>
      <c r="C105" s="99"/>
      <c r="D105" s="241"/>
      <c r="E105" s="1151"/>
      <c r="F105" s="99"/>
      <c r="G105" s="93" t="s">
        <v>6</v>
      </c>
      <c r="H105" s="93">
        <f>SUM(H101:H104)</f>
        <v>28</v>
      </c>
      <c r="I105" s="93">
        <f t="shared" ref="I105:J105" si="4">SUM(I101:I104)</f>
        <v>28</v>
      </c>
      <c r="J105" s="93">
        <f t="shared" si="4"/>
        <v>28</v>
      </c>
      <c r="K105" s="1058"/>
      <c r="L105" s="192"/>
      <c r="M105" s="807"/>
      <c r="N105" s="599"/>
    </row>
    <row r="106" spans="1:16" ht="14.25" customHeight="1" thickBot="1" x14ac:dyDescent="0.25">
      <c r="A106" s="82" t="s">
        <v>5</v>
      </c>
      <c r="B106" s="280" t="s">
        <v>5</v>
      </c>
      <c r="C106" s="2154" t="s">
        <v>8</v>
      </c>
      <c r="D106" s="2155"/>
      <c r="E106" s="2155"/>
      <c r="F106" s="2155"/>
      <c r="G106" s="2156"/>
      <c r="H106" s="144">
        <f>H105+H100+H95+H83+H73+H58+H42</f>
        <v>10120</v>
      </c>
      <c r="I106" s="144">
        <f>I105+I100+I95+I83+I73+I58+I42</f>
        <v>20747.5</v>
      </c>
      <c r="J106" s="144">
        <f>J105+J100+J95+J83+J73+J58+J42</f>
        <v>15679.6</v>
      </c>
      <c r="K106" s="1836"/>
      <c r="L106" s="1867"/>
      <c r="M106" s="1867"/>
      <c r="N106" s="1837"/>
    </row>
    <row r="107" spans="1:16" ht="14.25" customHeight="1" thickBot="1" x14ac:dyDescent="0.25">
      <c r="A107" s="82" t="s">
        <v>5</v>
      </c>
      <c r="B107" s="280" t="s">
        <v>7</v>
      </c>
      <c r="C107" s="2340" t="s">
        <v>32</v>
      </c>
      <c r="D107" s="2340"/>
      <c r="E107" s="2340"/>
      <c r="F107" s="2340"/>
      <c r="G107" s="2340"/>
      <c r="H107" s="2341"/>
      <c r="I107" s="2341"/>
      <c r="J107" s="2341"/>
      <c r="K107" s="2340"/>
      <c r="L107" s="2159"/>
      <c r="M107" s="2159"/>
      <c r="N107" s="2342"/>
    </row>
    <row r="108" spans="1:16" ht="14.1" customHeight="1" x14ac:dyDescent="0.2">
      <c r="A108" s="1831" t="s">
        <v>5</v>
      </c>
      <c r="B108" s="279" t="s">
        <v>7</v>
      </c>
      <c r="C108" s="1870" t="s">
        <v>5</v>
      </c>
      <c r="D108" s="227" t="s">
        <v>57</v>
      </c>
      <c r="E108" s="2319" t="s">
        <v>120</v>
      </c>
      <c r="F108" s="1829">
        <v>6</v>
      </c>
      <c r="G108" s="190" t="s">
        <v>25</v>
      </c>
      <c r="H108" s="223">
        <v>5098.3</v>
      </c>
      <c r="I108" s="223">
        <f>5248-99+5</f>
        <v>5154</v>
      </c>
      <c r="J108" s="223">
        <f>5245.4+5</f>
        <v>5250.4</v>
      </c>
      <c r="K108" s="1938"/>
      <c r="L108" s="1941"/>
      <c r="M108" s="1942"/>
      <c r="N108" s="1943"/>
    </row>
    <row r="109" spans="1:16" ht="14.1" customHeight="1" x14ac:dyDescent="0.2">
      <c r="A109" s="1809"/>
      <c r="B109" s="1820"/>
      <c r="C109" s="1811"/>
      <c r="D109" s="370"/>
      <c r="E109" s="2394"/>
      <c r="F109" s="1812"/>
      <c r="G109" s="87" t="s">
        <v>70</v>
      </c>
      <c r="H109" s="87">
        <v>198.7</v>
      </c>
      <c r="I109" s="87">
        <v>295.7</v>
      </c>
      <c r="J109" s="87">
        <v>107</v>
      </c>
      <c r="K109" s="177"/>
      <c r="L109" s="175"/>
      <c r="M109" s="567"/>
      <c r="N109" s="605"/>
    </row>
    <row r="110" spans="1:16" ht="14.1" customHeight="1" x14ac:dyDescent="0.2">
      <c r="A110" s="1809"/>
      <c r="B110" s="1820"/>
      <c r="C110" s="1811"/>
      <c r="D110" s="371"/>
      <c r="E110" s="2041"/>
      <c r="F110" s="1863"/>
      <c r="G110" s="90" t="s">
        <v>77</v>
      </c>
      <c r="H110" s="90">
        <f>350+55</f>
        <v>405</v>
      </c>
      <c r="I110" s="90"/>
      <c r="J110" s="90"/>
      <c r="K110" s="208"/>
      <c r="L110" s="207"/>
      <c r="M110" s="568"/>
      <c r="N110" s="1944"/>
    </row>
    <row r="111" spans="1:16" ht="14.25" customHeight="1" x14ac:dyDescent="0.2">
      <c r="A111" s="1809"/>
      <c r="B111" s="1820"/>
      <c r="C111" s="1811"/>
      <c r="D111" s="1823" t="s">
        <v>52</v>
      </c>
      <c r="E111" s="925"/>
      <c r="F111" s="1830"/>
      <c r="G111" s="86"/>
      <c r="H111" s="1945"/>
      <c r="I111" s="1946"/>
      <c r="J111" s="1946"/>
      <c r="K111" s="1940"/>
      <c r="L111" s="175"/>
      <c r="M111" s="567"/>
      <c r="N111" s="605"/>
    </row>
    <row r="112" spans="1:16" ht="15.75" customHeight="1" x14ac:dyDescent="0.2">
      <c r="A112" s="1809"/>
      <c r="B112" s="1820"/>
      <c r="C112" s="1811"/>
      <c r="D112" s="2325" t="s">
        <v>81</v>
      </c>
      <c r="E112" s="925"/>
      <c r="F112" s="1811"/>
      <c r="G112" s="87"/>
      <c r="H112" s="65"/>
      <c r="I112" s="135"/>
      <c r="J112" s="135"/>
      <c r="K112" s="1821" t="s">
        <v>41</v>
      </c>
      <c r="L112" s="232">
        <v>6</v>
      </c>
      <c r="M112" s="232">
        <v>6</v>
      </c>
      <c r="N112" s="41">
        <v>6</v>
      </c>
    </row>
    <row r="113" spans="1:15" ht="14.25" customHeight="1" x14ac:dyDescent="0.2">
      <c r="A113" s="1809"/>
      <c r="B113" s="1820"/>
      <c r="C113" s="1811"/>
      <c r="D113" s="2325"/>
      <c r="E113" s="1817"/>
      <c r="F113" s="1811"/>
      <c r="G113" s="87"/>
      <c r="H113" s="65"/>
      <c r="I113" s="135"/>
      <c r="J113" s="135"/>
      <c r="K113" s="1872"/>
      <c r="L113" s="926"/>
      <c r="M113" s="331"/>
      <c r="N113" s="1031"/>
    </row>
    <row r="114" spans="1:15" ht="19.5" customHeight="1" x14ac:dyDescent="0.2">
      <c r="A114" s="1809"/>
      <c r="B114" s="1820"/>
      <c r="C114" s="1811"/>
      <c r="D114" s="229" t="s">
        <v>82</v>
      </c>
      <c r="E114" s="1817"/>
      <c r="F114" s="1811"/>
      <c r="G114" s="87"/>
      <c r="H114" s="65"/>
      <c r="I114" s="135"/>
      <c r="J114" s="65"/>
      <c r="K114" s="89" t="s">
        <v>160</v>
      </c>
      <c r="L114" s="34">
        <v>4</v>
      </c>
      <c r="M114" s="805">
        <v>4</v>
      </c>
      <c r="N114" s="35">
        <v>4</v>
      </c>
    </row>
    <row r="115" spans="1:15" ht="26.25" customHeight="1" x14ac:dyDescent="0.2">
      <c r="A115" s="1809"/>
      <c r="B115" s="1820"/>
      <c r="C115" s="1811"/>
      <c r="D115" s="307" t="s">
        <v>83</v>
      </c>
      <c r="E115" s="1817"/>
      <c r="F115" s="1811"/>
      <c r="G115" s="86"/>
      <c r="H115" s="65"/>
      <c r="I115" s="135"/>
      <c r="J115" s="65"/>
      <c r="K115" s="1872" t="s">
        <v>161</v>
      </c>
      <c r="L115" s="197">
        <v>24.8</v>
      </c>
      <c r="M115" s="455">
        <v>24.8</v>
      </c>
      <c r="N115" s="1057">
        <v>24.8</v>
      </c>
    </row>
    <row r="116" spans="1:15" ht="21.75" customHeight="1" x14ac:dyDescent="0.2">
      <c r="A116" s="1809"/>
      <c r="B116" s="1820"/>
      <c r="C116" s="1811"/>
      <c r="D116" s="2326" t="s">
        <v>146</v>
      </c>
      <c r="E116" s="1817"/>
      <c r="F116" s="1811"/>
      <c r="G116" s="87"/>
      <c r="H116" s="65"/>
      <c r="I116" s="135"/>
      <c r="J116" s="135"/>
      <c r="K116" s="2337" t="s">
        <v>461</v>
      </c>
      <c r="L116" s="561">
        <v>4</v>
      </c>
      <c r="M116" s="560">
        <v>3</v>
      </c>
      <c r="N116" s="211">
        <v>3</v>
      </c>
    </row>
    <row r="117" spans="1:15" ht="15.75" customHeight="1" x14ac:dyDescent="0.2">
      <c r="A117" s="1809"/>
      <c r="B117" s="1820"/>
      <c r="C117" s="1811"/>
      <c r="D117" s="2406"/>
      <c r="E117" s="925"/>
      <c r="F117" s="1811"/>
      <c r="G117" s="87"/>
      <c r="H117" s="65"/>
      <c r="I117" s="87"/>
      <c r="J117" s="87"/>
      <c r="K117" s="2407"/>
      <c r="L117" s="49"/>
      <c r="M117" s="20"/>
      <c r="N117" s="1853"/>
    </row>
    <row r="118" spans="1:15" ht="14.25" customHeight="1" x14ac:dyDescent="0.2">
      <c r="A118" s="1809"/>
      <c r="B118" s="1820"/>
      <c r="C118" s="1811"/>
      <c r="D118" s="291" t="s">
        <v>181</v>
      </c>
      <c r="E118" s="925"/>
      <c r="F118" s="1811"/>
      <c r="G118" s="153"/>
      <c r="H118" s="1939"/>
      <c r="I118" s="147"/>
      <c r="J118" s="147"/>
      <c r="K118" s="1821"/>
      <c r="L118" s="204"/>
      <c r="M118" s="537"/>
      <c r="N118" s="327"/>
    </row>
    <row r="119" spans="1:15" ht="52.5" customHeight="1" x14ac:dyDescent="0.2">
      <c r="A119" s="1809"/>
      <c r="B119" s="1820"/>
      <c r="C119" s="1811"/>
      <c r="D119" s="292" t="s">
        <v>182</v>
      </c>
      <c r="E119" s="925"/>
      <c r="F119" s="1811"/>
      <c r="G119" s="87"/>
      <c r="H119" s="65"/>
      <c r="I119" s="135"/>
      <c r="J119" s="65"/>
      <c r="K119" s="45" t="s">
        <v>176</v>
      </c>
      <c r="L119" s="329">
        <v>21</v>
      </c>
      <c r="M119" s="368">
        <v>21</v>
      </c>
      <c r="N119" s="1031">
        <v>21</v>
      </c>
      <c r="O119" s="929"/>
    </row>
    <row r="120" spans="1:15" ht="22.5" customHeight="1" x14ac:dyDescent="0.2">
      <c r="A120" s="1809"/>
      <c r="B120" s="1820"/>
      <c r="C120" s="1811"/>
      <c r="D120" s="2327" t="s">
        <v>183</v>
      </c>
      <c r="E120" s="925"/>
      <c r="F120" s="1811"/>
      <c r="G120" s="87"/>
      <c r="H120" s="65"/>
      <c r="I120" s="135"/>
      <c r="J120" s="135"/>
      <c r="K120" s="2346" t="s">
        <v>257</v>
      </c>
      <c r="L120" s="328"/>
      <c r="M120" s="1855"/>
      <c r="N120" s="1853">
        <v>17</v>
      </c>
    </row>
    <row r="121" spans="1:15" ht="21" customHeight="1" x14ac:dyDescent="0.2">
      <c r="A121" s="1809"/>
      <c r="B121" s="1820"/>
      <c r="C121" s="1811"/>
      <c r="D121" s="2328"/>
      <c r="E121" s="925"/>
      <c r="F121" s="1811"/>
      <c r="G121" s="90"/>
      <c r="H121" s="1661"/>
      <c r="I121" s="136"/>
      <c r="J121" s="136"/>
      <c r="K121" s="2096"/>
      <c r="L121" s="326"/>
      <c r="M121" s="49"/>
      <c r="N121" s="21"/>
    </row>
    <row r="122" spans="1:15" ht="18" customHeight="1" x14ac:dyDescent="0.2">
      <c r="A122" s="2029"/>
      <c r="B122" s="2030"/>
      <c r="C122" s="2031"/>
      <c r="D122" s="2101" t="s">
        <v>42</v>
      </c>
      <c r="E122" s="2109"/>
      <c r="F122" s="2031"/>
      <c r="G122" s="87"/>
      <c r="H122" s="65"/>
      <c r="I122" s="135"/>
      <c r="J122" s="135"/>
      <c r="K122" s="2320" t="s">
        <v>54</v>
      </c>
      <c r="L122" s="2349">
        <v>7</v>
      </c>
      <c r="M122" s="2253">
        <v>7</v>
      </c>
      <c r="N122" s="2351">
        <v>7</v>
      </c>
    </row>
    <row r="123" spans="1:15" ht="15" customHeight="1" x14ac:dyDescent="0.2">
      <c r="A123" s="2029"/>
      <c r="B123" s="2030"/>
      <c r="C123" s="2031"/>
      <c r="D123" s="2102"/>
      <c r="E123" s="2109"/>
      <c r="F123" s="2031"/>
      <c r="G123" s="90"/>
      <c r="H123" s="1661"/>
      <c r="I123" s="136"/>
      <c r="J123" s="136"/>
      <c r="K123" s="2321"/>
      <c r="L123" s="2350"/>
      <c r="M123" s="2254"/>
      <c r="N123" s="2412"/>
    </row>
    <row r="124" spans="1:15" ht="15" customHeight="1" x14ac:dyDescent="0.2">
      <c r="A124" s="2029"/>
      <c r="B124" s="2111"/>
      <c r="C124" s="2031"/>
      <c r="D124" s="2128" t="s">
        <v>446</v>
      </c>
      <c r="E124" s="2130"/>
      <c r="F124" s="2034"/>
      <c r="G124" s="91"/>
      <c r="H124" s="1660"/>
      <c r="I124" s="134"/>
      <c r="J124" s="1660"/>
      <c r="K124" s="1845" t="s">
        <v>214</v>
      </c>
      <c r="L124" s="1852"/>
      <c r="M124" s="1806"/>
      <c r="N124" s="1869"/>
    </row>
    <row r="125" spans="1:15" ht="15" customHeight="1" x14ac:dyDescent="0.2">
      <c r="A125" s="2029"/>
      <c r="B125" s="2111"/>
      <c r="C125" s="2031"/>
      <c r="D125" s="2129"/>
      <c r="E125" s="2130"/>
      <c r="F125" s="2034"/>
      <c r="G125" s="87"/>
      <c r="H125" s="65"/>
      <c r="I125" s="135"/>
      <c r="J125" s="65"/>
      <c r="K125" s="1821" t="s">
        <v>480</v>
      </c>
      <c r="L125" s="321">
        <v>1</v>
      </c>
      <c r="M125" s="1855">
        <v>1</v>
      </c>
      <c r="N125" s="1853">
        <v>1</v>
      </c>
    </row>
    <row r="126" spans="1:15" ht="25.5" customHeight="1" x14ac:dyDescent="0.2">
      <c r="A126" s="2029"/>
      <c r="B126" s="2111"/>
      <c r="C126" s="2031"/>
      <c r="D126" s="2129"/>
      <c r="E126" s="2130"/>
      <c r="F126" s="2034"/>
      <c r="G126" s="87"/>
      <c r="H126" s="65"/>
      <c r="I126" s="87"/>
      <c r="J126" s="65"/>
      <c r="K126" s="1821" t="s">
        <v>479</v>
      </c>
      <c r="L126" s="321">
        <v>1</v>
      </c>
      <c r="M126" s="1855">
        <v>1</v>
      </c>
      <c r="N126" s="1853">
        <v>1</v>
      </c>
    </row>
    <row r="127" spans="1:15" ht="12.75" customHeight="1" x14ac:dyDescent="0.2">
      <c r="A127" s="1809"/>
      <c r="B127" s="1820"/>
      <c r="C127" s="1811"/>
      <c r="D127" s="1823"/>
      <c r="E127" s="1817"/>
      <c r="F127" s="1812"/>
      <c r="G127" s="87"/>
      <c r="H127" s="65"/>
      <c r="I127" s="103"/>
      <c r="J127" s="65"/>
      <c r="K127" s="1821" t="s">
        <v>376</v>
      </c>
      <c r="L127" s="321">
        <v>1</v>
      </c>
      <c r="M127" s="1855">
        <v>1</v>
      </c>
      <c r="N127" s="1853"/>
    </row>
    <row r="128" spans="1:15" ht="15" customHeight="1" x14ac:dyDescent="0.2">
      <c r="A128" s="1809"/>
      <c r="B128" s="1820"/>
      <c r="C128" s="1811"/>
      <c r="D128" s="1823"/>
      <c r="E128" s="925"/>
      <c r="F128" s="1812"/>
      <c r="G128" s="87"/>
      <c r="H128" s="65"/>
      <c r="I128" s="103"/>
      <c r="J128" s="65"/>
      <c r="K128" s="1821" t="s">
        <v>373</v>
      </c>
      <c r="L128" s="321">
        <v>1</v>
      </c>
      <c r="M128" s="1855">
        <v>1</v>
      </c>
      <c r="N128" s="1853">
        <v>1</v>
      </c>
    </row>
    <row r="129" spans="1:18" ht="7.5" customHeight="1" x14ac:dyDescent="0.2">
      <c r="A129" s="1809"/>
      <c r="B129" s="1820"/>
      <c r="C129" s="1811"/>
      <c r="D129" s="1823"/>
      <c r="E129" s="1817"/>
      <c r="F129" s="1812"/>
      <c r="G129" s="87"/>
      <c r="H129" s="65"/>
      <c r="I129" s="103"/>
      <c r="J129" s="65"/>
      <c r="K129" s="1821"/>
      <c r="L129" s="321"/>
      <c r="M129" s="1855"/>
      <c r="N129" s="1853"/>
    </row>
    <row r="130" spans="1:18" ht="22.5" customHeight="1" x14ac:dyDescent="0.2">
      <c r="A130" s="2029"/>
      <c r="B130" s="2111"/>
      <c r="C130" s="2031"/>
      <c r="D130" s="2101" t="s">
        <v>144</v>
      </c>
      <c r="E130" s="2112" t="s">
        <v>455</v>
      </c>
      <c r="F130" s="2034"/>
      <c r="G130" s="91"/>
      <c r="H130" s="1660"/>
      <c r="I130" s="128"/>
      <c r="J130" s="1660"/>
      <c r="K130" s="1846" t="s">
        <v>377</v>
      </c>
      <c r="L130" s="1362">
        <v>205</v>
      </c>
      <c r="M130" s="869"/>
      <c r="N130" s="665"/>
    </row>
    <row r="131" spans="1:18" ht="26.25" customHeight="1" x14ac:dyDescent="0.2">
      <c r="A131" s="2029"/>
      <c r="B131" s="2111"/>
      <c r="C131" s="2031"/>
      <c r="D131" s="2102"/>
      <c r="E131" s="2110"/>
      <c r="F131" s="2034"/>
      <c r="G131" s="90"/>
      <c r="H131" s="1661"/>
      <c r="I131" s="90"/>
      <c r="J131" s="1661"/>
      <c r="K131" s="1865" t="s">
        <v>378</v>
      </c>
      <c r="L131" s="1930">
        <f>65+18</f>
        <v>83</v>
      </c>
      <c r="M131" s="1931">
        <v>100</v>
      </c>
      <c r="N131" s="666"/>
    </row>
    <row r="132" spans="1:18" ht="19.5" customHeight="1" x14ac:dyDescent="0.2">
      <c r="A132" s="1815"/>
      <c r="B132" s="1820"/>
      <c r="C132" s="226"/>
      <c r="D132" s="2129" t="s">
        <v>233</v>
      </c>
      <c r="E132" s="1835"/>
      <c r="F132" s="1812"/>
      <c r="G132" s="65"/>
      <c r="H132" s="65"/>
      <c r="I132" s="87"/>
      <c r="J132" s="65"/>
      <c r="K132" s="1822" t="s">
        <v>234</v>
      </c>
      <c r="L132" s="264">
        <v>1</v>
      </c>
      <c r="M132" s="463"/>
      <c r="N132" s="1847"/>
      <c r="P132" s="52"/>
      <c r="Q132" s="52"/>
      <c r="R132" s="52"/>
    </row>
    <row r="133" spans="1:18" ht="15" customHeight="1" x14ac:dyDescent="0.2">
      <c r="A133" s="1815"/>
      <c r="B133" s="1820"/>
      <c r="C133" s="226"/>
      <c r="D133" s="2129"/>
      <c r="E133" s="1835"/>
      <c r="F133" s="1812"/>
      <c r="G133" s="1661"/>
      <c r="H133" s="1661"/>
      <c r="I133" s="136"/>
      <c r="J133" s="136"/>
      <c r="K133" s="1822"/>
      <c r="L133" s="339"/>
      <c r="M133" s="321"/>
      <c r="N133" s="1853"/>
    </row>
    <row r="134" spans="1:18" ht="16.5" customHeight="1" thickBot="1" x14ac:dyDescent="0.25">
      <c r="A134" s="72"/>
      <c r="B134" s="1833"/>
      <c r="C134" s="99"/>
      <c r="D134" s="241"/>
      <c r="E134" s="1151"/>
      <c r="F134" s="99"/>
      <c r="G134" s="93" t="s">
        <v>6</v>
      </c>
      <c r="H134" s="93">
        <f>SUM(H108:H133)</f>
        <v>5702</v>
      </c>
      <c r="I134" s="93">
        <f t="shared" ref="I134:J134" si="5">SUM(I108:I133)</f>
        <v>5449.7</v>
      </c>
      <c r="J134" s="93">
        <f t="shared" si="5"/>
        <v>5357.4</v>
      </c>
      <c r="K134" s="1058"/>
      <c r="L134" s="192"/>
      <c r="M134" s="807"/>
      <c r="N134" s="599"/>
    </row>
    <row r="135" spans="1:18" ht="27.75" customHeight="1" x14ac:dyDescent="0.2">
      <c r="A135" s="1825" t="s">
        <v>5</v>
      </c>
      <c r="B135" s="1827" t="s">
        <v>7</v>
      </c>
      <c r="C135" s="1829" t="s">
        <v>7</v>
      </c>
      <c r="D135" s="1502" t="s">
        <v>403</v>
      </c>
      <c r="E135" s="1486"/>
      <c r="F135" s="1494"/>
      <c r="G135" s="75"/>
      <c r="H135" s="95"/>
      <c r="I135" s="1496"/>
      <c r="J135" s="68"/>
      <c r="K135" s="1497"/>
      <c r="L135" s="1499"/>
      <c r="M135" s="1500"/>
      <c r="N135" s="1501"/>
    </row>
    <row r="136" spans="1:18" ht="14.25" customHeight="1" x14ac:dyDescent="0.2">
      <c r="A136" s="1815"/>
      <c r="B136" s="1820"/>
      <c r="C136" s="226"/>
      <c r="D136" s="2101" t="s">
        <v>131</v>
      </c>
      <c r="E136" s="2112" t="s">
        <v>326</v>
      </c>
      <c r="F136" s="1839">
        <v>6</v>
      </c>
      <c r="G136" s="91" t="s">
        <v>70</v>
      </c>
      <c r="H136" s="1660">
        <f>33.4+48</f>
        <v>81.400000000000006</v>
      </c>
      <c r="I136" s="1660">
        <v>80</v>
      </c>
      <c r="J136" s="1660"/>
      <c r="K136" s="1821" t="s">
        <v>236</v>
      </c>
      <c r="L136" s="1873">
        <v>8</v>
      </c>
      <c r="M136" s="1873">
        <v>5</v>
      </c>
      <c r="N136" s="1869"/>
    </row>
    <row r="137" spans="1:18" ht="13.5" customHeight="1" x14ac:dyDescent="0.2">
      <c r="A137" s="1815"/>
      <c r="B137" s="1820"/>
      <c r="C137" s="226"/>
      <c r="D137" s="2108"/>
      <c r="E137" s="2109"/>
      <c r="F137" s="1839"/>
      <c r="G137" s="87" t="s">
        <v>77</v>
      </c>
      <c r="H137" s="65">
        <v>6.8</v>
      </c>
      <c r="I137" s="65"/>
      <c r="J137" s="65"/>
      <c r="K137" s="1872"/>
      <c r="L137" s="926"/>
      <c r="M137" s="926"/>
      <c r="N137" s="1031"/>
    </row>
    <row r="138" spans="1:18" ht="30" customHeight="1" x14ac:dyDescent="0.2">
      <c r="A138" s="1815"/>
      <c r="B138" s="1820"/>
      <c r="C138" s="226"/>
      <c r="D138" s="2297"/>
      <c r="E138" s="118"/>
      <c r="F138" s="1863"/>
      <c r="G138" s="90"/>
      <c r="H138" s="1661"/>
      <c r="I138" s="1661"/>
      <c r="J138" s="1661"/>
      <c r="K138" s="216" t="s">
        <v>132</v>
      </c>
      <c r="L138" s="20">
        <v>8</v>
      </c>
      <c r="M138" s="322">
        <v>5</v>
      </c>
      <c r="N138" s="21"/>
    </row>
    <row r="139" spans="1:18" ht="16.5" customHeight="1" x14ac:dyDescent="0.2">
      <c r="A139" s="340"/>
      <c r="B139" s="1828"/>
      <c r="C139" s="1839"/>
      <c r="D139" s="2101" t="s">
        <v>404</v>
      </c>
      <c r="E139" s="1817" t="s">
        <v>47</v>
      </c>
      <c r="F139" s="1812" t="s">
        <v>43</v>
      </c>
      <c r="G139" s="683" t="s">
        <v>70</v>
      </c>
      <c r="H139" s="65">
        <v>462.4</v>
      </c>
      <c r="I139" s="103">
        <v>160</v>
      </c>
      <c r="J139" s="65">
        <v>354.4</v>
      </c>
      <c r="K139" s="1872" t="s">
        <v>367</v>
      </c>
      <c r="L139" s="1279" t="s">
        <v>366</v>
      </c>
      <c r="M139" s="822"/>
      <c r="N139" s="583"/>
    </row>
    <row r="140" spans="1:18" ht="15" customHeight="1" x14ac:dyDescent="0.2">
      <c r="A140" s="340"/>
      <c r="B140" s="1828"/>
      <c r="C140" s="1839"/>
      <c r="D140" s="2417"/>
      <c r="E140" s="1817"/>
      <c r="F140" s="1812"/>
      <c r="G140" s="683" t="s">
        <v>62</v>
      </c>
      <c r="H140" s="65">
        <v>0.4</v>
      </c>
      <c r="I140" s="103"/>
      <c r="J140" s="65"/>
      <c r="K140" s="1843" t="s">
        <v>259</v>
      </c>
      <c r="L140" s="554" t="s">
        <v>56</v>
      </c>
      <c r="M140" s="204"/>
      <c r="N140" s="362"/>
    </row>
    <row r="141" spans="1:18" ht="15.75" customHeight="1" x14ac:dyDescent="0.2">
      <c r="A141" s="340"/>
      <c r="B141" s="1828"/>
      <c r="C141" s="1839"/>
      <c r="D141" s="2417"/>
      <c r="E141" s="1817"/>
      <c r="F141" s="1812"/>
      <c r="G141" s="683"/>
      <c r="H141" s="65"/>
      <c r="I141" s="103"/>
      <c r="J141" s="65"/>
      <c r="K141" s="841" t="s">
        <v>368</v>
      </c>
      <c r="L141" s="554"/>
      <c r="M141" s="204"/>
      <c r="N141" s="362" t="s">
        <v>224</v>
      </c>
    </row>
    <row r="142" spans="1:18" ht="40.5" customHeight="1" x14ac:dyDescent="0.2">
      <c r="A142" s="340"/>
      <c r="B142" s="1828"/>
      <c r="C142" s="1839"/>
      <c r="D142" s="1816"/>
      <c r="E142" s="1817"/>
      <c r="F142" s="1812"/>
      <c r="G142" s="683"/>
      <c r="H142" s="65"/>
      <c r="I142" s="103"/>
      <c r="J142" s="65"/>
      <c r="K142" s="1842" t="s">
        <v>469</v>
      </c>
      <c r="L142" s="1530"/>
      <c r="M142" s="473" t="s">
        <v>56</v>
      </c>
      <c r="N142" s="474"/>
    </row>
    <row r="143" spans="1:18" ht="16.5" customHeight="1" thickBot="1" x14ac:dyDescent="0.25">
      <c r="A143" s="72"/>
      <c r="B143" s="1833"/>
      <c r="C143" s="99"/>
      <c r="D143" s="241"/>
      <c r="E143" s="1151"/>
      <c r="F143" s="99"/>
      <c r="G143" s="93" t="s">
        <v>6</v>
      </c>
      <c r="H143" s="93">
        <f>SUM(H136:H142)</f>
        <v>551</v>
      </c>
      <c r="I143" s="93">
        <f t="shared" ref="I143:J143" si="6">SUM(I136:I142)</f>
        <v>240</v>
      </c>
      <c r="J143" s="93">
        <f t="shared" si="6"/>
        <v>354.4</v>
      </c>
      <c r="K143" s="1058"/>
      <c r="L143" s="192"/>
      <c r="M143" s="807"/>
      <c r="N143" s="599"/>
    </row>
    <row r="144" spans="1:18" ht="14.25" customHeight="1" x14ac:dyDescent="0.2">
      <c r="A144" s="2131" t="s">
        <v>5</v>
      </c>
      <c r="B144" s="2134" t="s">
        <v>7</v>
      </c>
      <c r="C144" s="2137" t="s">
        <v>28</v>
      </c>
      <c r="D144" s="2416" t="s">
        <v>130</v>
      </c>
      <c r="E144" s="1149" t="s">
        <v>47</v>
      </c>
      <c r="F144" s="2137">
        <v>5</v>
      </c>
      <c r="G144" s="65" t="s">
        <v>62</v>
      </c>
      <c r="H144" s="65">
        <v>113</v>
      </c>
      <c r="I144" s="103"/>
      <c r="J144" s="190"/>
      <c r="K144" s="2413" t="s">
        <v>263</v>
      </c>
      <c r="L144" s="282"/>
      <c r="M144" s="1036">
        <v>17</v>
      </c>
      <c r="N144" s="654"/>
    </row>
    <row r="145" spans="1:14" ht="14.25" customHeight="1" x14ac:dyDescent="0.2">
      <c r="A145" s="2132"/>
      <c r="B145" s="2135"/>
      <c r="C145" s="2138"/>
      <c r="D145" s="2108"/>
      <c r="E145" s="1150" t="s">
        <v>327</v>
      </c>
      <c r="F145" s="2138"/>
      <c r="G145" s="65" t="s">
        <v>25</v>
      </c>
      <c r="H145" s="65"/>
      <c r="I145" s="103">
        <v>639.5</v>
      </c>
      <c r="J145" s="65"/>
      <c r="K145" s="2414"/>
      <c r="L145" s="1873"/>
      <c r="M145" s="321"/>
      <c r="N145" s="1853"/>
    </row>
    <row r="146" spans="1:14" ht="15" customHeight="1" x14ac:dyDescent="0.2">
      <c r="A146" s="2132"/>
      <c r="B146" s="2135"/>
      <c r="C146" s="2138"/>
      <c r="D146" s="2108"/>
      <c r="E146" s="1150"/>
      <c r="F146" s="2138"/>
      <c r="G146" s="65" t="s">
        <v>309</v>
      </c>
      <c r="H146" s="65">
        <v>4264.5</v>
      </c>
      <c r="I146" s="103"/>
      <c r="J146" s="65"/>
      <c r="K146" s="2415"/>
      <c r="L146" s="1873"/>
      <c r="M146" s="321"/>
      <c r="N146" s="1853"/>
    </row>
    <row r="147" spans="1:14" ht="16.5" customHeight="1" thickBot="1" x14ac:dyDescent="0.25">
      <c r="A147" s="2133"/>
      <c r="B147" s="2136"/>
      <c r="C147" s="2139"/>
      <c r="D147" s="241"/>
      <c r="E147" s="1151"/>
      <c r="F147" s="2139"/>
      <c r="G147" s="93" t="s">
        <v>6</v>
      </c>
      <c r="H147" s="93">
        <f>SUM(H144:H146)</f>
        <v>4377.5</v>
      </c>
      <c r="I147" s="283">
        <f>SUM(I144:I146)</f>
        <v>639.5</v>
      </c>
      <c r="J147" s="93">
        <f>SUM(J144:J146)</f>
        <v>0</v>
      </c>
      <c r="K147" s="1058"/>
      <c r="L147" s="192"/>
      <c r="M147" s="807"/>
      <c r="N147" s="599"/>
    </row>
    <row r="148" spans="1:14" ht="14.25" customHeight="1" thickBot="1" x14ac:dyDescent="0.25">
      <c r="A148" s="94" t="s">
        <v>5</v>
      </c>
      <c r="B148" s="280" t="s">
        <v>7</v>
      </c>
      <c r="C148" s="2154" t="s">
        <v>8</v>
      </c>
      <c r="D148" s="2155"/>
      <c r="E148" s="2155"/>
      <c r="F148" s="2155"/>
      <c r="G148" s="2156"/>
      <c r="H148" s="361">
        <f>H147+H143+H134</f>
        <v>10630.5</v>
      </c>
      <c r="I148" s="361">
        <f>I147+I143+I134</f>
        <v>6329.2</v>
      </c>
      <c r="J148" s="144">
        <f>J147+J143+J134</f>
        <v>5711.8</v>
      </c>
      <c r="K148" s="2157"/>
      <c r="L148" s="2157"/>
      <c r="M148" s="2157"/>
      <c r="N148" s="2158"/>
    </row>
    <row r="149" spans="1:14" ht="18" customHeight="1" thickBot="1" x14ac:dyDescent="0.25">
      <c r="A149" s="82" t="s">
        <v>5</v>
      </c>
      <c r="B149" s="280" t="s">
        <v>28</v>
      </c>
      <c r="C149" s="2159" t="s">
        <v>118</v>
      </c>
      <c r="D149" s="2160"/>
      <c r="E149" s="2160"/>
      <c r="F149" s="2160"/>
      <c r="G149" s="2160"/>
      <c r="H149" s="2160"/>
      <c r="I149" s="2160"/>
      <c r="J149" s="2160"/>
      <c r="K149" s="2160"/>
      <c r="L149" s="2160"/>
      <c r="M149" s="2160"/>
      <c r="N149" s="2161"/>
    </row>
    <row r="150" spans="1:14" ht="14.1" customHeight="1" x14ac:dyDescent="0.2">
      <c r="A150" s="1831" t="s">
        <v>5</v>
      </c>
      <c r="B150" s="279" t="s">
        <v>28</v>
      </c>
      <c r="C150" s="1914" t="s">
        <v>5</v>
      </c>
      <c r="D150" s="2356" t="s">
        <v>114</v>
      </c>
      <c r="E150" s="1150" t="s">
        <v>327</v>
      </c>
      <c r="F150" s="426" t="s">
        <v>37</v>
      </c>
      <c r="G150" s="190" t="s">
        <v>25</v>
      </c>
      <c r="H150" s="365">
        <v>76.5</v>
      </c>
      <c r="I150" s="365"/>
      <c r="J150" s="365"/>
      <c r="K150" s="354"/>
      <c r="L150" s="230"/>
      <c r="M150" s="230"/>
      <c r="N150" s="231"/>
    </row>
    <row r="151" spans="1:14" ht="14.1" customHeight="1" x14ac:dyDescent="0.2">
      <c r="A151" s="1884"/>
      <c r="B151" s="1901"/>
      <c r="C151" s="1882"/>
      <c r="D151" s="2357"/>
      <c r="E151" s="533"/>
      <c r="F151" s="1897"/>
      <c r="G151" s="65" t="s">
        <v>62</v>
      </c>
      <c r="H151" s="135">
        <v>31.9</v>
      </c>
      <c r="I151" s="87"/>
      <c r="J151" s="87"/>
      <c r="K151" s="1891"/>
      <c r="L151" s="40"/>
      <c r="M151" s="40"/>
      <c r="N151" s="41"/>
    </row>
    <row r="152" spans="1:14" ht="14.1" customHeight="1" x14ac:dyDescent="0.2">
      <c r="A152" s="1884"/>
      <c r="B152" s="1901"/>
      <c r="C152" s="1882"/>
      <c r="D152" s="2357"/>
      <c r="E152" s="533"/>
      <c r="F152" s="1897"/>
      <c r="G152" s="65" t="s">
        <v>70</v>
      </c>
      <c r="H152" s="135">
        <v>821.1</v>
      </c>
      <c r="I152" s="135">
        <v>777.8</v>
      </c>
      <c r="J152" s="135">
        <v>787.8</v>
      </c>
      <c r="K152" s="1891"/>
      <c r="L152" s="40"/>
      <c r="M152" s="40"/>
      <c r="N152" s="41"/>
    </row>
    <row r="153" spans="1:14" ht="14.1" customHeight="1" x14ac:dyDescent="0.2">
      <c r="A153" s="1884"/>
      <c r="B153" s="1901"/>
      <c r="C153" s="1882"/>
      <c r="D153" s="2357"/>
      <c r="E153" s="533"/>
      <c r="F153" s="1897"/>
      <c r="G153" s="65" t="s">
        <v>77</v>
      </c>
      <c r="H153" s="135">
        <f>36.6+1.4</f>
        <v>38</v>
      </c>
      <c r="I153" s="87"/>
      <c r="J153" s="87"/>
      <c r="K153" s="1891"/>
      <c r="L153" s="40"/>
      <c r="M153" s="40"/>
      <c r="N153" s="41"/>
    </row>
    <row r="154" spans="1:14" ht="14.1" customHeight="1" x14ac:dyDescent="0.2">
      <c r="A154" s="1884"/>
      <c r="B154" s="1901"/>
      <c r="C154" s="1882"/>
      <c r="D154" s="2358"/>
      <c r="E154" s="533"/>
      <c r="F154" s="1897"/>
      <c r="G154" s="1661" t="s">
        <v>105</v>
      </c>
      <c r="H154" s="136">
        <v>240</v>
      </c>
      <c r="I154" s="136">
        <v>240</v>
      </c>
      <c r="J154" s="136">
        <v>240</v>
      </c>
      <c r="K154" s="1921"/>
      <c r="L154" s="42"/>
      <c r="M154" s="42"/>
      <c r="N154" s="44"/>
    </row>
    <row r="155" spans="1:14" ht="25.5" customHeight="1" x14ac:dyDescent="0.2">
      <c r="A155" s="1809"/>
      <c r="B155" s="1820"/>
      <c r="C155" s="1882"/>
      <c r="D155" s="1899" t="s">
        <v>112</v>
      </c>
      <c r="E155" s="2143" t="s">
        <v>78</v>
      </c>
      <c r="F155" s="1902"/>
      <c r="G155" s="79"/>
      <c r="H155" s="135"/>
      <c r="I155" s="65"/>
      <c r="J155" s="65"/>
      <c r="K155" s="1917" t="s">
        <v>119</v>
      </c>
      <c r="L155" s="232">
        <v>14.5</v>
      </c>
      <c r="M155" s="40">
        <v>14.5</v>
      </c>
      <c r="N155" s="41">
        <v>14.5</v>
      </c>
    </row>
    <row r="156" spans="1:14" ht="15" customHeight="1" x14ac:dyDescent="0.2">
      <c r="A156" s="1809"/>
      <c r="B156" s="1820"/>
      <c r="C156" s="1882"/>
      <c r="D156" s="1879"/>
      <c r="E156" s="2144"/>
      <c r="F156" s="1897"/>
      <c r="G156" s="65"/>
      <c r="H156" s="135"/>
      <c r="I156" s="65"/>
      <c r="J156" s="65"/>
      <c r="K156" s="1954" t="s">
        <v>38</v>
      </c>
      <c r="L156" s="25">
        <f>66+5</f>
        <v>71</v>
      </c>
      <c r="M156" s="171">
        <v>71</v>
      </c>
      <c r="N156" s="26">
        <v>71</v>
      </c>
    </row>
    <row r="157" spans="1:14" ht="15.75" customHeight="1" x14ac:dyDescent="0.2">
      <c r="A157" s="1809"/>
      <c r="B157" s="1820"/>
      <c r="C157" s="1882"/>
      <c r="D157" s="1879"/>
      <c r="E157" s="2050"/>
      <c r="F157" s="1897"/>
      <c r="G157" s="65"/>
      <c r="H157" s="135"/>
      <c r="I157" s="65"/>
      <c r="J157" s="65"/>
      <c r="K157" s="1368" t="s">
        <v>445</v>
      </c>
      <c r="L157" s="25">
        <v>100</v>
      </c>
      <c r="M157" s="1405"/>
      <c r="N157" s="1406"/>
    </row>
    <row r="158" spans="1:14" ht="13.5" customHeight="1" x14ac:dyDescent="0.2">
      <c r="A158" s="1809"/>
      <c r="B158" s="1820"/>
      <c r="C158" s="1882"/>
      <c r="D158" s="1879"/>
      <c r="E158" s="1835"/>
      <c r="F158" s="1812"/>
      <c r="G158" s="65" t="s">
        <v>105</v>
      </c>
      <c r="H158" s="135">
        <v>104</v>
      </c>
      <c r="I158" s="65"/>
      <c r="J158" s="65"/>
      <c r="K158" s="2418" t="s">
        <v>481</v>
      </c>
      <c r="L158" s="1918">
        <v>100</v>
      </c>
      <c r="M158" s="1855"/>
      <c r="N158" s="41"/>
    </row>
    <row r="159" spans="1:14" ht="14.25" customHeight="1" x14ac:dyDescent="0.2">
      <c r="A159" s="1809"/>
      <c r="B159" s="1820"/>
      <c r="C159" s="1882"/>
      <c r="D159" s="1879"/>
      <c r="E159" s="1835"/>
      <c r="F159" s="1812"/>
      <c r="G159" s="65"/>
      <c r="H159" s="135"/>
      <c r="I159" s="65"/>
      <c r="J159" s="65"/>
      <c r="K159" s="2419"/>
      <c r="L159" s="926"/>
      <c r="M159" s="1366"/>
      <c r="N159" s="1367"/>
    </row>
    <row r="160" spans="1:14" ht="27" customHeight="1" x14ac:dyDescent="0.2">
      <c r="A160" s="1809"/>
      <c r="B160" s="1820"/>
      <c r="C160" s="1882"/>
      <c r="D160" s="1879"/>
      <c r="E160" s="1835"/>
      <c r="F160" s="1812"/>
      <c r="G160" s="65"/>
      <c r="H160" s="135"/>
      <c r="I160" s="65"/>
      <c r="J160" s="65"/>
      <c r="K160" s="1954" t="s">
        <v>482</v>
      </c>
      <c r="L160" s="25">
        <v>1</v>
      </c>
      <c r="M160" s="1372"/>
      <c r="N160" s="1373"/>
    </row>
    <row r="161" spans="1:14" ht="19.5" customHeight="1" x14ac:dyDescent="0.2">
      <c r="A161" s="1809"/>
      <c r="B161" s="1820"/>
      <c r="C161" s="1882"/>
      <c r="D161" s="1879"/>
      <c r="E161" s="1835"/>
      <c r="F161" s="1812"/>
      <c r="G161" s="65"/>
      <c r="H161" s="421"/>
      <c r="I161" s="263"/>
      <c r="J161" s="263"/>
      <c r="K161" s="2420" t="s">
        <v>483</v>
      </c>
      <c r="L161" s="1918">
        <v>5</v>
      </c>
      <c r="M161" s="876"/>
      <c r="N161" s="662"/>
    </row>
    <row r="162" spans="1:14" ht="34.5" customHeight="1" x14ac:dyDescent="0.2">
      <c r="A162" s="1809"/>
      <c r="B162" s="1820"/>
      <c r="C162" s="1882"/>
      <c r="D162" s="1879"/>
      <c r="E162" s="1835"/>
      <c r="F162" s="1812"/>
      <c r="G162" s="1661"/>
      <c r="H162" s="1358"/>
      <c r="I162" s="1357"/>
      <c r="J162" s="1357"/>
      <c r="K162" s="2421"/>
      <c r="L162" s="926"/>
      <c r="M162" s="1059"/>
      <c r="N162" s="718"/>
    </row>
    <row r="163" spans="1:14" ht="14.25" customHeight="1" x14ac:dyDescent="0.2">
      <c r="A163" s="1809"/>
      <c r="B163" s="1820"/>
      <c r="C163" s="1882"/>
      <c r="D163" s="1899" t="s">
        <v>66</v>
      </c>
      <c r="E163" s="337"/>
      <c r="F163" s="1811"/>
      <c r="G163" s="65"/>
      <c r="H163" s="134"/>
      <c r="I163" s="1660"/>
      <c r="J163" s="1660"/>
      <c r="K163" s="1906" t="s">
        <v>85</v>
      </c>
      <c r="L163" s="1908">
        <v>1</v>
      </c>
      <c r="M163" s="1911">
        <v>1</v>
      </c>
      <c r="N163" s="1919">
        <v>1</v>
      </c>
    </row>
    <row r="164" spans="1:14" ht="6.75" customHeight="1" x14ac:dyDescent="0.2">
      <c r="A164" s="1809"/>
      <c r="B164" s="1820"/>
      <c r="C164" s="1882"/>
      <c r="D164" s="1885"/>
      <c r="E164" s="142"/>
      <c r="F164" s="1811"/>
      <c r="G164" s="1661"/>
      <c r="H164" s="136"/>
      <c r="I164" s="90"/>
      <c r="J164" s="90"/>
      <c r="K164" s="216"/>
      <c r="L164" s="20"/>
      <c r="M164" s="322"/>
      <c r="N164" s="21"/>
    </row>
    <row r="165" spans="1:14" ht="13.5" customHeight="1" x14ac:dyDescent="0.2">
      <c r="A165" s="1809"/>
      <c r="B165" s="1820"/>
      <c r="C165" s="1882"/>
      <c r="D165" s="2037" t="s">
        <v>121</v>
      </c>
      <c r="E165" s="1061"/>
      <c r="F165" s="497"/>
      <c r="G165" s="1660"/>
      <c r="H165" s="134"/>
      <c r="I165" s="134"/>
      <c r="J165" s="134"/>
      <c r="K165" s="2343" t="s">
        <v>484</v>
      </c>
      <c r="L165" s="1908">
        <v>14</v>
      </c>
      <c r="M165" s="1907">
        <v>14</v>
      </c>
      <c r="N165" s="1919">
        <v>14</v>
      </c>
    </row>
    <row r="166" spans="1:14" ht="15.75" customHeight="1" x14ac:dyDescent="0.2">
      <c r="A166" s="1809"/>
      <c r="B166" s="1820"/>
      <c r="C166" s="1882"/>
      <c r="D166" s="2422"/>
      <c r="E166" s="685"/>
      <c r="F166" s="497"/>
      <c r="G166" s="1661"/>
      <c r="H166" s="90"/>
      <c r="I166" s="90"/>
      <c r="J166" s="90"/>
      <c r="K166" s="2344"/>
      <c r="L166" s="20"/>
      <c r="M166" s="322"/>
      <c r="N166" s="21"/>
    </row>
    <row r="167" spans="1:14" ht="29.25" customHeight="1" x14ac:dyDescent="0.2">
      <c r="A167" s="1809"/>
      <c r="B167" s="1820"/>
      <c r="C167" s="1882"/>
      <c r="D167" s="693" t="s">
        <v>113</v>
      </c>
      <c r="E167" s="1955"/>
      <c r="F167" s="925"/>
      <c r="G167" s="1661"/>
      <c r="H167" s="1040"/>
      <c r="I167" s="1040"/>
      <c r="J167" s="1040"/>
      <c r="K167" s="216" t="s">
        <v>155</v>
      </c>
      <c r="L167" s="55">
        <v>172</v>
      </c>
      <c r="M167" s="55">
        <v>174</v>
      </c>
      <c r="N167" s="1956">
        <v>175</v>
      </c>
    </row>
    <row r="168" spans="1:14" ht="14.25" customHeight="1" x14ac:dyDescent="0.2">
      <c r="A168" s="1815"/>
      <c r="B168" s="1820"/>
      <c r="C168" s="226"/>
      <c r="D168" s="2129" t="s">
        <v>173</v>
      </c>
      <c r="E168" s="1903" t="s">
        <v>47</v>
      </c>
      <c r="F168" s="679"/>
      <c r="G168" s="65"/>
      <c r="H168" s="87"/>
      <c r="I168" s="87"/>
      <c r="J168" s="87"/>
      <c r="K168" s="2218" t="s">
        <v>151</v>
      </c>
      <c r="L168" s="502">
        <v>15</v>
      </c>
      <c r="M168" s="522"/>
      <c r="N168" s="213"/>
    </row>
    <row r="169" spans="1:14" ht="14.25" customHeight="1" x14ac:dyDescent="0.2">
      <c r="A169" s="1815"/>
      <c r="B169" s="1820"/>
      <c r="C169" s="97"/>
      <c r="D169" s="2129"/>
      <c r="E169" s="1958"/>
      <c r="F169" s="1902"/>
      <c r="G169" s="1661"/>
      <c r="H169" s="136"/>
      <c r="I169" s="136"/>
      <c r="J169" s="136"/>
      <c r="K169" s="2423"/>
      <c r="L169" s="502"/>
      <c r="M169" s="522"/>
      <c r="N169" s="213"/>
    </row>
    <row r="170" spans="1:14" ht="16.5" customHeight="1" thickBot="1" x14ac:dyDescent="0.25">
      <c r="A170" s="1904"/>
      <c r="B170" s="1901"/>
      <c r="C170" s="104"/>
      <c r="D170" s="241"/>
      <c r="E170" s="1957"/>
      <c r="F170" s="92"/>
      <c r="G170" s="141" t="s">
        <v>6</v>
      </c>
      <c r="H170" s="154">
        <f>SUM(H150:H169)</f>
        <v>1311.5</v>
      </c>
      <c r="I170" s="154">
        <f t="shared" ref="I170:J170" si="7">SUM(I150:I169)</f>
        <v>1017.8</v>
      </c>
      <c r="J170" s="154">
        <f t="shared" si="7"/>
        <v>1027.8</v>
      </c>
      <c r="K170" s="573"/>
      <c r="L170" s="192"/>
      <c r="M170" s="807"/>
      <c r="N170" s="599"/>
    </row>
    <row r="171" spans="1:14" ht="13.5" customHeight="1" x14ac:dyDescent="0.2">
      <c r="A171" s="2178" t="s">
        <v>5</v>
      </c>
      <c r="B171" s="2180" t="s">
        <v>28</v>
      </c>
      <c r="C171" s="2137" t="s">
        <v>7</v>
      </c>
      <c r="D171" s="2182" t="s">
        <v>448</v>
      </c>
      <c r="E171" s="2151" t="s">
        <v>327</v>
      </c>
      <c r="F171" s="2184" t="s">
        <v>56</v>
      </c>
      <c r="G171" s="100" t="s">
        <v>25</v>
      </c>
      <c r="H171" s="190">
        <v>136.80000000000001</v>
      </c>
      <c r="I171" s="223">
        <v>146.69999999999999</v>
      </c>
      <c r="J171" s="223">
        <v>146.69999999999999</v>
      </c>
      <c r="K171" s="243" t="s">
        <v>69</v>
      </c>
      <c r="L171" s="275">
        <v>18</v>
      </c>
      <c r="M171" s="791">
        <v>18</v>
      </c>
      <c r="N171" s="829">
        <v>18</v>
      </c>
    </row>
    <row r="172" spans="1:14" ht="12.75" customHeight="1" x14ac:dyDescent="0.2">
      <c r="A172" s="2029"/>
      <c r="B172" s="2030"/>
      <c r="C172" s="2138"/>
      <c r="D172" s="2129"/>
      <c r="E172" s="2152"/>
      <c r="F172" s="2034"/>
      <c r="G172" s="77"/>
      <c r="H172" s="58"/>
      <c r="I172" s="151"/>
      <c r="J172" s="58"/>
      <c r="K172" s="1822" t="s">
        <v>86</v>
      </c>
      <c r="L172" s="1873">
        <v>7</v>
      </c>
      <c r="M172" s="321">
        <v>7</v>
      </c>
      <c r="N172" s="1853">
        <v>7</v>
      </c>
    </row>
    <row r="173" spans="1:14" ht="16.5" customHeight="1" thickBot="1" x14ac:dyDescent="0.25">
      <c r="A173" s="2179"/>
      <c r="B173" s="2181"/>
      <c r="C173" s="2139"/>
      <c r="D173" s="2183"/>
      <c r="E173" s="2153"/>
      <c r="F173" s="2185"/>
      <c r="G173" s="141" t="s">
        <v>6</v>
      </c>
      <c r="H173" s="154">
        <f>SUM(H171:H172)</f>
        <v>136.80000000000001</v>
      </c>
      <c r="I173" s="212">
        <f>SUM(I171:I172)</f>
        <v>146.69999999999999</v>
      </c>
      <c r="J173" s="212">
        <f>SUM(J171:J172)</f>
        <v>146.69999999999999</v>
      </c>
      <c r="K173" s="573"/>
      <c r="L173" s="192"/>
      <c r="M173" s="807"/>
      <c r="N173" s="599"/>
    </row>
    <row r="174" spans="1:14" ht="12" customHeight="1" x14ac:dyDescent="0.2">
      <c r="A174" s="1825" t="s">
        <v>5</v>
      </c>
      <c r="B174" s="667" t="s">
        <v>28</v>
      </c>
      <c r="C174" s="1896" t="s">
        <v>28</v>
      </c>
      <c r="D174" s="2162" t="s">
        <v>193</v>
      </c>
      <c r="E174" s="2424" t="s">
        <v>326</v>
      </c>
      <c r="F174" s="658">
        <v>5</v>
      </c>
      <c r="G174" s="190" t="s">
        <v>25</v>
      </c>
      <c r="H174" s="190">
        <v>263.89999999999998</v>
      </c>
      <c r="I174" s="190">
        <v>55.6</v>
      </c>
      <c r="J174" s="190">
        <v>5</v>
      </c>
      <c r="K174" s="671"/>
      <c r="L174" s="187"/>
      <c r="M174" s="224"/>
      <c r="N174" s="231"/>
    </row>
    <row r="175" spans="1:14" ht="11.25" customHeight="1" x14ac:dyDescent="0.2">
      <c r="A175" s="1876"/>
      <c r="B175" s="1877"/>
      <c r="C175" s="1878"/>
      <c r="D175" s="2165"/>
      <c r="E175" s="2425"/>
      <c r="F175" s="1897"/>
      <c r="G175" s="65" t="s">
        <v>62</v>
      </c>
      <c r="H175" s="65">
        <v>289.60000000000002</v>
      </c>
      <c r="I175" s="65"/>
      <c r="J175" s="65"/>
      <c r="K175" s="1959"/>
      <c r="L175" s="232"/>
      <c r="M175" s="103"/>
      <c r="N175" s="41"/>
    </row>
    <row r="176" spans="1:14" ht="11.25" customHeight="1" x14ac:dyDescent="0.2">
      <c r="A176" s="1876"/>
      <c r="B176" s="1877"/>
      <c r="C176" s="1878"/>
      <c r="D176" s="2165"/>
      <c r="E176" s="2425"/>
      <c r="F176" s="1897"/>
      <c r="G176" s="65" t="s">
        <v>48</v>
      </c>
      <c r="H176" s="65"/>
      <c r="I176" s="87">
        <v>1500</v>
      </c>
      <c r="J176" s="65">
        <v>1000</v>
      </c>
      <c r="K176" s="1959"/>
      <c r="L176" s="232"/>
      <c r="M176" s="103"/>
      <c r="N176" s="41"/>
    </row>
    <row r="177" spans="1:14" ht="12.75" customHeight="1" x14ac:dyDescent="0.2">
      <c r="A177" s="1997"/>
      <c r="B177" s="1999"/>
      <c r="C177" s="1998"/>
      <c r="D177" s="2165"/>
      <c r="E177" s="2425"/>
      <c r="F177" s="1996"/>
      <c r="G177" s="65" t="s">
        <v>309</v>
      </c>
      <c r="H177" s="65">
        <v>83.3</v>
      </c>
      <c r="I177" s="87"/>
      <c r="J177" s="65"/>
      <c r="K177" s="2000"/>
      <c r="L177" s="232"/>
      <c r="M177" s="103"/>
      <c r="N177" s="41"/>
    </row>
    <row r="178" spans="1:14" ht="13.5" customHeight="1" x14ac:dyDescent="0.2">
      <c r="A178" s="1826"/>
      <c r="B178" s="1840"/>
      <c r="C178" s="1878"/>
      <c r="D178" s="2417"/>
      <c r="E178" s="2426"/>
      <c r="F178" s="1863"/>
      <c r="G178" s="1661" t="s">
        <v>44</v>
      </c>
      <c r="H178" s="1661">
        <v>919.1</v>
      </c>
      <c r="I178" s="1661">
        <v>378</v>
      </c>
      <c r="J178" s="1661">
        <v>45</v>
      </c>
      <c r="K178" s="1959"/>
      <c r="L178" s="232"/>
      <c r="M178" s="103"/>
      <c r="N178" s="41"/>
    </row>
    <row r="179" spans="1:14" ht="14.1" customHeight="1" x14ac:dyDescent="0.2">
      <c r="A179" s="1876"/>
      <c r="B179" s="1877"/>
      <c r="C179" s="1878"/>
      <c r="D179" s="1552"/>
      <c r="E179" s="1961"/>
      <c r="F179" s="695" t="s">
        <v>37</v>
      </c>
      <c r="G179" s="1660" t="s">
        <v>70</v>
      </c>
      <c r="H179" s="1660">
        <v>12</v>
      </c>
      <c r="I179" s="91">
        <v>6</v>
      </c>
      <c r="J179" s="1660">
        <v>6</v>
      </c>
      <c r="K179" s="1959"/>
      <c r="L179" s="232"/>
      <c r="M179" s="103"/>
      <c r="N179" s="41"/>
    </row>
    <row r="180" spans="1:14" ht="14.1" customHeight="1" x14ac:dyDescent="0.2">
      <c r="A180" s="1876"/>
      <c r="B180" s="1877"/>
      <c r="C180" s="1878"/>
      <c r="D180" s="1552"/>
      <c r="E180" s="1960"/>
      <c r="F180" s="1924"/>
      <c r="G180" s="1661" t="s">
        <v>77</v>
      </c>
      <c r="H180" s="1661">
        <v>24.2</v>
      </c>
      <c r="I180" s="528"/>
      <c r="J180" s="527"/>
      <c r="K180" s="1898"/>
      <c r="L180" s="43"/>
      <c r="M180" s="155"/>
      <c r="N180" s="44"/>
    </row>
    <row r="181" spans="1:14" ht="24.75" customHeight="1" x14ac:dyDescent="0.2">
      <c r="A181" s="2132"/>
      <c r="B181" s="2167"/>
      <c r="C181" s="2138"/>
      <c r="D181" s="2128" t="s">
        <v>485</v>
      </c>
      <c r="E181" s="2143" t="s">
        <v>330</v>
      </c>
      <c r="F181" s="1839">
        <v>5</v>
      </c>
      <c r="G181" s="1660"/>
      <c r="H181" s="1660"/>
      <c r="I181" s="91"/>
      <c r="J181" s="1660"/>
      <c r="K181" s="1912" t="s">
        <v>141</v>
      </c>
      <c r="L181" s="1892"/>
      <c r="M181" s="809"/>
      <c r="N181" s="1900">
        <v>100</v>
      </c>
    </row>
    <row r="182" spans="1:14" ht="24.75" customHeight="1" x14ac:dyDescent="0.2">
      <c r="A182" s="2132"/>
      <c r="B182" s="2167"/>
      <c r="C182" s="2138"/>
      <c r="D182" s="2169"/>
      <c r="E182" s="2171"/>
      <c r="F182" s="1812"/>
      <c r="G182" s="1661"/>
      <c r="H182" s="1661"/>
      <c r="I182" s="90"/>
      <c r="J182" s="1661"/>
      <c r="K182" s="1963" t="s">
        <v>278</v>
      </c>
      <c r="L182" s="597">
        <v>1</v>
      </c>
      <c r="M182" s="1407"/>
      <c r="N182" s="1964"/>
    </row>
    <row r="183" spans="1:14" ht="15.75" customHeight="1" x14ac:dyDescent="0.2">
      <c r="A183" s="2132"/>
      <c r="B183" s="2167"/>
      <c r="C183" s="2138"/>
      <c r="D183" s="2108" t="s">
        <v>227</v>
      </c>
      <c r="E183" s="2188" t="s">
        <v>328</v>
      </c>
      <c r="F183" s="1830"/>
      <c r="G183" s="65"/>
      <c r="H183" s="65"/>
      <c r="I183" s="87"/>
      <c r="J183" s="65"/>
      <c r="K183" s="1962" t="s">
        <v>185</v>
      </c>
      <c r="L183" s="368">
        <v>1</v>
      </c>
      <c r="M183" s="1855"/>
      <c r="N183" s="1853"/>
    </row>
    <row r="184" spans="1:14" ht="20.25" customHeight="1" x14ac:dyDescent="0.2">
      <c r="A184" s="2132"/>
      <c r="B184" s="2167"/>
      <c r="C184" s="2138"/>
      <c r="D184" s="2187"/>
      <c r="E184" s="2189"/>
      <c r="F184" s="1811"/>
      <c r="G184" s="65"/>
      <c r="H184" s="65"/>
      <c r="I184" s="87"/>
      <c r="J184" s="65"/>
      <c r="K184" s="2427" t="s">
        <v>228</v>
      </c>
      <c r="L184" s="561"/>
      <c r="M184" s="560"/>
      <c r="N184" s="211">
        <v>1</v>
      </c>
    </row>
    <row r="185" spans="1:14" ht="19.5" customHeight="1" x14ac:dyDescent="0.2">
      <c r="A185" s="340"/>
      <c r="B185" s="1840"/>
      <c r="C185" s="1965"/>
      <c r="D185" s="2187"/>
      <c r="E185" s="2429"/>
      <c r="F185" s="1811"/>
      <c r="G185" s="65"/>
      <c r="H185" s="65"/>
      <c r="I185" s="87"/>
      <c r="J185" s="65"/>
      <c r="K185" s="2428"/>
      <c r="L185" s="49"/>
      <c r="M185" s="20"/>
      <c r="N185" s="1031"/>
    </row>
    <row r="186" spans="1:14" ht="14.25" customHeight="1" x14ac:dyDescent="0.2">
      <c r="A186" s="2029"/>
      <c r="B186" s="2030"/>
      <c r="C186" s="2138"/>
      <c r="D186" s="2101" t="s">
        <v>180</v>
      </c>
      <c r="E186" s="2143" t="s">
        <v>134</v>
      </c>
      <c r="F186" s="2138"/>
      <c r="G186" s="201"/>
      <c r="H186" s="1660"/>
      <c r="I186" s="91"/>
      <c r="J186" s="1048"/>
      <c r="K186" s="1925" t="s">
        <v>229</v>
      </c>
      <c r="L186" s="413">
        <v>6</v>
      </c>
      <c r="M186" s="1055"/>
      <c r="N186" s="1838"/>
    </row>
    <row r="187" spans="1:14" ht="11.25" customHeight="1" x14ac:dyDescent="0.2">
      <c r="A187" s="2029"/>
      <c r="B187" s="2030"/>
      <c r="C187" s="2138"/>
      <c r="D187" s="2187"/>
      <c r="E187" s="2170"/>
      <c r="F187" s="2138"/>
      <c r="G187" s="65"/>
      <c r="H187" s="65"/>
      <c r="I187" s="87"/>
      <c r="J187" s="541"/>
      <c r="K187" s="1859"/>
      <c r="L187" s="413"/>
      <c r="M187" s="1855"/>
      <c r="N187" s="1853"/>
    </row>
    <row r="188" spans="1:14" ht="14.25" customHeight="1" x14ac:dyDescent="0.2">
      <c r="A188" s="2029"/>
      <c r="B188" s="2030"/>
      <c r="C188" s="2138"/>
      <c r="D188" s="2190"/>
      <c r="E188" s="2171"/>
      <c r="F188" s="2138"/>
      <c r="G188" s="77"/>
      <c r="H188" s="1661"/>
      <c r="I188" s="90"/>
      <c r="J188" s="1064"/>
      <c r="K188" s="19"/>
      <c r="L188" s="55"/>
      <c r="M188" s="49"/>
      <c r="N188" s="21"/>
    </row>
    <row r="189" spans="1:14" ht="39" customHeight="1" x14ac:dyDescent="0.2">
      <c r="A189" s="1809"/>
      <c r="B189" s="1810"/>
      <c r="C189" s="1882"/>
      <c r="D189" s="1888" t="s">
        <v>486</v>
      </c>
      <c r="E189" s="768" t="s">
        <v>189</v>
      </c>
      <c r="F189" s="695" t="s">
        <v>37</v>
      </c>
      <c r="G189" s="531"/>
      <c r="H189" s="531"/>
      <c r="I189" s="698"/>
      <c r="J189" s="697"/>
      <c r="K189" s="74" t="s">
        <v>87</v>
      </c>
      <c r="L189" s="691">
        <v>1</v>
      </c>
      <c r="M189" s="691"/>
      <c r="N189" s="692"/>
    </row>
    <row r="190" spans="1:14" ht="15.75" customHeight="1" x14ac:dyDescent="0.2">
      <c r="A190" s="2029"/>
      <c r="B190" s="2030"/>
      <c r="C190" s="2138"/>
      <c r="D190" s="2101" t="s">
        <v>265</v>
      </c>
      <c r="E190" s="2143" t="s">
        <v>134</v>
      </c>
      <c r="F190" s="2442"/>
      <c r="G190" s="1660"/>
      <c r="H190" s="1660"/>
      <c r="I190" s="91"/>
      <c r="J190" s="1660"/>
      <c r="K190" s="2382" t="s">
        <v>314</v>
      </c>
      <c r="L190" s="1915">
        <v>11</v>
      </c>
      <c r="M190" s="1907">
        <v>12</v>
      </c>
      <c r="N190" s="1919">
        <v>14</v>
      </c>
    </row>
    <row r="191" spans="1:14" ht="9" customHeight="1" x14ac:dyDescent="0.2">
      <c r="A191" s="2029"/>
      <c r="B191" s="2030"/>
      <c r="C191" s="2138"/>
      <c r="D191" s="2108"/>
      <c r="E191" s="2188"/>
      <c r="F191" s="2442"/>
      <c r="G191" s="65"/>
      <c r="H191" s="67"/>
      <c r="I191" s="87"/>
      <c r="J191" s="65"/>
      <c r="K191" s="2383"/>
      <c r="L191" s="413"/>
      <c r="M191" s="1926"/>
      <c r="N191" s="1909"/>
    </row>
    <row r="192" spans="1:14" ht="25.5" customHeight="1" x14ac:dyDescent="0.2">
      <c r="A192" s="2029"/>
      <c r="B192" s="2030"/>
      <c r="C192" s="2138"/>
      <c r="D192" s="2187"/>
      <c r="E192" s="2170"/>
      <c r="F192" s="2442"/>
      <c r="G192" s="1661"/>
      <c r="H192" s="1052"/>
      <c r="I192" s="1968"/>
      <c r="J192" s="1052"/>
      <c r="K192" s="1925" t="s">
        <v>407</v>
      </c>
      <c r="L192" s="413">
        <v>3</v>
      </c>
      <c r="M192" s="1926"/>
      <c r="N192" s="1909"/>
    </row>
    <row r="193" spans="1:14" ht="16.5" customHeight="1" thickBot="1" x14ac:dyDescent="0.25">
      <c r="A193" s="1904"/>
      <c r="B193" s="1881"/>
      <c r="C193" s="1965"/>
      <c r="D193" s="1966"/>
      <c r="E193" s="1967"/>
      <c r="F193" s="1965"/>
      <c r="G193" s="141" t="s">
        <v>6</v>
      </c>
      <c r="H193" s="154">
        <f>SUM(H174:H192)</f>
        <v>1592.1</v>
      </c>
      <c r="I193" s="154">
        <f t="shared" ref="I193:J193" si="8">SUM(I174:I192)</f>
        <v>1939.6</v>
      </c>
      <c r="J193" s="154">
        <f t="shared" si="8"/>
        <v>1056</v>
      </c>
      <c r="K193" s="573"/>
      <c r="L193" s="192"/>
      <c r="M193" s="807"/>
      <c r="N193" s="599"/>
    </row>
    <row r="194" spans="1:14" ht="14.25" customHeight="1" thickBot="1" x14ac:dyDescent="0.25">
      <c r="A194" s="94" t="s">
        <v>5</v>
      </c>
      <c r="B194" s="83" t="s">
        <v>28</v>
      </c>
      <c r="C194" s="2155" t="s">
        <v>8</v>
      </c>
      <c r="D194" s="2155"/>
      <c r="E194" s="2155"/>
      <c r="F194" s="2155"/>
      <c r="G194" s="2156"/>
      <c r="H194" s="217">
        <f>H193+H173+H170</f>
        <v>3040.4</v>
      </c>
      <c r="I194" s="217">
        <f t="shared" ref="I194:J194" si="9">I193+I173+I170</f>
        <v>3104.1</v>
      </c>
      <c r="J194" s="217">
        <f t="shared" si="9"/>
        <v>2230.5</v>
      </c>
      <c r="K194" s="2157"/>
      <c r="L194" s="2157"/>
      <c r="M194" s="2157"/>
      <c r="N194" s="2158"/>
    </row>
    <row r="195" spans="1:14" ht="14.25" customHeight="1" thickBot="1" x14ac:dyDescent="0.25">
      <c r="A195" s="82" t="s">
        <v>5</v>
      </c>
      <c r="B195" s="83" t="s">
        <v>33</v>
      </c>
      <c r="C195" s="2159" t="s">
        <v>192</v>
      </c>
      <c r="D195" s="2160"/>
      <c r="E195" s="2160"/>
      <c r="F195" s="2160"/>
      <c r="G195" s="2160"/>
      <c r="H195" s="2160"/>
      <c r="I195" s="2160"/>
      <c r="J195" s="2160"/>
      <c r="K195" s="2160"/>
      <c r="L195" s="2160"/>
      <c r="M195" s="2160"/>
      <c r="N195" s="2161"/>
    </row>
    <row r="196" spans="1:14" ht="12" customHeight="1" x14ac:dyDescent="0.2">
      <c r="A196" s="1893" t="s">
        <v>5</v>
      </c>
      <c r="B196" s="1894" t="s">
        <v>33</v>
      </c>
      <c r="C196" s="260" t="s">
        <v>5</v>
      </c>
      <c r="D196" s="2356" t="s">
        <v>111</v>
      </c>
      <c r="E196" s="369"/>
      <c r="F196" s="1896">
        <v>6</v>
      </c>
      <c r="G196" s="190" t="s">
        <v>25</v>
      </c>
      <c r="H196" s="190">
        <v>1730.7</v>
      </c>
      <c r="I196" s="190">
        <v>1816.4</v>
      </c>
      <c r="J196" s="190">
        <v>1822.7</v>
      </c>
      <c r="K196" s="857"/>
      <c r="L196" s="187"/>
      <c r="M196" s="224"/>
      <c r="N196" s="231"/>
    </row>
    <row r="197" spans="1:14" ht="12" customHeight="1" x14ac:dyDescent="0.2">
      <c r="A197" s="1884"/>
      <c r="B197" s="1881"/>
      <c r="C197" s="226"/>
      <c r="D197" s="2357"/>
      <c r="E197" s="1883"/>
      <c r="F197" s="1886"/>
      <c r="G197" s="65" t="s">
        <v>62</v>
      </c>
      <c r="H197" s="65">
        <v>134.9</v>
      </c>
      <c r="I197" s="65"/>
      <c r="J197" s="65"/>
      <c r="K197" s="1910"/>
      <c r="L197" s="232"/>
      <c r="M197" s="103"/>
      <c r="N197" s="41"/>
    </row>
    <row r="198" spans="1:14" ht="12" customHeight="1" x14ac:dyDescent="0.2">
      <c r="A198" s="1884"/>
      <c r="B198" s="1881"/>
      <c r="C198" s="226"/>
      <c r="D198" s="2357"/>
      <c r="E198" s="1883"/>
      <c r="F198" s="1886"/>
      <c r="G198" s="65" t="s">
        <v>70</v>
      </c>
      <c r="H198" s="65">
        <f>268-48-30+5</f>
        <v>195</v>
      </c>
      <c r="I198" s="65">
        <f>447-30+34.1</f>
        <v>451.1</v>
      </c>
      <c r="J198" s="65">
        <f>417+98.4</f>
        <v>515.4</v>
      </c>
      <c r="K198" s="1910"/>
      <c r="L198" s="232"/>
      <c r="M198" s="103"/>
      <c r="N198" s="41"/>
    </row>
    <row r="199" spans="1:14" ht="14.1" customHeight="1" x14ac:dyDescent="0.2">
      <c r="A199" s="1884"/>
      <c r="B199" s="1881"/>
      <c r="C199" s="226"/>
      <c r="D199" s="2357"/>
      <c r="E199" s="1883"/>
      <c r="F199" s="1886"/>
      <c r="G199" s="65" t="s">
        <v>77</v>
      </c>
      <c r="H199" s="65">
        <f>270+17.9</f>
        <v>287.89999999999998</v>
      </c>
      <c r="I199" s="65"/>
      <c r="J199" s="65"/>
      <c r="K199" s="1910"/>
      <c r="L199" s="232"/>
      <c r="M199" s="103"/>
      <c r="N199" s="41"/>
    </row>
    <row r="200" spans="1:14" ht="14.1" customHeight="1" x14ac:dyDescent="0.2">
      <c r="A200" s="1884"/>
      <c r="B200" s="1881"/>
      <c r="C200" s="98"/>
      <c r="D200" s="2358"/>
      <c r="E200" s="1883"/>
      <c r="F200" s="1886"/>
      <c r="G200" s="1661" t="s">
        <v>105</v>
      </c>
      <c r="H200" s="1661">
        <v>1300.3</v>
      </c>
      <c r="I200" s="1661">
        <f>300.3+900</f>
        <v>1200.3</v>
      </c>
      <c r="J200" s="1661">
        <f>300.3+900</f>
        <v>1200.3</v>
      </c>
      <c r="K200" s="1910"/>
      <c r="L200" s="232"/>
      <c r="M200" s="103"/>
      <c r="N200" s="41"/>
    </row>
    <row r="201" spans="1:14" ht="15.75" customHeight="1" x14ac:dyDescent="0.2">
      <c r="A201" s="1884"/>
      <c r="B201" s="1881"/>
      <c r="C201" s="1990"/>
      <c r="D201" s="459" t="s">
        <v>108</v>
      </c>
      <c r="E201" s="1991"/>
      <c r="F201" s="1992"/>
      <c r="G201" s="531"/>
      <c r="H201" s="531"/>
      <c r="I201" s="531"/>
      <c r="J201" s="531"/>
      <c r="K201" s="244"/>
      <c r="L201" s="1993"/>
      <c r="M201" s="1994"/>
      <c r="N201" s="1995"/>
    </row>
    <row r="202" spans="1:14" ht="14.25" customHeight="1" x14ac:dyDescent="0.2">
      <c r="A202" s="1884"/>
      <c r="B202" s="1881"/>
      <c r="C202" s="2443" t="s">
        <v>200</v>
      </c>
      <c r="D202" s="1890" t="s">
        <v>386</v>
      </c>
      <c r="E202" s="1883"/>
      <c r="F202" s="1886"/>
      <c r="G202" s="65"/>
      <c r="H202" s="65"/>
      <c r="I202" s="65"/>
      <c r="J202" s="65"/>
      <c r="K202" s="1891" t="s">
        <v>68</v>
      </c>
      <c r="L202" s="232">
        <v>5.9</v>
      </c>
      <c r="M202" s="103"/>
      <c r="N202" s="41"/>
    </row>
    <row r="203" spans="1:14" ht="13.5" customHeight="1" x14ac:dyDescent="0.2">
      <c r="A203" s="1884"/>
      <c r="B203" s="1881"/>
      <c r="C203" s="2443"/>
      <c r="D203" s="239" t="s">
        <v>206</v>
      </c>
      <c r="E203" s="1883"/>
      <c r="F203" s="1886"/>
      <c r="G203" s="65"/>
      <c r="H203" s="65"/>
      <c r="I203" s="65"/>
      <c r="J203" s="65"/>
      <c r="K203" s="1891"/>
      <c r="L203" s="232"/>
      <c r="M203" s="103"/>
      <c r="N203" s="41"/>
    </row>
    <row r="204" spans="1:14" ht="14.25" customHeight="1" x14ac:dyDescent="0.2">
      <c r="A204" s="1884"/>
      <c r="B204" s="1881"/>
      <c r="C204" s="2443"/>
      <c r="D204" s="239" t="s">
        <v>199</v>
      </c>
      <c r="E204" s="1883"/>
      <c r="F204" s="1886"/>
      <c r="G204" s="65"/>
      <c r="H204" s="65"/>
      <c r="I204" s="65"/>
      <c r="J204" s="65"/>
      <c r="K204" s="1891"/>
      <c r="L204" s="232"/>
      <c r="M204" s="103"/>
      <c r="N204" s="41"/>
    </row>
    <row r="205" spans="1:14" ht="14.25" customHeight="1" x14ac:dyDescent="0.2">
      <c r="A205" s="1884"/>
      <c r="B205" s="1881"/>
      <c r="C205" s="2443"/>
      <c r="D205" s="1890" t="s">
        <v>210</v>
      </c>
      <c r="E205" s="1883"/>
      <c r="F205" s="1886"/>
      <c r="G205" s="65"/>
      <c r="H205" s="65"/>
      <c r="I205" s="65"/>
      <c r="J205" s="65"/>
      <c r="K205" s="1891"/>
      <c r="L205" s="232"/>
      <c r="M205" s="103"/>
      <c r="N205" s="41"/>
    </row>
    <row r="206" spans="1:14" ht="29.25" customHeight="1" x14ac:dyDescent="0.2">
      <c r="A206" s="1884"/>
      <c r="B206" s="1881"/>
      <c r="C206" s="2443"/>
      <c r="D206" s="239" t="s">
        <v>487</v>
      </c>
      <c r="E206" s="1883"/>
      <c r="F206" s="1886"/>
      <c r="G206" s="65"/>
      <c r="H206" s="65"/>
      <c r="I206" s="65"/>
      <c r="J206" s="65"/>
      <c r="K206" s="1891"/>
      <c r="L206" s="232"/>
      <c r="M206" s="103"/>
      <c r="N206" s="41"/>
    </row>
    <row r="207" spans="1:14" ht="26.25" customHeight="1" x14ac:dyDescent="0.2">
      <c r="A207" s="1884"/>
      <c r="B207" s="1881"/>
      <c r="C207" s="2443"/>
      <c r="D207" s="1969" t="s">
        <v>488</v>
      </c>
      <c r="E207" s="1883"/>
      <c r="F207" s="1886"/>
      <c r="G207" s="65"/>
      <c r="H207" s="65"/>
      <c r="I207" s="65"/>
      <c r="J207" s="65"/>
      <c r="K207" s="1891"/>
      <c r="L207" s="232"/>
      <c r="M207" s="103"/>
      <c r="N207" s="41"/>
    </row>
    <row r="208" spans="1:14" ht="27" customHeight="1" x14ac:dyDescent="0.2">
      <c r="A208" s="1884"/>
      <c r="B208" s="1881"/>
      <c r="C208" s="2443"/>
      <c r="D208" s="239" t="s">
        <v>490</v>
      </c>
      <c r="E208" s="1883"/>
      <c r="F208" s="1886"/>
      <c r="G208" s="65"/>
      <c r="H208" s="65"/>
      <c r="I208" s="65"/>
      <c r="J208" s="65"/>
      <c r="K208" s="1891"/>
      <c r="L208" s="232"/>
      <c r="M208" s="103"/>
      <c r="N208" s="41"/>
    </row>
    <row r="209" spans="1:14" ht="27" customHeight="1" x14ac:dyDescent="0.2">
      <c r="A209" s="1884"/>
      <c r="B209" s="1881"/>
      <c r="C209" s="1981"/>
      <c r="D209" s="1978" t="s">
        <v>489</v>
      </c>
      <c r="E209" s="1883"/>
      <c r="F209" s="1886"/>
      <c r="G209" s="65"/>
      <c r="H209" s="65"/>
      <c r="I209" s="65"/>
      <c r="J209" s="65"/>
      <c r="K209" s="1891"/>
      <c r="L209" s="232"/>
      <c r="M209" s="103"/>
      <c r="N209" s="41"/>
    </row>
    <row r="210" spans="1:14" ht="15" customHeight="1" x14ac:dyDescent="0.2">
      <c r="A210" s="1884"/>
      <c r="B210" s="1881"/>
      <c r="C210" s="2444" t="s">
        <v>201</v>
      </c>
      <c r="D210" s="1986" t="s">
        <v>207</v>
      </c>
      <c r="E210" s="1987"/>
      <c r="F210" s="1988"/>
      <c r="G210" s="79"/>
      <c r="H210" s="79"/>
      <c r="I210" s="79"/>
      <c r="J210" s="79"/>
      <c r="K210" s="1975" t="s">
        <v>68</v>
      </c>
      <c r="L210" s="1173"/>
      <c r="M210" s="1435">
        <v>7.9</v>
      </c>
      <c r="N210" s="1989">
        <v>7.5</v>
      </c>
    </row>
    <row r="211" spans="1:14" ht="16.5" customHeight="1" x14ac:dyDescent="0.2">
      <c r="A211" s="1884"/>
      <c r="B211" s="1881"/>
      <c r="C211" s="2443"/>
      <c r="D211" s="1969" t="s">
        <v>196</v>
      </c>
      <c r="E211" s="1976"/>
      <c r="F211" s="1977"/>
      <c r="G211" s="65"/>
      <c r="H211" s="65"/>
      <c r="I211" s="65"/>
      <c r="J211" s="65"/>
      <c r="K211" s="1982"/>
      <c r="L211" s="232"/>
      <c r="M211" s="103"/>
      <c r="N211" s="41"/>
    </row>
    <row r="212" spans="1:14" ht="15.75" customHeight="1" x14ac:dyDescent="0.2">
      <c r="A212" s="1884"/>
      <c r="B212" s="1881"/>
      <c r="C212" s="2443"/>
      <c r="D212" s="239" t="s">
        <v>211</v>
      </c>
      <c r="E212" s="1976"/>
      <c r="F212" s="1977"/>
      <c r="G212" s="65"/>
      <c r="H212" s="65"/>
      <c r="I212" s="65"/>
      <c r="J212" s="65"/>
      <c r="K212" s="1982"/>
      <c r="L212" s="232"/>
      <c r="M212" s="103"/>
      <c r="N212" s="41"/>
    </row>
    <row r="213" spans="1:14" ht="15.75" customHeight="1" x14ac:dyDescent="0.2">
      <c r="A213" s="1884"/>
      <c r="B213" s="1881"/>
      <c r="C213" s="2443"/>
      <c r="D213" s="239" t="s">
        <v>391</v>
      </c>
      <c r="E213" s="1976"/>
      <c r="F213" s="1977"/>
      <c r="G213" s="65"/>
      <c r="H213" s="65"/>
      <c r="I213" s="65"/>
      <c r="J213" s="65"/>
      <c r="K213" s="1982"/>
      <c r="L213" s="232"/>
      <c r="M213" s="103"/>
      <c r="N213" s="41"/>
    </row>
    <row r="214" spans="1:14" ht="14.25" customHeight="1" x14ac:dyDescent="0.2">
      <c r="A214" s="1884"/>
      <c r="B214" s="1881"/>
      <c r="C214" s="2445"/>
      <c r="D214" s="1979" t="s">
        <v>491</v>
      </c>
      <c r="E214" s="1984"/>
      <c r="F214" s="1980"/>
      <c r="G214" s="1661"/>
      <c r="H214" s="1661"/>
      <c r="I214" s="1661"/>
      <c r="J214" s="1661"/>
      <c r="K214" s="1983"/>
      <c r="L214" s="43"/>
      <c r="M214" s="42"/>
      <c r="N214" s="44"/>
    </row>
    <row r="215" spans="1:14" ht="27" customHeight="1" x14ac:dyDescent="0.2">
      <c r="A215" s="1884"/>
      <c r="B215" s="1881"/>
      <c r="C215" s="226"/>
      <c r="D215" s="2100" t="s">
        <v>110</v>
      </c>
      <c r="E215" s="1976"/>
      <c r="F215" s="1897"/>
      <c r="G215" s="65"/>
      <c r="H215" s="232"/>
      <c r="I215" s="65"/>
      <c r="J215" s="65"/>
      <c r="K215" s="1985" t="s">
        <v>438</v>
      </c>
      <c r="L215" s="38" t="s">
        <v>437</v>
      </c>
      <c r="M215" s="1550" t="s">
        <v>437</v>
      </c>
      <c r="N215" s="1551" t="s">
        <v>437</v>
      </c>
    </row>
    <row r="216" spans="1:14" ht="26.25" customHeight="1" x14ac:dyDescent="0.2">
      <c r="A216" s="1884"/>
      <c r="B216" s="1881"/>
      <c r="C216" s="226"/>
      <c r="D216" s="2100"/>
      <c r="E216" s="1883"/>
      <c r="F216" s="1897"/>
      <c r="G216" s="65"/>
      <c r="H216" s="232"/>
      <c r="I216" s="65"/>
      <c r="J216" s="65"/>
      <c r="K216" s="89" t="s">
        <v>40</v>
      </c>
      <c r="L216" s="198" t="s">
        <v>439</v>
      </c>
      <c r="M216" s="813" t="s">
        <v>439</v>
      </c>
      <c r="N216" s="1066" t="s">
        <v>439</v>
      </c>
    </row>
    <row r="217" spans="1:14" ht="17.25" customHeight="1" x14ac:dyDescent="0.2">
      <c r="A217" s="1884"/>
      <c r="B217" s="1881"/>
      <c r="C217" s="226"/>
      <c r="D217" s="2046"/>
      <c r="E217" s="1920"/>
      <c r="F217" s="1897"/>
      <c r="G217" s="77"/>
      <c r="H217" s="1661"/>
      <c r="I217" s="1661"/>
      <c r="J217" s="1661"/>
      <c r="K217" s="1921" t="s">
        <v>67</v>
      </c>
      <c r="L217" s="1799" t="s">
        <v>432</v>
      </c>
      <c r="M217" s="1532" t="s">
        <v>432</v>
      </c>
      <c r="N217" s="1533" t="s">
        <v>432</v>
      </c>
    </row>
    <row r="218" spans="1:14" ht="15.75" customHeight="1" x14ac:dyDescent="0.2">
      <c r="A218" s="2029"/>
      <c r="B218" s="2030"/>
      <c r="C218" s="2031"/>
      <c r="D218" s="2032" t="s">
        <v>53</v>
      </c>
      <c r="E218" s="1883"/>
      <c r="F218" s="1897"/>
      <c r="G218" s="65"/>
      <c r="H218" s="65"/>
      <c r="I218" s="65"/>
      <c r="J218" s="65"/>
      <c r="K218" s="2382" t="s">
        <v>434</v>
      </c>
      <c r="L218" s="372" t="s">
        <v>433</v>
      </c>
      <c r="M218" s="1276" t="s">
        <v>433</v>
      </c>
      <c r="N218" s="472" t="s">
        <v>433</v>
      </c>
    </row>
    <row r="219" spans="1:14" ht="18" customHeight="1" x14ac:dyDescent="0.2">
      <c r="A219" s="2029"/>
      <c r="B219" s="2030"/>
      <c r="C219" s="2031"/>
      <c r="D219" s="2033"/>
      <c r="E219" s="1920"/>
      <c r="F219" s="1897"/>
      <c r="G219" s="1068"/>
      <c r="H219" s="1068"/>
      <c r="I219" s="1068"/>
      <c r="J219" s="1661"/>
      <c r="K219" s="2435"/>
      <c r="L219" s="43"/>
      <c r="M219" s="155"/>
      <c r="N219" s="44"/>
    </row>
    <row r="220" spans="1:14" ht="14.25" customHeight="1" x14ac:dyDescent="0.2">
      <c r="A220" s="2029"/>
      <c r="B220" s="2030"/>
      <c r="C220" s="2031"/>
      <c r="D220" s="2101" t="s">
        <v>399</v>
      </c>
      <c r="E220" s="2188"/>
      <c r="F220" s="2031"/>
      <c r="G220" s="65"/>
      <c r="H220" s="65"/>
      <c r="I220" s="65"/>
      <c r="J220" s="65"/>
      <c r="K220" s="1916" t="s">
        <v>440</v>
      </c>
      <c r="L220" s="1278" t="s">
        <v>444</v>
      </c>
      <c r="M220" s="822" t="s">
        <v>444</v>
      </c>
      <c r="N220" s="583" t="s">
        <v>444</v>
      </c>
    </row>
    <row r="221" spans="1:14" ht="13.5" customHeight="1" x14ac:dyDescent="0.2">
      <c r="A221" s="2029"/>
      <c r="B221" s="2030"/>
      <c r="C221" s="2031"/>
      <c r="D221" s="2417"/>
      <c r="E221" s="2188"/>
      <c r="F221" s="2031"/>
      <c r="G221" s="65"/>
      <c r="H221" s="65"/>
      <c r="I221" s="65"/>
      <c r="J221" s="65"/>
      <c r="K221" s="1891" t="s">
        <v>435</v>
      </c>
      <c r="L221" s="38" t="s">
        <v>463</v>
      </c>
      <c r="M221" s="38" t="s">
        <v>463</v>
      </c>
      <c r="N221" s="362" t="s">
        <v>463</v>
      </c>
    </row>
    <row r="222" spans="1:14" ht="19.5" customHeight="1" x14ac:dyDescent="0.2">
      <c r="A222" s="2029"/>
      <c r="B222" s="2030"/>
      <c r="C222" s="2031"/>
      <c r="D222" s="1552"/>
      <c r="E222" s="2188"/>
      <c r="F222" s="2031"/>
      <c r="G222" s="65"/>
      <c r="H222" s="65"/>
      <c r="I222" s="65"/>
      <c r="J222" s="65"/>
      <c r="K222" s="2337" t="s">
        <v>492</v>
      </c>
      <c r="L222" s="399" t="s">
        <v>429</v>
      </c>
      <c r="M222" s="1530"/>
      <c r="N222" s="474"/>
    </row>
    <row r="223" spans="1:14" ht="5.25" customHeight="1" x14ac:dyDescent="0.2">
      <c r="A223" s="2029"/>
      <c r="B223" s="2030"/>
      <c r="C223" s="2031"/>
      <c r="D223" s="1552"/>
      <c r="E223" s="2188"/>
      <c r="F223" s="2031"/>
      <c r="G223" s="65"/>
      <c r="H223" s="65"/>
      <c r="I223" s="65"/>
      <c r="J223" s="65"/>
      <c r="K223" s="2432"/>
      <c r="L223" s="1278"/>
      <c r="M223" s="1279"/>
      <c r="N223" s="583"/>
    </row>
    <row r="224" spans="1:14" ht="43.5" customHeight="1" x14ac:dyDescent="0.2">
      <c r="A224" s="2029"/>
      <c r="B224" s="2030"/>
      <c r="C224" s="2034"/>
      <c r="D224" s="1887"/>
      <c r="E224" s="2188"/>
      <c r="F224" s="2031"/>
      <c r="G224" s="1661"/>
      <c r="H224" s="1661"/>
      <c r="I224" s="1661"/>
      <c r="J224" s="1661"/>
      <c r="K224" s="1921" t="s">
        <v>442</v>
      </c>
      <c r="L224" s="325" t="s">
        <v>430</v>
      </c>
      <c r="M224" s="555"/>
      <c r="N224" s="475"/>
    </row>
    <row r="225" spans="1:14" ht="17.25" customHeight="1" x14ac:dyDescent="0.2">
      <c r="A225" s="1884"/>
      <c r="B225" s="1881"/>
      <c r="C225" s="1897"/>
      <c r="D225" s="2108" t="s">
        <v>109</v>
      </c>
      <c r="E225" s="1883"/>
      <c r="F225" s="1897"/>
      <c r="G225" s="65"/>
      <c r="H225" s="65"/>
      <c r="I225" s="65"/>
      <c r="J225" s="65"/>
      <c r="K225" s="2430" t="s">
        <v>170</v>
      </c>
      <c r="L225" s="1918">
        <v>14</v>
      </c>
      <c r="M225" s="463">
        <v>12</v>
      </c>
      <c r="N225" s="1913">
        <v>6</v>
      </c>
    </row>
    <row r="226" spans="1:14" ht="15" customHeight="1" x14ac:dyDescent="0.2">
      <c r="A226" s="1884"/>
      <c r="B226" s="1881"/>
      <c r="C226" s="1897"/>
      <c r="D226" s="2174"/>
      <c r="E226" s="1920"/>
      <c r="F226" s="1897"/>
      <c r="G226" s="1661"/>
      <c r="H226" s="1661"/>
      <c r="I226" s="1661"/>
      <c r="J226" s="1661"/>
      <c r="K226" s="2431"/>
      <c r="L226" s="20"/>
      <c r="M226" s="322"/>
      <c r="N226" s="21"/>
    </row>
    <row r="227" spans="1:14" ht="15.75" customHeight="1" x14ac:dyDescent="0.2">
      <c r="A227" s="1904"/>
      <c r="B227" s="1881"/>
      <c r="C227" s="1897"/>
      <c r="D227" s="2032" t="s">
        <v>39</v>
      </c>
      <c r="E227" s="1889"/>
      <c r="F227" s="1897"/>
      <c r="G227" s="61"/>
      <c r="H227" s="65"/>
      <c r="I227" s="65"/>
      <c r="J227" s="65"/>
      <c r="K227" s="1880" t="s">
        <v>398</v>
      </c>
      <c r="L227" s="1908">
        <v>14</v>
      </c>
      <c r="M227" s="1911">
        <v>14</v>
      </c>
      <c r="N227" s="1919">
        <v>14</v>
      </c>
    </row>
    <row r="228" spans="1:14" ht="16.5" customHeight="1" x14ac:dyDescent="0.2">
      <c r="A228" s="1904"/>
      <c r="B228" s="1881"/>
      <c r="C228" s="1897"/>
      <c r="D228" s="2033"/>
      <c r="E228" s="1920"/>
      <c r="F228" s="1897"/>
      <c r="G228" s="1661"/>
      <c r="H228" s="1661"/>
      <c r="I228" s="1661"/>
      <c r="J228" s="90"/>
      <c r="K228" s="1891"/>
      <c r="L228" s="20"/>
      <c r="M228" s="322"/>
      <c r="N228" s="21"/>
    </row>
    <row r="229" spans="1:14" ht="15" customHeight="1" x14ac:dyDescent="0.2">
      <c r="A229" s="1904"/>
      <c r="B229" s="1881"/>
      <c r="C229" s="1897"/>
      <c r="D229" s="2032" t="s">
        <v>353</v>
      </c>
      <c r="E229" s="1883"/>
      <c r="F229" s="1897"/>
      <c r="G229" s="1656"/>
      <c r="H229" s="1660"/>
      <c r="I229" s="1660"/>
      <c r="J229" s="1660"/>
      <c r="K229" s="1346" t="s">
        <v>97</v>
      </c>
      <c r="L229" s="926">
        <v>1</v>
      </c>
      <c r="M229" s="321"/>
      <c r="N229" s="1909"/>
    </row>
    <row r="230" spans="1:14" ht="27.75" customHeight="1" x14ac:dyDescent="0.2">
      <c r="A230" s="1904"/>
      <c r="B230" s="1881"/>
      <c r="C230" s="1897"/>
      <c r="D230" s="2033"/>
      <c r="E230" s="1883"/>
      <c r="F230" s="1897"/>
      <c r="G230" s="1657" t="s">
        <v>105</v>
      </c>
      <c r="H230" s="1661">
        <v>15</v>
      </c>
      <c r="I230" s="1661">
        <v>63</v>
      </c>
      <c r="J230" s="1661"/>
      <c r="K230" s="520" t="s">
        <v>372</v>
      </c>
      <c r="L230" s="1353"/>
      <c r="M230" s="1354">
        <v>100</v>
      </c>
      <c r="N230" s="1356"/>
    </row>
    <row r="231" spans="1:14" ht="14.25" customHeight="1" x14ac:dyDescent="0.2">
      <c r="A231" s="1904"/>
      <c r="B231" s="1881"/>
      <c r="C231" s="1882"/>
      <c r="D231" s="1899" t="s">
        <v>494</v>
      </c>
      <c r="E231" s="143"/>
      <c r="F231" s="1897"/>
      <c r="G231" s="1434" t="s">
        <v>105</v>
      </c>
      <c r="H231" s="79"/>
      <c r="I231" s="1435">
        <v>5</v>
      </c>
      <c r="J231" s="1660">
        <v>10</v>
      </c>
      <c r="K231" s="1436" t="s">
        <v>46</v>
      </c>
      <c r="L231" s="560"/>
      <c r="M231" s="560">
        <v>1</v>
      </c>
      <c r="N231" s="211">
        <v>2</v>
      </c>
    </row>
    <row r="232" spans="1:14" ht="26.25" customHeight="1" x14ac:dyDescent="0.2">
      <c r="A232" s="1876"/>
      <c r="B232" s="1877"/>
      <c r="C232" s="1878"/>
      <c r="D232" s="1439" t="s">
        <v>497</v>
      </c>
      <c r="E232" s="2446"/>
      <c r="F232" s="2194"/>
      <c r="G232" s="1430"/>
      <c r="H232" s="67"/>
      <c r="I232" s="103"/>
      <c r="J232" s="65"/>
      <c r="K232" s="518" t="s">
        <v>393</v>
      </c>
      <c r="L232" s="1936"/>
      <c r="M232" s="1936"/>
      <c r="N232" s="342"/>
    </row>
    <row r="233" spans="1:14" ht="12.75" customHeight="1" x14ac:dyDescent="0.2">
      <c r="A233" s="1876"/>
      <c r="B233" s="1877"/>
      <c r="C233" s="1878"/>
      <c r="D233" s="1439" t="s">
        <v>495</v>
      </c>
      <c r="E233" s="2446"/>
      <c r="F233" s="2194"/>
      <c r="G233" s="1430"/>
      <c r="H233" s="67"/>
      <c r="I233" s="103"/>
      <c r="J233" s="65"/>
      <c r="K233" s="518"/>
      <c r="L233" s="1936"/>
      <c r="M233" s="1936"/>
      <c r="N233" s="342"/>
    </row>
    <row r="234" spans="1:14" ht="13.5" customHeight="1" x14ac:dyDescent="0.2">
      <c r="A234" s="1876"/>
      <c r="B234" s="1877"/>
      <c r="C234" s="1878"/>
      <c r="D234" s="1905" t="s">
        <v>496</v>
      </c>
      <c r="E234" s="2447"/>
      <c r="F234" s="2448"/>
      <c r="G234" s="1431"/>
      <c r="H234" s="1657"/>
      <c r="I234" s="155"/>
      <c r="J234" s="1661"/>
      <c r="K234" s="520"/>
      <c r="L234" s="1936"/>
      <c r="M234" s="413"/>
      <c r="N234" s="342"/>
    </row>
    <row r="235" spans="1:14" ht="13.5" customHeight="1" x14ac:dyDescent="0.2">
      <c r="A235" s="1904"/>
      <c r="B235" s="1901"/>
      <c r="C235" s="97"/>
      <c r="D235" s="2032" t="s">
        <v>493</v>
      </c>
      <c r="E235" s="1557" t="s">
        <v>47</v>
      </c>
      <c r="F235" s="695"/>
      <c r="G235" s="1663" t="s">
        <v>105</v>
      </c>
      <c r="H235" s="1660">
        <v>20</v>
      </c>
      <c r="I235" s="1660">
        <v>100</v>
      </c>
      <c r="J235" s="1660">
        <v>200</v>
      </c>
      <c r="K235" s="1346" t="s">
        <v>97</v>
      </c>
      <c r="L235" s="1348">
        <v>1</v>
      </c>
      <c r="M235" s="1349"/>
      <c r="N235" s="1350"/>
    </row>
    <row r="236" spans="1:14" ht="25.5" customHeight="1" x14ac:dyDescent="0.2">
      <c r="A236" s="1904"/>
      <c r="B236" s="1901"/>
      <c r="C236" s="97"/>
      <c r="D236" s="2141"/>
      <c r="E236" s="355"/>
      <c r="F236" s="1902"/>
      <c r="G236" s="1664"/>
      <c r="H236" s="1661"/>
      <c r="I236" s="1661"/>
      <c r="J236" s="1661"/>
      <c r="K236" s="518" t="s">
        <v>425</v>
      </c>
      <c r="L236" s="1970"/>
      <c r="M236" s="560">
        <v>20</v>
      </c>
      <c r="N236" s="1971">
        <v>100</v>
      </c>
    </row>
    <row r="237" spans="1:14" ht="16.5" customHeight="1" thickBot="1" x14ac:dyDescent="0.25">
      <c r="A237" s="72"/>
      <c r="B237" s="1895"/>
      <c r="C237" s="54"/>
      <c r="D237" s="1966"/>
      <c r="E237" s="1967"/>
      <c r="F237" s="54"/>
      <c r="G237" s="141" t="s">
        <v>6</v>
      </c>
      <c r="H237" s="154">
        <f>SUM(H196:H236)</f>
        <v>3683.8</v>
      </c>
      <c r="I237" s="154">
        <f t="shared" ref="I237:J237" si="10">SUM(I196:I236)</f>
        <v>3635.8</v>
      </c>
      <c r="J237" s="154">
        <f t="shared" si="10"/>
        <v>3748.4</v>
      </c>
      <c r="K237" s="573"/>
      <c r="L237" s="192"/>
      <c r="M237" s="807"/>
      <c r="N237" s="599"/>
    </row>
    <row r="238" spans="1:14" ht="26.25" customHeight="1" x14ac:dyDescent="0.2">
      <c r="A238" s="1815" t="s">
        <v>5</v>
      </c>
      <c r="B238" s="1810" t="s">
        <v>33</v>
      </c>
      <c r="C238" s="226" t="s">
        <v>7</v>
      </c>
      <c r="D238" s="2141" t="s">
        <v>152</v>
      </c>
      <c r="E238" s="2123" t="s">
        <v>47</v>
      </c>
      <c r="F238" s="2215" t="s">
        <v>43</v>
      </c>
      <c r="G238" s="65" t="s">
        <v>25</v>
      </c>
      <c r="H238" s="65"/>
      <c r="I238" s="65">
        <v>111</v>
      </c>
      <c r="J238" s="65">
        <v>199.3</v>
      </c>
      <c r="K238" s="1916" t="s">
        <v>162</v>
      </c>
      <c r="L238" s="926"/>
      <c r="M238" s="331">
        <v>1</v>
      </c>
      <c r="N238" s="1031"/>
    </row>
    <row r="239" spans="1:14" ht="26.25" customHeight="1" x14ac:dyDescent="0.2">
      <c r="A239" s="1815"/>
      <c r="B239" s="1810"/>
      <c r="C239" s="226"/>
      <c r="D239" s="2141"/>
      <c r="E239" s="2123"/>
      <c r="F239" s="2215"/>
      <c r="G239" s="65" t="s">
        <v>62</v>
      </c>
      <c r="H239" s="65">
        <v>83.9</v>
      </c>
      <c r="I239" s="65"/>
      <c r="J239" s="65"/>
      <c r="K239" s="89" t="s">
        <v>264</v>
      </c>
      <c r="L239" s="25">
        <v>100</v>
      </c>
      <c r="M239" s="330"/>
      <c r="N239" s="26"/>
    </row>
    <row r="240" spans="1:14" ht="26.25" customHeight="1" x14ac:dyDescent="0.2">
      <c r="A240" s="1815"/>
      <c r="B240" s="1810"/>
      <c r="C240" s="226"/>
      <c r="D240" s="2141"/>
      <c r="E240" s="2123"/>
      <c r="F240" s="2436"/>
      <c r="G240" s="1661"/>
      <c r="H240" s="1661"/>
      <c r="I240" s="1661"/>
      <c r="J240" s="1661"/>
      <c r="K240" s="1857" t="s">
        <v>157</v>
      </c>
      <c r="L240" s="399"/>
      <c r="M240" s="1643">
        <v>30</v>
      </c>
      <c r="N240" s="211">
        <v>100</v>
      </c>
    </row>
    <row r="241" spans="1:16" ht="17.25" customHeight="1" thickBot="1" x14ac:dyDescent="0.25">
      <c r="A241" s="72"/>
      <c r="B241" s="1833"/>
      <c r="C241" s="99"/>
      <c r="D241" s="2213"/>
      <c r="E241" s="2214"/>
      <c r="F241" s="2217"/>
      <c r="G241" s="141" t="s">
        <v>6</v>
      </c>
      <c r="H241" s="141">
        <f>SUM(H238:H239)</f>
        <v>83.9</v>
      </c>
      <c r="I241" s="141">
        <f t="shared" ref="I241:J241" si="11">SUM(I238:I239)</f>
        <v>111</v>
      </c>
      <c r="J241" s="141">
        <f t="shared" si="11"/>
        <v>199.3</v>
      </c>
      <c r="K241" s="1844"/>
      <c r="L241" s="205"/>
      <c r="M241" s="815"/>
      <c r="N241" s="892"/>
    </row>
    <row r="242" spans="1:16" ht="14.25" customHeight="1" thickBot="1" x14ac:dyDescent="0.25">
      <c r="A242" s="72" t="s">
        <v>5</v>
      </c>
      <c r="B242" s="1833" t="s">
        <v>33</v>
      </c>
      <c r="C242" s="2235" t="s">
        <v>8</v>
      </c>
      <c r="D242" s="2235"/>
      <c r="E242" s="2235"/>
      <c r="F242" s="2235"/>
      <c r="G242" s="2437"/>
      <c r="H242" s="705">
        <f>H241+H237</f>
        <v>3767.7</v>
      </c>
      <c r="I242" s="705">
        <f t="shared" ref="I242:J242" si="12">I241+I237</f>
        <v>3746.8</v>
      </c>
      <c r="J242" s="705">
        <f t="shared" si="12"/>
        <v>3947.7</v>
      </c>
      <c r="K242" s="2433"/>
      <c r="L242" s="2433"/>
      <c r="M242" s="2433"/>
      <c r="N242" s="2434"/>
    </row>
    <row r="243" spans="1:16" ht="14.25" customHeight="1" thickBot="1" x14ac:dyDescent="0.25">
      <c r="A243" s="94" t="s">
        <v>5</v>
      </c>
      <c r="B243" s="2237" t="s">
        <v>9</v>
      </c>
      <c r="C243" s="2238"/>
      <c r="D243" s="2238"/>
      <c r="E243" s="2238"/>
      <c r="F243" s="2238"/>
      <c r="G243" s="2239"/>
      <c r="H243" s="145">
        <f>H242+H194+H148+H106</f>
        <v>27558.6</v>
      </c>
      <c r="I243" s="145">
        <f>I242+I194+I148+I106</f>
        <v>33927.599999999999</v>
      </c>
      <c r="J243" s="145">
        <f>J242+J194+J148+J106</f>
        <v>27569.599999999999</v>
      </c>
      <c r="K243" s="2241"/>
      <c r="L243" s="2241"/>
      <c r="M243" s="2241"/>
      <c r="N243" s="2242"/>
    </row>
    <row r="244" spans="1:16" ht="14.25" customHeight="1" thickBot="1" x14ac:dyDescent="0.25">
      <c r="A244" s="105" t="s">
        <v>35</v>
      </c>
      <c r="B244" s="2243" t="s">
        <v>58</v>
      </c>
      <c r="C244" s="2244"/>
      <c r="D244" s="2244"/>
      <c r="E244" s="2244"/>
      <c r="F244" s="2244"/>
      <c r="G244" s="2245"/>
      <c r="H244" s="146">
        <f>SUM(H243)</f>
        <v>27558.6</v>
      </c>
      <c r="I244" s="146">
        <f>SUM(I243)</f>
        <v>33927.599999999999</v>
      </c>
      <c r="J244" s="146">
        <f t="shared" ref="J244" si="13">SUM(J243)</f>
        <v>27569.599999999999</v>
      </c>
      <c r="K244" s="2247"/>
      <c r="L244" s="2247"/>
      <c r="M244" s="2247"/>
      <c r="N244" s="2248"/>
    </row>
    <row r="245" spans="1:16" s="5" customFormat="1" ht="17.25" customHeight="1" x14ac:dyDescent="0.2">
      <c r="A245" s="1922"/>
      <c r="B245" s="1923"/>
      <c r="C245" s="1923"/>
      <c r="D245" s="1923"/>
      <c r="E245" s="1923"/>
      <c r="F245" s="1923"/>
      <c r="G245" s="1923"/>
      <c r="H245" s="1923"/>
      <c r="I245" s="1923"/>
      <c r="J245" s="1923"/>
      <c r="K245" s="1135"/>
      <c r="L245" s="1135"/>
      <c r="M245" s="1135"/>
      <c r="N245" s="1135"/>
      <c r="P245" s="1"/>
    </row>
    <row r="246" spans="1:16" s="4" customFormat="1" ht="12" customHeight="1" x14ac:dyDescent="0.2">
      <c r="A246" s="1135"/>
      <c r="B246" s="988"/>
      <c r="C246" s="988"/>
      <c r="D246" s="988"/>
      <c r="E246" s="988"/>
      <c r="F246" s="988"/>
      <c r="G246" s="988"/>
      <c r="H246" s="988"/>
      <c r="I246" s="988"/>
      <c r="J246" s="988"/>
      <c r="K246" s="988"/>
      <c r="L246" s="1135"/>
      <c r="M246" s="1135"/>
      <c r="N246" s="1135"/>
      <c r="P246" s="1"/>
    </row>
    <row r="247" spans="1:16" s="5" customFormat="1" ht="15" customHeight="1" thickBot="1" x14ac:dyDescent="0.25">
      <c r="A247" s="2284" t="s">
        <v>13</v>
      </c>
      <c r="B247" s="2284"/>
      <c r="C247" s="2284"/>
      <c r="D247" s="2284"/>
      <c r="E247" s="2284"/>
      <c r="F247" s="2284"/>
      <c r="G247" s="2284"/>
      <c r="H247" s="156"/>
      <c r="I247" s="156"/>
      <c r="J247" s="156"/>
      <c r="K247" s="106"/>
      <c r="L247" s="106"/>
      <c r="M247" s="106"/>
      <c r="N247" s="106"/>
      <c r="P247" s="1"/>
    </row>
    <row r="248" spans="1:16" ht="62.25" customHeight="1" thickBot="1" x14ac:dyDescent="0.25">
      <c r="A248" s="2451" t="s">
        <v>10</v>
      </c>
      <c r="B248" s="2452"/>
      <c r="C248" s="2452"/>
      <c r="D248" s="2452"/>
      <c r="E248" s="2452"/>
      <c r="F248" s="2452"/>
      <c r="G248" s="2453"/>
      <c r="H248" s="1023" t="s">
        <v>474</v>
      </c>
      <c r="I248" s="1047" t="s">
        <v>186</v>
      </c>
      <c r="J248" s="1047" t="s">
        <v>311</v>
      </c>
      <c r="K248" s="14"/>
      <c r="L248" s="14"/>
      <c r="M248" s="14"/>
      <c r="N248" s="14"/>
    </row>
    <row r="249" spans="1:16" ht="14.25" customHeight="1" x14ac:dyDescent="0.2">
      <c r="A249" s="2288" t="s">
        <v>14</v>
      </c>
      <c r="B249" s="2289"/>
      <c r="C249" s="2289"/>
      <c r="D249" s="2289"/>
      <c r="E249" s="2289"/>
      <c r="F249" s="2289"/>
      <c r="G249" s="2290"/>
      <c r="H249" s="1024">
        <f t="shared" ref="H249:J249" si="14">H250+H258+H259+H260+H257</f>
        <v>24850.7</v>
      </c>
      <c r="I249" s="1024">
        <f t="shared" si="14"/>
        <v>15639.6</v>
      </c>
      <c r="J249" s="1650">
        <f t="shared" si="14"/>
        <v>16160.8</v>
      </c>
      <c r="K249" s="14"/>
      <c r="L249" s="14"/>
      <c r="M249" s="14"/>
      <c r="N249" s="14"/>
    </row>
    <row r="250" spans="1:16" ht="14.25" customHeight="1" x14ac:dyDescent="0.2">
      <c r="A250" s="2223" t="s">
        <v>96</v>
      </c>
      <c r="B250" s="2224"/>
      <c r="C250" s="2224"/>
      <c r="D250" s="2224"/>
      <c r="E250" s="2224"/>
      <c r="F250" s="2224"/>
      <c r="G250" s="2225"/>
      <c r="H250" s="1025">
        <f>SUM(H251:H256)</f>
        <v>17657.5</v>
      </c>
      <c r="I250" s="1025">
        <f t="shared" ref="I250:J250" si="15">SUM(I251:I256)</f>
        <v>11023.1</v>
      </c>
      <c r="J250" s="1649">
        <f t="shared" si="15"/>
        <v>11414.1</v>
      </c>
      <c r="K250" s="14"/>
      <c r="L250" s="14"/>
      <c r="M250" s="14"/>
      <c r="N250" s="14"/>
    </row>
    <row r="251" spans="1:16" ht="14.25" customHeight="1" x14ac:dyDescent="0.2">
      <c r="A251" s="2226" t="s">
        <v>19</v>
      </c>
      <c r="B251" s="2227"/>
      <c r="C251" s="2227"/>
      <c r="D251" s="2227"/>
      <c r="E251" s="2227"/>
      <c r="F251" s="2227"/>
      <c r="G251" s="2228"/>
      <c r="H251" s="1661">
        <f>SUMIF(G13:G244,"SB",H13:H244)</f>
        <v>10056.9</v>
      </c>
      <c r="I251" s="1661">
        <f>SUMIF(G15:G244,"SB",I15:I244)</f>
        <v>9129.7000000000007</v>
      </c>
      <c r="J251" s="1661">
        <f>SUMIF(G15:G244,"SB",J15:J244)</f>
        <v>9598.7999999999993</v>
      </c>
      <c r="K251" s="14"/>
      <c r="L251" s="14"/>
      <c r="M251" s="14"/>
      <c r="N251" s="14"/>
    </row>
    <row r="252" spans="1:16" ht="14.25" customHeight="1" x14ac:dyDescent="0.2">
      <c r="A252" s="2229" t="s">
        <v>20</v>
      </c>
      <c r="B252" s="2230"/>
      <c r="C252" s="2230"/>
      <c r="D252" s="2230"/>
      <c r="E252" s="2230"/>
      <c r="F252" s="2230"/>
      <c r="G252" s="2231"/>
      <c r="H252" s="58">
        <f>SUMIF(G26:G244,"SB(P)",H26:H244)</f>
        <v>0</v>
      </c>
      <c r="I252" s="58">
        <f>SUMIF(G26:G244,"SB(P)",I26:I244)</f>
        <v>0</v>
      </c>
      <c r="J252" s="58">
        <f>SUMIF(G26:G244,"SB(P)",J26:J244)</f>
        <v>0</v>
      </c>
      <c r="K252" s="14"/>
      <c r="L252" s="14"/>
      <c r="M252" s="14"/>
      <c r="N252" s="14"/>
    </row>
    <row r="253" spans="1:16" ht="14.25" customHeight="1" x14ac:dyDescent="0.2">
      <c r="A253" s="2229" t="s">
        <v>71</v>
      </c>
      <c r="B253" s="2230"/>
      <c r="C253" s="2230"/>
      <c r="D253" s="2230"/>
      <c r="E253" s="2230"/>
      <c r="F253" s="2230"/>
      <c r="G253" s="2231"/>
      <c r="H253" s="1661">
        <f>SUMIF(G26:G244,"SB(VR)",H26:H244)</f>
        <v>1770.6</v>
      </c>
      <c r="I253" s="1661">
        <f>SUMIF(G26:G244,"SB(VR)",I26:I244)</f>
        <v>1770.6</v>
      </c>
      <c r="J253" s="1661">
        <f>SUMIF(G26:G244,"SB(VR)",J26:J244)</f>
        <v>1770.6</v>
      </c>
      <c r="K253" s="14"/>
      <c r="L253" s="14"/>
      <c r="M253" s="14"/>
      <c r="N253" s="14"/>
    </row>
    <row r="254" spans="1:16" ht="14.25" customHeight="1" x14ac:dyDescent="0.2">
      <c r="A254" s="2232" t="s">
        <v>290</v>
      </c>
      <c r="B254" s="2233"/>
      <c r="C254" s="2233"/>
      <c r="D254" s="2233"/>
      <c r="E254" s="2233"/>
      <c r="F254" s="2233"/>
      <c r="G254" s="2234"/>
      <c r="H254" s="58">
        <f>SUMIF(G16:G238,"SB(ES)",H16:H238)</f>
        <v>5830</v>
      </c>
      <c r="I254" s="58">
        <f>SUMIF(G16:G239,"SB(ES)",I16:I239)</f>
        <v>122.8</v>
      </c>
      <c r="J254" s="58">
        <f>SUMIF(G16:G238,"SB(ES)",J16:J238)</f>
        <v>0</v>
      </c>
      <c r="K254" s="14"/>
      <c r="L254" s="14"/>
      <c r="M254" s="14"/>
      <c r="N254" s="14"/>
    </row>
    <row r="255" spans="1:16" ht="14.25" customHeight="1" x14ac:dyDescent="0.2">
      <c r="A255" s="2232" t="s">
        <v>369</v>
      </c>
      <c r="B255" s="2233"/>
      <c r="C255" s="2233"/>
      <c r="D255" s="2233"/>
      <c r="E255" s="2233"/>
      <c r="F255" s="2233"/>
      <c r="G255" s="2234"/>
      <c r="H255" s="58">
        <f>SUMIF(G26:G239,"SB(VB)",H26:H239)</f>
        <v>0</v>
      </c>
      <c r="I255" s="58">
        <f>SUMIF(G26:G240,"SB(VB)",I26:I240)</f>
        <v>0</v>
      </c>
      <c r="J255" s="58">
        <f>SUMIF(G14:G239,"SB(VB)",J14:J239)</f>
        <v>44.7</v>
      </c>
      <c r="K255" s="14"/>
      <c r="L255" s="14"/>
      <c r="M255" s="14"/>
      <c r="N255" s="14"/>
    </row>
    <row r="256" spans="1:16" ht="29.25" customHeight="1" x14ac:dyDescent="0.2">
      <c r="A256" s="2274" t="s">
        <v>452</v>
      </c>
      <c r="B256" s="2275"/>
      <c r="C256" s="2275"/>
      <c r="D256" s="2275"/>
      <c r="E256" s="2275"/>
      <c r="F256" s="2275"/>
      <c r="G256" s="2276"/>
      <c r="H256" s="58">
        <f>SUMIF(G24:G245,"SB(KP)",H24:H245)</f>
        <v>0</v>
      </c>
      <c r="I256" s="58">
        <f>SUMIF(G24:G245,"SB(KP)",I24:I245)</f>
        <v>0</v>
      </c>
      <c r="J256" s="58">
        <f>SUMIF(G24:G245,"SB(KP)",J24:J245)</f>
        <v>0</v>
      </c>
      <c r="K256" s="14"/>
      <c r="L256" s="14"/>
      <c r="M256" s="14"/>
      <c r="N256" s="14"/>
    </row>
    <row r="257" spans="1:14" ht="15.75" customHeight="1" x14ac:dyDescent="0.2">
      <c r="A257" s="2280" t="s">
        <v>453</v>
      </c>
      <c r="B257" s="2449"/>
      <c r="C257" s="2449"/>
      <c r="D257" s="2449"/>
      <c r="E257" s="2449"/>
      <c r="F257" s="2449"/>
      <c r="G257" s="2450"/>
      <c r="H257" s="286">
        <f>SUMIF(G15:G244,"SB(KPP)",H15:H244)</f>
        <v>4877.8</v>
      </c>
      <c r="I257" s="286">
        <f>SUMIF(G13:G244,"SB(KPP)",I13:I244)</f>
        <v>4616.5</v>
      </c>
      <c r="J257" s="286">
        <f>SUMIF(G15:G244,"SB(KPP)",J15:J244)</f>
        <v>4746.7</v>
      </c>
      <c r="K257" s="14"/>
      <c r="L257" s="14"/>
      <c r="M257" s="14"/>
      <c r="N257" s="14"/>
    </row>
    <row r="258" spans="1:14" ht="14.25" customHeight="1" x14ac:dyDescent="0.2">
      <c r="A258" s="2277" t="s">
        <v>101</v>
      </c>
      <c r="B258" s="2278"/>
      <c r="C258" s="2278"/>
      <c r="D258" s="2278"/>
      <c r="E258" s="2278"/>
      <c r="F258" s="2278"/>
      <c r="G258" s="2279"/>
      <c r="H258" s="286">
        <f>SUMIF(G26:G243,"SB(VRL)",H26:H243)</f>
        <v>761.9</v>
      </c>
      <c r="I258" s="286">
        <f>SUMIF(G14:G243,"SB(VRL)",I14:I243)</f>
        <v>0</v>
      </c>
      <c r="J258" s="286">
        <f>SUMIF(G14:G243,"SB(VRL)",J14:J243)</f>
        <v>0</v>
      </c>
      <c r="K258" s="14"/>
      <c r="L258" s="14"/>
      <c r="M258" s="14"/>
      <c r="N258" s="14"/>
    </row>
    <row r="259" spans="1:14" ht="14.25" customHeight="1" x14ac:dyDescent="0.2">
      <c r="A259" s="2280" t="s">
        <v>102</v>
      </c>
      <c r="B259" s="2278"/>
      <c r="C259" s="2278"/>
      <c r="D259" s="2278"/>
      <c r="E259" s="2278"/>
      <c r="F259" s="2278"/>
      <c r="G259" s="2279"/>
      <c r="H259" s="286">
        <f>SUMIF(G14:G244,"SB(ŽPL)",H14:H244)</f>
        <v>480.6</v>
      </c>
      <c r="I259" s="286">
        <f>SUMIF(G26:G244,"SB(ŽPL)",I26:I244)</f>
        <v>0</v>
      </c>
      <c r="J259" s="286">
        <f>SUMIF(G26:G244,"SB(ŽPL)",J26:J244)</f>
        <v>0</v>
      </c>
      <c r="K259" s="14"/>
      <c r="L259" s="14"/>
      <c r="M259" s="14"/>
      <c r="N259" s="14"/>
    </row>
    <row r="260" spans="1:14" ht="14.25" customHeight="1" x14ac:dyDescent="0.2">
      <c r="A260" s="2281" t="s">
        <v>191</v>
      </c>
      <c r="B260" s="2282"/>
      <c r="C260" s="2282"/>
      <c r="D260" s="2282"/>
      <c r="E260" s="2282"/>
      <c r="F260" s="2282"/>
      <c r="G260" s="2283"/>
      <c r="H260" s="286">
        <f>SUMIF(G14:G244,"SB(L)",H14:H244)</f>
        <v>1072.9000000000001</v>
      </c>
      <c r="I260" s="286">
        <f>SUMIF(G14:G244,"SB(L)",I14:I244)</f>
        <v>0</v>
      </c>
      <c r="J260" s="286">
        <f>SUMIF(G14:G244,"SB(L)",J14:J244)</f>
        <v>0</v>
      </c>
      <c r="K260" s="14"/>
      <c r="L260" s="14"/>
      <c r="M260" s="14"/>
      <c r="N260" s="14"/>
    </row>
    <row r="261" spans="1:14" ht="14.25" customHeight="1" x14ac:dyDescent="0.2">
      <c r="A261" s="2262" t="s">
        <v>15</v>
      </c>
      <c r="B261" s="2263"/>
      <c r="C261" s="2263"/>
      <c r="D261" s="2263"/>
      <c r="E261" s="2263"/>
      <c r="F261" s="2263"/>
      <c r="G261" s="2264"/>
      <c r="H261" s="287">
        <f>H264+H265+H266+H262+H263</f>
        <v>2707.9</v>
      </c>
      <c r="I261" s="287">
        <f>I264+I265+I266+I262+I263</f>
        <v>18288</v>
      </c>
      <c r="J261" s="287">
        <f t="shared" ref="J261" si="16">J264+J265+J266+J262+J263</f>
        <v>11408.8</v>
      </c>
      <c r="K261" s="14"/>
      <c r="L261" s="14"/>
      <c r="M261" s="14"/>
      <c r="N261" s="14"/>
    </row>
    <row r="262" spans="1:14" ht="14.25" customHeight="1" x14ac:dyDescent="0.2">
      <c r="A262" s="2232" t="s">
        <v>21</v>
      </c>
      <c r="B262" s="2233"/>
      <c r="C262" s="2233"/>
      <c r="D262" s="2233"/>
      <c r="E262" s="2233"/>
      <c r="F262" s="2233"/>
      <c r="G262" s="2234"/>
      <c r="H262" s="58">
        <f>SUMIF(G12:G244,"ES",H12:H244)</f>
        <v>919.1</v>
      </c>
      <c r="I262" s="58">
        <f>SUMIF(G12:G244,"ES",I12:I244)</f>
        <v>1653</v>
      </c>
      <c r="J262" s="58">
        <f>SUMIF(G12:G244,"ES",J12:J244)</f>
        <v>1799.7</v>
      </c>
      <c r="K262" s="14"/>
      <c r="L262" s="14"/>
      <c r="M262" s="14"/>
      <c r="N262" s="14"/>
    </row>
    <row r="263" spans="1:14" ht="14.25" customHeight="1" x14ac:dyDescent="0.2">
      <c r="A263" s="2265" t="s">
        <v>451</v>
      </c>
      <c r="B263" s="2266"/>
      <c r="C263" s="2266"/>
      <c r="D263" s="2266"/>
      <c r="E263" s="2266"/>
      <c r="F263" s="2266"/>
      <c r="G263" s="2267"/>
      <c r="H263" s="1027">
        <f>SUMIF(G15:G243,"KPP(VIP)",H15:H243)</f>
        <v>0</v>
      </c>
      <c r="I263" s="1027">
        <f>SUMIF(G15:G243,"KPP(VIP)",I15:I243)</f>
        <v>10000</v>
      </c>
      <c r="J263" s="1648">
        <f>SUMIF(G15:G243,"KPP(VIP)",J15:J243)</f>
        <v>0</v>
      </c>
      <c r="K263" s="14"/>
      <c r="L263" s="14"/>
      <c r="M263" s="14"/>
      <c r="N263" s="14"/>
    </row>
    <row r="264" spans="1:14" ht="14.25" customHeight="1" x14ac:dyDescent="0.2">
      <c r="A264" s="2265" t="s">
        <v>22</v>
      </c>
      <c r="B264" s="2266"/>
      <c r="C264" s="2266"/>
      <c r="D264" s="2266"/>
      <c r="E264" s="2266"/>
      <c r="F264" s="2266"/>
      <c r="G264" s="2267"/>
      <c r="H264" s="58">
        <f>SUMIF(G14:G244,"KVJUD",H14:H244)</f>
        <v>1662.4</v>
      </c>
      <c r="I264" s="58">
        <f>SUMIF(G16:G244,"KVJUD",I16:I244)</f>
        <v>1500</v>
      </c>
      <c r="J264" s="58">
        <f>SUMIF(G16:G244,"KVJUD",J16:J244)</f>
        <v>1000</v>
      </c>
      <c r="K264" s="52"/>
      <c r="L264" s="52"/>
      <c r="M264" s="52"/>
      <c r="N264" s="52"/>
    </row>
    <row r="265" spans="1:14" ht="14.25" customHeight="1" x14ac:dyDescent="0.2">
      <c r="A265" s="2229" t="s">
        <v>23</v>
      </c>
      <c r="B265" s="2230"/>
      <c r="C265" s="2230"/>
      <c r="D265" s="2230"/>
      <c r="E265" s="2230"/>
      <c r="F265" s="2230"/>
      <c r="G265" s="2231"/>
      <c r="H265" s="58">
        <f>SUMIF(G26:G244,"LRVB",H26:H244)</f>
        <v>0</v>
      </c>
      <c r="I265" s="58">
        <f>SUMIF(G26:G244,"LRVB",I26:I244)</f>
        <v>5000</v>
      </c>
      <c r="J265" s="58">
        <f>SUMIF(G26:G244,"LRVB",J26:J244)</f>
        <v>8609.1</v>
      </c>
      <c r="K265" s="52"/>
      <c r="L265" s="52"/>
      <c r="M265" s="52"/>
      <c r="N265" s="52"/>
    </row>
    <row r="266" spans="1:14" ht="14.25" customHeight="1" x14ac:dyDescent="0.2">
      <c r="A266" s="2268" t="s">
        <v>24</v>
      </c>
      <c r="B266" s="2269"/>
      <c r="C266" s="2269"/>
      <c r="D266" s="2269"/>
      <c r="E266" s="2269"/>
      <c r="F266" s="2269"/>
      <c r="G266" s="2270"/>
      <c r="H266" s="58">
        <f>SUMIF(G16:G244,"Kt",H16:H244)</f>
        <v>126.4</v>
      </c>
      <c r="I266" s="58">
        <f>SUMIF(G16:G244,"Kt",I16:I244)</f>
        <v>135</v>
      </c>
      <c r="J266" s="58">
        <f>SUMIF(G16:G244,"Kt",J16:J244)</f>
        <v>0</v>
      </c>
      <c r="K266" s="52"/>
      <c r="L266" s="52"/>
      <c r="M266" s="52"/>
      <c r="N266" s="52"/>
    </row>
    <row r="267" spans="1:14" ht="14.25" customHeight="1" thickBot="1" x14ac:dyDescent="0.25">
      <c r="A267" s="2271" t="s">
        <v>16</v>
      </c>
      <c r="B267" s="2272"/>
      <c r="C267" s="2272"/>
      <c r="D267" s="2272"/>
      <c r="E267" s="2272"/>
      <c r="F267" s="2272"/>
      <c r="G267" s="2273"/>
      <c r="H267" s="288">
        <f>SUM(H249,H261)</f>
        <v>27558.6</v>
      </c>
      <c r="I267" s="288">
        <f>SUM(I249,I261)</f>
        <v>33927.599999999999</v>
      </c>
      <c r="J267" s="288">
        <f>SUM(J249,J261)</f>
        <v>27569.599999999999</v>
      </c>
      <c r="K267" s="52"/>
      <c r="L267" s="52"/>
      <c r="M267" s="52"/>
      <c r="N267" s="52"/>
    </row>
    <row r="268" spans="1:14" x14ac:dyDescent="0.2">
      <c r="G268" s="921"/>
      <c r="H268" s="922"/>
      <c r="I268" s="922"/>
      <c r="J268" s="922"/>
      <c r="K268" s="4"/>
    </row>
    <row r="269" spans="1:14" x14ac:dyDescent="0.2">
      <c r="E269" s="2354" t="s">
        <v>473</v>
      </c>
      <c r="F269" s="2354"/>
      <c r="G269" s="2354"/>
      <c r="H269" s="2354"/>
      <c r="I269" s="2354"/>
      <c r="J269" s="2354"/>
      <c r="K269" s="4"/>
    </row>
    <row r="270" spans="1:14" x14ac:dyDescent="0.2">
      <c r="G270" s="921"/>
      <c r="H270" s="993"/>
      <c r="I270" s="993"/>
      <c r="J270" s="993"/>
      <c r="K270" s="4"/>
    </row>
    <row r="271" spans="1:14" x14ac:dyDescent="0.2">
      <c r="A271" s="1"/>
      <c r="B271" s="1"/>
      <c r="C271" s="1"/>
      <c r="D271" s="1"/>
      <c r="E271" s="1"/>
      <c r="F271" s="1"/>
      <c r="G271" s="1"/>
      <c r="H271" s="52"/>
      <c r="I271" s="52"/>
      <c r="J271" s="52"/>
      <c r="K271" s="1"/>
      <c r="L271" s="1"/>
      <c r="M271" s="1"/>
      <c r="N271" s="1"/>
    </row>
    <row r="272" spans="1:14" x14ac:dyDescent="0.2">
      <c r="A272" s="1"/>
      <c r="B272" s="1"/>
      <c r="C272" s="1"/>
      <c r="D272" s="1"/>
      <c r="E272" s="1"/>
      <c r="F272" s="1"/>
      <c r="G272" s="1"/>
      <c r="H272" s="52"/>
      <c r="I272" s="52"/>
      <c r="J272" s="52"/>
      <c r="K272" s="1"/>
      <c r="L272" s="1"/>
      <c r="M272" s="1"/>
      <c r="N272" s="1"/>
    </row>
    <row r="273" spans="9:10" x14ac:dyDescent="0.2">
      <c r="I273" s="14"/>
      <c r="J273" s="14"/>
    </row>
  </sheetData>
  <mergeCells count="253">
    <mergeCell ref="A265:G265"/>
    <mergeCell ref="A250:G250"/>
    <mergeCell ref="A251:G251"/>
    <mergeCell ref="A252:G252"/>
    <mergeCell ref="D229:D230"/>
    <mergeCell ref="E232:E234"/>
    <mergeCell ref="F232:F234"/>
    <mergeCell ref="D235:D236"/>
    <mergeCell ref="A218:A219"/>
    <mergeCell ref="B218:B219"/>
    <mergeCell ref="C218:C219"/>
    <mergeCell ref="D218:D219"/>
    <mergeCell ref="A256:G256"/>
    <mergeCell ref="A257:G257"/>
    <mergeCell ref="A258:G258"/>
    <mergeCell ref="A247:G247"/>
    <mergeCell ref="A248:G248"/>
    <mergeCell ref="A249:G249"/>
    <mergeCell ref="A181:A182"/>
    <mergeCell ref="B244:G244"/>
    <mergeCell ref="A220:A224"/>
    <mergeCell ref="D215:D217"/>
    <mergeCell ref="F190:F192"/>
    <mergeCell ref="C202:C208"/>
    <mergeCell ref="C210:C214"/>
    <mergeCell ref="A171:A173"/>
    <mergeCell ref="B171:B173"/>
    <mergeCell ref="C171:C173"/>
    <mergeCell ref="D171:D173"/>
    <mergeCell ref="E171:E173"/>
    <mergeCell ref="K244:N244"/>
    <mergeCell ref="D238:D241"/>
    <mergeCell ref="E238:E241"/>
    <mergeCell ref="F238:F241"/>
    <mergeCell ref="C242:G242"/>
    <mergeCell ref="A266:G266"/>
    <mergeCell ref="A267:G267"/>
    <mergeCell ref="K1:N1"/>
    <mergeCell ref="A5:N5"/>
    <mergeCell ref="A6:N6"/>
    <mergeCell ref="A7:N7"/>
    <mergeCell ref="K8:N8"/>
    <mergeCell ref="D16:D18"/>
    <mergeCell ref="E16:E18"/>
    <mergeCell ref="A259:G259"/>
    <mergeCell ref="A260:G260"/>
    <mergeCell ref="A261:G261"/>
    <mergeCell ref="A262:G262"/>
    <mergeCell ref="A263:G263"/>
    <mergeCell ref="A264:G264"/>
    <mergeCell ref="A253:G253"/>
    <mergeCell ref="A254:G254"/>
    <mergeCell ref="A255:G255"/>
    <mergeCell ref="D225:D226"/>
    <mergeCell ref="K225:K226"/>
    <mergeCell ref="D227:D228"/>
    <mergeCell ref="E220:E224"/>
    <mergeCell ref="F220:F224"/>
    <mergeCell ref="K222:K223"/>
    <mergeCell ref="K242:N242"/>
    <mergeCell ref="B243:G243"/>
    <mergeCell ref="K243:N243"/>
    <mergeCell ref="K218:K219"/>
    <mergeCell ref="B220:B224"/>
    <mergeCell ref="C220:C224"/>
    <mergeCell ref="D220:D221"/>
    <mergeCell ref="K190:K191"/>
    <mergeCell ref="C194:G194"/>
    <mergeCell ref="K194:N194"/>
    <mergeCell ref="C195:N195"/>
    <mergeCell ref="A190:A192"/>
    <mergeCell ref="B190:B192"/>
    <mergeCell ref="C190:C192"/>
    <mergeCell ref="D190:D192"/>
    <mergeCell ref="E190:E192"/>
    <mergeCell ref="K184:K185"/>
    <mergeCell ref="A186:A188"/>
    <mergeCell ref="B186:B188"/>
    <mergeCell ref="C186:C188"/>
    <mergeCell ref="D186:D188"/>
    <mergeCell ref="E186:E188"/>
    <mergeCell ref="F186:F188"/>
    <mergeCell ref="A183:A184"/>
    <mergeCell ref="B183:B184"/>
    <mergeCell ref="C183:C184"/>
    <mergeCell ref="D183:D185"/>
    <mergeCell ref="E183:E185"/>
    <mergeCell ref="K158:K159"/>
    <mergeCell ref="K161:K162"/>
    <mergeCell ref="D165:D166"/>
    <mergeCell ref="E155:E157"/>
    <mergeCell ref="K165:K166"/>
    <mergeCell ref="B181:B182"/>
    <mergeCell ref="C181:C182"/>
    <mergeCell ref="D181:D182"/>
    <mergeCell ref="E181:E182"/>
    <mergeCell ref="D168:D169"/>
    <mergeCell ref="K168:K169"/>
    <mergeCell ref="F171:F173"/>
    <mergeCell ref="D174:D178"/>
    <mergeCell ref="E174:E178"/>
    <mergeCell ref="K144:K146"/>
    <mergeCell ref="C148:G148"/>
    <mergeCell ref="K148:N148"/>
    <mergeCell ref="C149:N149"/>
    <mergeCell ref="A144:A147"/>
    <mergeCell ref="B144:B147"/>
    <mergeCell ref="C144:C147"/>
    <mergeCell ref="D144:D146"/>
    <mergeCell ref="D132:D133"/>
    <mergeCell ref="E136:E137"/>
    <mergeCell ref="D139:D141"/>
    <mergeCell ref="F144:F147"/>
    <mergeCell ref="D136:D138"/>
    <mergeCell ref="D130:D131"/>
    <mergeCell ref="E130:E131"/>
    <mergeCell ref="F130:F131"/>
    <mergeCell ref="L122:L123"/>
    <mergeCell ref="M122:M123"/>
    <mergeCell ref="N122:N123"/>
    <mergeCell ref="A124:A126"/>
    <mergeCell ref="B124:B126"/>
    <mergeCell ref="C124:C126"/>
    <mergeCell ref="D124:D126"/>
    <mergeCell ref="E124:E126"/>
    <mergeCell ref="F124:F126"/>
    <mergeCell ref="A130:A131"/>
    <mergeCell ref="B130:B131"/>
    <mergeCell ref="C130:C131"/>
    <mergeCell ref="D120:D121"/>
    <mergeCell ref="K120:K121"/>
    <mergeCell ref="A122:A123"/>
    <mergeCell ref="B122:B123"/>
    <mergeCell ref="C122:C123"/>
    <mergeCell ref="D122:D123"/>
    <mergeCell ref="E122:E123"/>
    <mergeCell ref="F122:F123"/>
    <mergeCell ref="K122:K123"/>
    <mergeCell ref="C106:G106"/>
    <mergeCell ref="C107:N107"/>
    <mergeCell ref="D112:D113"/>
    <mergeCell ref="D116:D117"/>
    <mergeCell ref="K116:K117"/>
    <mergeCell ref="D97:D99"/>
    <mergeCell ref="E97:E99"/>
    <mergeCell ref="K98:K99"/>
    <mergeCell ref="K102:K104"/>
    <mergeCell ref="E108:E110"/>
    <mergeCell ref="D91:D92"/>
    <mergeCell ref="E91:E92"/>
    <mergeCell ref="D93:D94"/>
    <mergeCell ref="M93:M94"/>
    <mergeCell ref="K81:K82"/>
    <mergeCell ref="D87:D88"/>
    <mergeCell ref="D89:D90"/>
    <mergeCell ref="A80:A82"/>
    <mergeCell ref="B80:B82"/>
    <mergeCell ref="C80:C82"/>
    <mergeCell ref="D80:D82"/>
    <mergeCell ref="E80:E82"/>
    <mergeCell ref="F80:F82"/>
    <mergeCell ref="K89:K90"/>
    <mergeCell ref="E84:E86"/>
    <mergeCell ref="D71:D72"/>
    <mergeCell ref="E71:E72"/>
    <mergeCell ref="F71:F72"/>
    <mergeCell ref="K71:K72"/>
    <mergeCell ref="D78:D79"/>
    <mergeCell ref="E78:E79"/>
    <mergeCell ref="F78:F79"/>
    <mergeCell ref="F64:F67"/>
    <mergeCell ref="K64:K65"/>
    <mergeCell ref="D68:D70"/>
    <mergeCell ref="F68:F70"/>
    <mergeCell ref="D74:D75"/>
    <mergeCell ref="E74:E77"/>
    <mergeCell ref="K78:K79"/>
    <mergeCell ref="A64:A67"/>
    <mergeCell ref="B64:B67"/>
    <mergeCell ref="C64:C67"/>
    <mergeCell ref="D64:D65"/>
    <mergeCell ref="E64:E67"/>
    <mergeCell ref="D54:D55"/>
    <mergeCell ref="E54:E55"/>
    <mergeCell ref="F54:F55"/>
    <mergeCell ref="D56:D57"/>
    <mergeCell ref="E56:E57"/>
    <mergeCell ref="F56:F57"/>
    <mergeCell ref="D59:D61"/>
    <mergeCell ref="E59:E63"/>
    <mergeCell ref="D40:D41"/>
    <mergeCell ref="F40:F41"/>
    <mergeCell ref="D32:D34"/>
    <mergeCell ref="K32:K33"/>
    <mergeCell ref="E33:E34"/>
    <mergeCell ref="D35:D36"/>
    <mergeCell ref="K46:K47"/>
    <mergeCell ref="A51:A53"/>
    <mergeCell ref="B51:B53"/>
    <mergeCell ref="C51:C53"/>
    <mergeCell ref="D51:D53"/>
    <mergeCell ref="F51:F53"/>
    <mergeCell ref="K51:K52"/>
    <mergeCell ref="A46:A50"/>
    <mergeCell ref="B46:B50"/>
    <mergeCell ref="C46:C50"/>
    <mergeCell ref="D46:D50"/>
    <mergeCell ref="F46:F50"/>
    <mergeCell ref="E43:E45"/>
    <mergeCell ref="D43:D45"/>
    <mergeCell ref="A37:A39"/>
    <mergeCell ref="B37:B39"/>
    <mergeCell ref="C37:C39"/>
    <mergeCell ref="D37:D39"/>
    <mergeCell ref="D23:D25"/>
    <mergeCell ref="K23:K24"/>
    <mergeCell ref="E24:E25"/>
    <mergeCell ref="E27:E29"/>
    <mergeCell ref="K28:K29"/>
    <mergeCell ref="A30:A31"/>
    <mergeCell ref="B30:B31"/>
    <mergeCell ref="C30:C31"/>
    <mergeCell ref="D30:D31"/>
    <mergeCell ref="F30:F31"/>
    <mergeCell ref="A26:A29"/>
    <mergeCell ref="B26:B29"/>
    <mergeCell ref="C26:C29"/>
    <mergeCell ref="D26:D29"/>
    <mergeCell ref="F26:F29"/>
    <mergeCell ref="E269:J269"/>
    <mergeCell ref="D84:D86"/>
    <mergeCell ref="D150:D154"/>
    <mergeCell ref="D196:D200"/>
    <mergeCell ref="I9:I11"/>
    <mergeCell ref="J9:J11"/>
    <mergeCell ref="K9:N9"/>
    <mergeCell ref="K10:K11"/>
    <mergeCell ref="L10:N10"/>
    <mergeCell ref="A12:N12"/>
    <mergeCell ref="E9:E11"/>
    <mergeCell ref="F9:F11"/>
    <mergeCell ref="G9:G11"/>
    <mergeCell ref="H9:H11"/>
    <mergeCell ref="A9:A11"/>
    <mergeCell ref="B9:B11"/>
    <mergeCell ref="C9:C11"/>
    <mergeCell ref="D9:D11"/>
    <mergeCell ref="F37:F39"/>
    <mergeCell ref="K37:K38"/>
    <mergeCell ref="E38:E39"/>
    <mergeCell ref="A13:N13"/>
    <mergeCell ref="B14:N14"/>
    <mergeCell ref="C15:N15"/>
  </mergeCells>
  <printOptions horizontalCentered="1"/>
  <pageMargins left="0.59055118110236227" right="0.19685039370078741" top="0.59055118110236227" bottom="0.39370078740157483" header="0" footer="0"/>
  <pageSetup paperSize="9" scale="69" orientation="portrait" r:id="rId1"/>
  <headerFooter alignWithMargins="0"/>
  <rowBreaks count="3" manualBreakCount="3">
    <brk id="58" max="13" man="1"/>
    <brk id="117" max="13" man="1"/>
    <brk id="173" max="1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96"/>
  <sheetViews>
    <sheetView zoomScaleNormal="100" zoomScaleSheetLayoutView="100" workbookViewId="0">
      <selection activeCell="X8" sqref="X8"/>
    </sheetView>
  </sheetViews>
  <sheetFormatPr defaultRowHeight="12.75" x14ac:dyDescent="0.2"/>
  <cols>
    <col min="1" max="3" width="2.7109375" style="2" customWidth="1"/>
    <col min="4" max="4" width="3.140625" style="2" customWidth="1"/>
    <col min="5" max="5" width="36.28515625" style="2" customWidth="1"/>
    <col min="6" max="6" width="3.28515625" style="8" customWidth="1"/>
    <col min="7" max="7" width="3" style="11" customWidth="1"/>
    <col min="8" max="8" width="10.28515625" style="11" customWidth="1"/>
    <col min="9" max="9" width="8.85546875" style="3" customWidth="1"/>
    <col min="10" max="10" width="9" style="2" customWidth="1"/>
    <col min="11" max="11" width="8.85546875" style="2" customWidth="1"/>
    <col min="12" max="13" width="9" style="2" customWidth="1"/>
    <col min="14" max="14" width="39.85546875" style="2" customWidth="1"/>
    <col min="15" max="18" width="4.7109375" style="2" customWidth="1"/>
    <col min="19" max="16384" width="9.140625" style="1"/>
  </cols>
  <sheetData>
    <row r="1" spans="1:18" s="158" customFormat="1" ht="15.75" customHeight="1" x14ac:dyDescent="0.25">
      <c r="N1" s="2496" t="s">
        <v>126</v>
      </c>
      <c r="O1" s="2497"/>
      <c r="P1" s="2497"/>
      <c r="Q1" s="2497"/>
      <c r="R1" s="2497"/>
    </row>
    <row r="2" spans="1:18" s="39" customFormat="1" ht="15" x14ac:dyDescent="0.2">
      <c r="A2" s="2076" t="s">
        <v>310</v>
      </c>
      <c r="B2" s="2076"/>
      <c r="C2" s="2076"/>
      <c r="D2" s="2076"/>
      <c r="E2" s="2076"/>
      <c r="F2" s="2076"/>
      <c r="G2" s="2076"/>
      <c r="H2" s="2076"/>
      <c r="I2" s="2076"/>
      <c r="J2" s="2076"/>
      <c r="K2" s="2076"/>
      <c r="L2" s="2076"/>
      <c r="M2" s="2076"/>
      <c r="N2" s="2076"/>
      <c r="O2" s="2076"/>
      <c r="P2" s="2076"/>
      <c r="Q2" s="2076"/>
      <c r="R2" s="2076"/>
    </row>
    <row r="3" spans="1:18" ht="15.75" customHeight="1" x14ac:dyDescent="0.2">
      <c r="A3" s="2077" t="s">
        <v>29</v>
      </c>
      <c r="B3" s="2077"/>
      <c r="C3" s="2077"/>
      <c r="D3" s="2077"/>
      <c r="E3" s="2077"/>
      <c r="F3" s="2077"/>
      <c r="G3" s="2077"/>
      <c r="H3" s="2077"/>
      <c r="I3" s="2077"/>
      <c r="J3" s="2077"/>
      <c r="K3" s="2077"/>
      <c r="L3" s="2077"/>
      <c r="M3" s="2077"/>
      <c r="N3" s="2077"/>
      <c r="O3" s="2077"/>
      <c r="P3" s="2077"/>
      <c r="Q3" s="2077"/>
      <c r="R3" s="2077"/>
    </row>
    <row r="4" spans="1:18" ht="15" customHeight="1" x14ac:dyDescent="0.2">
      <c r="A4" s="2078" t="s">
        <v>17</v>
      </c>
      <c r="B4" s="2078"/>
      <c r="C4" s="2078"/>
      <c r="D4" s="2078"/>
      <c r="E4" s="2078"/>
      <c r="F4" s="2078"/>
      <c r="G4" s="2078"/>
      <c r="H4" s="2078"/>
      <c r="I4" s="2078"/>
      <c r="J4" s="2078"/>
      <c r="K4" s="2078"/>
      <c r="L4" s="2078"/>
      <c r="M4" s="2078"/>
      <c r="N4" s="2078"/>
      <c r="O4" s="2078"/>
      <c r="P4" s="2078"/>
      <c r="Q4" s="2078"/>
      <c r="R4" s="2078"/>
    </row>
    <row r="5" spans="1:18" ht="15" customHeight="1" thickBot="1" x14ac:dyDescent="0.25">
      <c r="A5" s="15"/>
      <c r="B5" s="15"/>
      <c r="C5" s="15"/>
      <c r="D5" s="15"/>
      <c r="E5" s="15"/>
      <c r="F5" s="16"/>
      <c r="G5" s="17"/>
      <c r="H5" s="17"/>
      <c r="I5" s="250"/>
      <c r="J5" s="15"/>
      <c r="K5" s="15"/>
      <c r="L5" s="15"/>
      <c r="M5" s="15"/>
      <c r="N5" s="2079" t="s">
        <v>117</v>
      </c>
      <c r="O5" s="2079"/>
      <c r="P5" s="2079"/>
      <c r="Q5" s="2079"/>
      <c r="R5" s="2080"/>
    </row>
    <row r="6" spans="1:18" s="39" customFormat="1" ht="30" customHeight="1" x14ac:dyDescent="0.2">
      <c r="A6" s="2373" t="s">
        <v>18</v>
      </c>
      <c r="B6" s="2376" t="s">
        <v>0</v>
      </c>
      <c r="C6" s="2376" t="s">
        <v>1</v>
      </c>
      <c r="D6" s="2376" t="s">
        <v>27</v>
      </c>
      <c r="E6" s="2379" t="s">
        <v>12</v>
      </c>
      <c r="F6" s="2364" t="s">
        <v>2</v>
      </c>
      <c r="G6" s="2367" t="s">
        <v>3</v>
      </c>
      <c r="H6" s="2498" t="s">
        <v>64</v>
      </c>
      <c r="I6" s="2370" t="s">
        <v>4</v>
      </c>
      <c r="J6" s="2359" t="s">
        <v>298</v>
      </c>
      <c r="K6" s="2359" t="s">
        <v>322</v>
      </c>
      <c r="L6" s="2359" t="s">
        <v>186</v>
      </c>
      <c r="M6" s="2359" t="s">
        <v>311</v>
      </c>
      <c r="N6" s="2259" t="s">
        <v>11</v>
      </c>
      <c r="O6" s="2260"/>
      <c r="P6" s="2260"/>
      <c r="Q6" s="2260"/>
      <c r="R6" s="2362"/>
    </row>
    <row r="7" spans="1:18" s="39" customFormat="1" ht="18.75" customHeight="1" x14ac:dyDescent="0.2">
      <c r="A7" s="2374"/>
      <c r="B7" s="2377"/>
      <c r="C7" s="2377"/>
      <c r="D7" s="2377"/>
      <c r="E7" s="2380"/>
      <c r="F7" s="2365"/>
      <c r="G7" s="2368"/>
      <c r="H7" s="2499"/>
      <c r="I7" s="2371"/>
      <c r="J7" s="2360"/>
      <c r="K7" s="2360"/>
      <c r="L7" s="2360"/>
      <c r="M7" s="2360"/>
      <c r="N7" s="2090" t="s">
        <v>12</v>
      </c>
      <c r="O7" s="2261"/>
      <c r="P7" s="2261"/>
      <c r="Q7" s="2261"/>
      <c r="R7" s="2363"/>
    </row>
    <row r="8" spans="1:18" s="39" customFormat="1" ht="63" customHeight="1" thickBot="1" x14ac:dyDescent="0.25">
      <c r="A8" s="2375"/>
      <c r="B8" s="2378"/>
      <c r="C8" s="2378"/>
      <c r="D8" s="2378"/>
      <c r="E8" s="2381"/>
      <c r="F8" s="2366"/>
      <c r="G8" s="2369"/>
      <c r="H8" s="2500"/>
      <c r="I8" s="2372"/>
      <c r="J8" s="2361"/>
      <c r="K8" s="2361"/>
      <c r="L8" s="2361"/>
      <c r="M8" s="2361"/>
      <c r="N8" s="2091"/>
      <c r="O8" s="160" t="s">
        <v>106</v>
      </c>
      <c r="P8" s="160" t="s">
        <v>128</v>
      </c>
      <c r="Q8" s="160" t="s">
        <v>187</v>
      </c>
      <c r="R8" s="161" t="s">
        <v>312</v>
      </c>
    </row>
    <row r="9" spans="1:18" s="10" customFormat="1" ht="14.25" customHeight="1" x14ac:dyDescent="0.2">
      <c r="A9" s="2064" t="s">
        <v>63</v>
      </c>
      <c r="B9" s="2065"/>
      <c r="C9" s="2065"/>
      <c r="D9" s="2065"/>
      <c r="E9" s="2065"/>
      <c r="F9" s="2065"/>
      <c r="G9" s="2065"/>
      <c r="H9" s="2065"/>
      <c r="I9" s="2065"/>
      <c r="J9" s="2065"/>
      <c r="K9" s="2065"/>
      <c r="L9" s="2065"/>
      <c r="M9" s="2065"/>
      <c r="N9" s="2065"/>
      <c r="O9" s="2065"/>
      <c r="P9" s="2065"/>
      <c r="Q9" s="2065"/>
      <c r="R9" s="2066"/>
    </row>
    <row r="10" spans="1:18" s="10" customFormat="1" ht="14.25" customHeight="1" x14ac:dyDescent="0.2">
      <c r="A10" s="2067" t="s">
        <v>26</v>
      </c>
      <c r="B10" s="2068"/>
      <c r="C10" s="2068"/>
      <c r="D10" s="2068"/>
      <c r="E10" s="2068"/>
      <c r="F10" s="2068"/>
      <c r="G10" s="2068"/>
      <c r="H10" s="2068"/>
      <c r="I10" s="2068"/>
      <c r="J10" s="2068"/>
      <c r="K10" s="2068"/>
      <c r="L10" s="2068"/>
      <c r="M10" s="2068"/>
      <c r="N10" s="2068"/>
      <c r="O10" s="2068"/>
      <c r="P10" s="2068"/>
      <c r="Q10" s="2068"/>
      <c r="R10" s="2069"/>
    </row>
    <row r="11" spans="1:18" ht="16.5" customHeight="1" x14ac:dyDescent="0.2">
      <c r="A11" s="18" t="s">
        <v>5</v>
      </c>
      <c r="B11" s="2070" t="s">
        <v>30</v>
      </c>
      <c r="C11" s="2071"/>
      <c r="D11" s="2071"/>
      <c r="E11" s="2071"/>
      <c r="F11" s="2071"/>
      <c r="G11" s="2071"/>
      <c r="H11" s="2071"/>
      <c r="I11" s="2071"/>
      <c r="J11" s="2071"/>
      <c r="K11" s="2071"/>
      <c r="L11" s="2071"/>
      <c r="M11" s="2071"/>
      <c r="N11" s="2071"/>
      <c r="O11" s="2071"/>
      <c r="P11" s="2071"/>
      <c r="Q11" s="2071"/>
      <c r="R11" s="2072"/>
    </row>
    <row r="12" spans="1:18" ht="15" customHeight="1" x14ac:dyDescent="0.2">
      <c r="A12" s="249" t="s">
        <v>5</v>
      </c>
      <c r="B12" s="13" t="s">
        <v>5</v>
      </c>
      <c r="C12" s="2073" t="s">
        <v>31</v>
      </c>
      <c r="D12" s="2074"/>
      <c r="E12" s="2074"/>
      <c r="F12" s="2074"/>
      <c r="G12" s="2074"/>
      <c r="H12" s="2074"/>
      <c r="I12" s="2074"/>
      <c r="J12" s="2074"/>
      <c r="K12" s="2074"/>
      <c r="L12" s="2074"/>
      <c r="M12" s="2074"/>
      <c r="N12" s="2074"/>
      <c r="O12" s="2074"/>
      <c r="P12" s="2074"/>
      <c r="Q12" s="2074"/>
      <c r="R12" s="2075"/>
    </row>
    <row r="13" spans="1:18" ht="35.25" customHeight="1" x14ac:dyDescent="0.2">
      <c r="A13" s="246" t="s">
        <v>5</v>
      </c>
      <c r="B13" s="247" t="s">
        <v>5</v>
      </c>
      <c r="C13" s="380" t="s">
        <v>5</v>
      </c>
      <c r="D13" s="225"/>
      <c r="E13" s="56" t="s">
        <v>49</v>
      </c>
      <c r="F13" s="210" t="s">
        <v>90</v>
      </c>
      <c r="G13" s="248" t="s">
        <v>43</v>
      </c>
      <c r="H13" s="36"/>
      <c r="I13" s="170"/>
      <c r="J13" s="487"/>
      <c r="K13" s="487"/>
      <c r="L13" s="488"/>
      <c r="M13" s="1629"/>
      <c r="N13" s="22"/>
      <c r="O13" s="12"/>
      <c r="P13" s="12"/>
      <c r="Q13" s="1032"/>
      <c r="R13" s="1043"/>
    </row>
    <row r="14" spans="1:18" ht="18.75" customHeight="1" x14ac:dyDescent="0.2">
      <c r="A14" s="1591"/>
      <c r="B14" s="1594"/>
      <c r="C14" s="1610"/>
      <c r="D14" s="1606" t="s">
        <v>5</v>
      </c>
      <c r="E14" s="2101" t="s">
        <v>266</v>
      </c>
      <c r="F14" s="1308" t="s">
        <v>47</v>
      </c>
      <c r="G14" s="1592"/>
      <c r="H14" s="2455"/>
      <c r="I14" s="1614" t="s">
        <v>25</v>
      </c>
      <c r="J14" s="91">
        <v>4</v>
      </c>
      <c r="K14" s="1614">
        <v>100</v>
      </c>
      <c r="L14" s="91">
        <v>181</v>
      </c>
      <c r="M14" s="1614">
        <v>165.8</v>
      </c>
      <c r="N14" s="2343" t="s">
        <v>424</v>
      </c>
      <c r="O14" s="471"/>
      <c r="P14" s="372"/>
      <c r="Q14" s="1276" t="s">
        <v>56</v>
      </c>
      <c r="R14" s="472"/>
    </row>
    <row r="15" spans="1:18" ht="33" customHeight="1" x14ac:dyDescent="0.2">
      <c r="A15" s="1591"/>
      <c r="B15" s="1594"/>
      <c r="C15" s="1610"/>
      <c r="D15" s="1592"/>
      <c r="E15" s="2108"/>
      <c r="F15" s="2195" t="s">
        <v>329</v>
      </c>
      <c r="G15" s="1593"/>
      <c r="H15" s="2455"/>
      <c r="I15" s="65" t="s">
        <v>44</v>
      </c>
      <c r="J15" s="87"/>
      <c r="K15" s="65"/>
      <c r="L15" s="87">
        <v>850</v>
      </c>
      <c r="M15" s="65">
        <v>639.4</v>
      </c>
      <c r="N15" s="2384"/>
      <c r="O15" s="822"/>
      <c r="P15" s="1278"/>
      <c r="Q15" s="1279"/>
      <c r="R15" s="583"/>
    </row>
    <row r="16" spans="1:18" ht="30.75" customHeight="1" x14ac:dyDescent="0.2">
      <c r="A16" s="1591"/>
      <c r="B16" s="1594"/>
      <c r="C16" s="1610"/>
      <c r="D16" s="1592"/>
      <c r="E16" s="2108"/>
      <c r="F16" s="2385"/>
      <c r="G16" s="1593"/>
      <c r="H16" s="2455"/>
      <c r="I16" s="65"/>
      <c r="J16" s="87"/>
      <c r="K16" s="65"/>
      <c r="L16" s="87"/>
      <c r="M16" s="65"/>
      <c r="N16" s="237" t="s">
        <v>363</v>
      </c>
      <c r="O16" s="822"/>
      <c r="P16" s="1278"/>
      <c r="Q16" s="1279" t="s">
        <v>359</v>
      </c>
      <c r="R16" s="583" t="s">
        <v>360</v>
      </c>
    </row>
    <row r="17" spans="1:18" ht="27" customHeight="1" x14ac:dyDescent="0.2">
      <c r="A17" s="1591"/>
      <c r="B17" s="1594"/>
      <c r="C17" s="1610"/>
      <c r="D17" s="1607"/>
      <c r="E17" s="2190"/>
      <c r="F17" s="2501"/>
      <c r="G17" s="1592"/>
      <c r="H17" s="2492"/>
      <c r="I17" s="1615"/>
      <c r="J17" s="90"/>
      <c r="K17" s="1615"/>
      <c r="L17" s="90"/>
      <c r="M17" s="1052"/>
      <c r="N17" s="262" t="s">
        <v>268</v>
      </c>
      <c r="O17" s="1277" t="s">
        <v>56</v>
      </c>
      <c r="P17" s="325"/>
      <c r="Q17" s="555"/>
      <c r="R17" s="475"/>
    </row>
    <row r="18" spans="1:18" ht="27.75" customHeight="1" x14ac:dyDescent="0.2">
      <c r="A18" s="2029"/>
      <c r="B18" s="2030"/>
      <c r="C18" s="2475"/>
      <c r="D18" s="2484" t="s">
        <v>7</v>
      </c>
      <c r="E18" s="2037" t="s">
        <v>362</v>
      </c>
      <c r="F18" s="312" t="s">
        <v>47</v>
      </c>
      <c r="G18" s="2031"/>
      <c r="H18" s="2482" t="s">
        <v>73</v>
      </c>
      <c r="I18" s="317" t="s">
        <v>104</v>
      </c>
      <c r="J18" s="269">
        <v>557.70000000000005</v>
      </c>
      <c r="K18" s="269">
        <v>328.7</v>
      </c>
      <c r="L18" s="128"/>
      <c r="M18" s="1614"/>
      <c r="N18" s="543" t="s">
        <v>159</v>
      </c>
      <c r="O18" s="1273" t="s">
        <v>215</v>
      </c>
      <c r="P18" s="1263">
        <v>2</v>
      </c>
      <c r="Q18" s="471"/>
      <c r="R18" s="472"/>
    </row>
    <row r="19" spans="1:18" ht="27.75" customHeight="1" x14ac:dyDescent="0.2">
      <c r="A19" s="2029"/>
      <c r="B19" s="2030"/>
      <c r="C19" s="2475"/>
      <c r="D19" s="2138"/>
      <c r="E19" s="2038"/>
      <c r="F19" s="2040" t="s">
        <v>116</v>
      </c>
      <c r="G19" s="2031"/>
      <c r="H19" s="2483"/>
      <c r="I19" s="1281" t="s">
        <v>25</v>
      </c>
      <c r="J19" s="1261"/>
      <c r="K19" s="1261"/>
      <c r="L19" s="129"/>
      <c r="M19" s="70">
        <v>322.8</v>
      </c>
      <c r="N19" s="45" t="s">
        <v>317</v>
      </c>
      <c r="O19" s="1282" t="s">
        <v>56</v>
      </c>
      <c r="P19" s="368">
        <v>1</v>
      </c>
      <c r="Q19" s="822"/>
      <c r="R19" s="583"/>
    </row>
    <row r="20" spans="1:18" ht="13.5" customHeight="1" x14ac:dyDescent="0.2">
      <c r="A20" s="2029"/>
      <c r="B20" s="2030"/>
      <c r="C20" s="2475"/>
      <c r="D20" s="2138"/>
      <c r="E20" s="2038"/>
      <c r="F20" s="2386"/>
      <c r="G20" s="2031"/>
      <c r="H20" s="2483"/>
      <c r="I20" s="48" t="s">
        <v>105</v>
      </c>
      <c r="J20" s="67"/>
      <c r="K20" s="67"/>
      <c r="L20" s="103"/>
      <c r="M20" s="65">
        <v>96.4</v>
      </c>
      <c r="N20" s="2337" t="s">
        <v>370</v>
      </c>
      <c r="O20" s="1280"/>
      <c r="P20" s="1271"/>
      <c r="Q20" s="204"/>
      <c r="R20" s="362" t="s">
        <v>43</v>
      </c>
    </row>
    <row r="21" spans="1:18" ht="14.25" customHeight="1" x14ac:dyDescent="0.2">
      <c r="A21" s="2029"/>
      <c r="B21" s="2030"/>
      <c r="C21" s="2475"/>
      <c r="D21" s="2138"/>
      <c r="E21" s="2038"/>
      <c r="F21" s="2386"/>
      <c r="G21" s="2031"/>
      <c r="H21" s="2483"/>
      <c r="I21" s="48" t="s">
        <v>361</v>
      </c>
      <c r="J21" s="67"/>
      <c r="K21" s="67"/>
      <c r="L21" s="87"/>
      <c r="M21" s="65">
        <v>44.7</v>
      </c>
      <c r="N21" s="2502"/>
      <c r="O21" s="1280"/>
      <c r="P21" s="1271"/>
      <c r="Q21" s="204"/>
      <c r="R21" s="362"/>
    </row>
    <row r="22" spans="1:18" ht="16.5" customHeight="1" x14ac:dyDescent="0.2">
      <c r="A22" s="2029"/>
      <c r="B22" s="2030"/>
      <c r="C22" s="2475"/>
      <c r="D22" s="2138"/>
      <c r="E22" s="2387"/>
      <c r="F22" s="2041"/>
      <c r="G22" s="2031"/>
      <c r="H22" s="2483"/>
      <c r="I22" s="47" t="s">
        <v>44</v>
      </c>
      <c r="J22" s="1657"/>
      <c r="K22" s="1657"/>
      <c r="L22" s="155"/>
      <c r="M22" s="1661">
        <v>690.3</v>
      </c>
      <c r="N22" s="525"/>
      <c r="O22" s="325"/>
      <c r="P22" s="49"/>
      <c r="Q22" s="326"/>
      <c r="R22" s="475"/>
    </row>
    <row r="23" spans="1:18" ht="15.75" customHeight="1" x14ac:dyDescent="0.2">
      <c r="A23" s="2029"/>
      <c r="B23" s="2030"/>
      <c r="C23" s="2475"/>
      <c r="D23" s="2484" t="s">
        <v>28</v>
      </c>
      <c r="E23" s="2032" t="s">
        <v>240</v>
      </c>
      <c r="F23" s="1559" t="s">
        <v>47</v>
      </c>
      <c r="G23" s="2034"/>
      <c r="H23" s="1262"/>
      <c r="I23" s="91" t="s">
        <v>25</v>
      </c>
      <c r="J23" s="1660">
        <f>700-300-100</f>
        <v>300</v>
      </c>
      <c r="K23" s="1660">
        <v>814.8</v>
      </c>
      <c r="L23" s="128"/>
      <c r="M23" s="1660"/>
      <c r="N23" s="1801" t="s">
        <v>188</v>
      </c>
      <c r="O23" s="502">
        <v>20</v>
      </c>
      <c r="P23" s="522">
        <v>100</v>
      </c>
      <c r="Q23" s="824"/>
      <c r="R23" s="523"/>
    </row>
    <row r="24" spans="1:18" ht="15" customHeight="1" x14ac:dyDescent="0.2">
      <c r="A24" s="2029"/>
      <c r="B24" s="2030"/>
      <c r="C24" s="2475"/>
      <c r="D24" s="2138"/>
      <c r="E24" s="2141"/>
      <c r="F24" s="549"/>
      <c r="G24" s="2034"/>
      <c r="H24" s="1262"/>
      <c r="I24" s="87" t="s">
        <v>105</v>
      </c>
      <c r="J24" s="65"/>
      <c r="K24" s="65">
        <v>1100</v>
      </c>
      <c r="L24" s="103"/>
      <c r="M24" s="65"/>
      <c r="N24" s="1801"/>
      <c r="O24" s="502"/>
      <c r="P24" s="522"/>
      <c r="Q24" s="199"/>
      <c r="R24" s="213"/>
    </row>
    <row r="25" spans="1:18" ht="15" customHeight="1" x14ac:dyDescent="0.2">
      <c r="A25" s="2029"/>
      <c r="B25" s="2030"/>
      <c r="C25" s="2475"/>
      <c r="D25" s="2138"/>
      <c r="E25" s="2141"/>
      <c r="F25" s="549"/>
      <c r="G25" s="2034"/>
      <c r="H25" s="1262"/>
      <c r="I25" s="87" t="s">
        <v>48</v>
      </c>
      <c r="J25" s="65"/>
      <c r="K25" s="65">
        <v>162.4</v>
      </c>
      <c r="L25" s="103"/>
      <c r="M25" s="65"/>
      <c r="N25" s="1801"/>
      <c r="O25" s="502"/>
      <c r="P25" s="522"/>
      <c r="Q25" s="199"/>
      <c r="R25" s="213"/>
    </row>
    <row r="26" spans="1:18" ht="15" customHeight="1" x14ac:dyDescent="0.2">
      <c r="A26" s="2029"/>
      <c r="B26" s="2030"/>
      <c r="C26" s="2475"/>
      <c r="D26" s="2138"/>
      <c r="E26" s="2141"/>
      <c r="F26" s="549"/>
      <c r="G26" s="2034"/>
      <c r="H26" s="1262"/>
      <c r="I26" s="87" t="s">
        <v>104</v>
      </c>
      <c r="J26" s="65"/>
      <c r="K26" s="65">
        <v>151.9</v>
      </c>
      <c r="L26" s="103"/>
      <c r="M26" s="65"/>
      <c r="N26" s="1801"/>
      <c r="O26" s="502"/>
      <c r="P26" s="522"/>
      <c r="Q26" s="199"/>
      <c r="R26" s="213"/>
    </row>
    <row r="27" spans="1:18" ht="16.5" customHeight="1" x14ac:dyDescent="0.2">
      <c r="A27" s="2029"/>
      <c r="B27" s="2030"/>
      <c r="C27" s="2475"/>
      <c r="D27" s="2485"/>
      <c r="E27" s="2033"/>
      <c r="F27" s="544"/>
      <c r="G27" s="2034"/>
      <c r="H27" s="1262"/>
      <c r="I27" s="132" t="s">
        <v>62</v>
      </c>
      <c r="J27" s="1661"/>
      <c r="K27" s="1661">
        <v>100</v>
      </c>
      <c r="L27" s="155"/>
      <c r="M27" s="1661"/>
      <c r="N27" s="449"/>
      <c r="O27" s="169"/>
      <c r="P27" s="318"/>
      <c r="Q27" s="825"/>
      <c r="R27" s="319"/>
    </row>
    <row r="28" spans="1:18" ht="18.75" customHeight="1" x14ac:dyDescent="0.2">
      <c r="A28" s="251"/>
      <c r="B28" s="253"/>
      <c r="C28" s="390"/>
      <c r="D28" s="1606" t="s">
        <v>33</v>
      </c>
      <c r="E28" s="2045" t="s">
        <v>239</v>
      </c>
      <c r="F28" s="312" t="s">
        <v>47</v>
      </c>
      <c r="G28" s="92"/>
      <c r="H28" s="2455" t="s">
        <v>72</v>
      </c>
      <c r="I28" s="87" t="s">
        <v>25</v>
      </c>
      <c r="J28" s="65">
        <v>1</v>
      </c>
      <c r="K28" s="65"/>
      <c r="L28" s="103">
        <v>52</v>
      </c>
      <c r="M28" s="65"/>
      <c r="N28" s="2388" t="s">
        <v>163</v>
      </c>
      <c r="O28" s="1289">
        <v>1</v>
      </c>
      <c r="P28" s="1582">
        <v>1</v>
      </c>
      <c r="Q28" s="1620"/>
      <c r="R28" s="1619"/>
    </row>
    <row r="29" spans="1:18" ht="21" customHeight="1" x14ac:dyDescent="0.2">
      <c r="A29" s="251"/>
      <c r="B29" s="253"/>
      <c r="C29" s="390"/>
      <c r="D29" s="1592"/>
      <c r="E29" s="2100"/>
      <c r="F29" s="2105" t="s">
        <v>116</v>
      </c>
      <c r="G29" s="92"/>
      <c r="H29" s="2455"/>
      <c r="I29" s="87" t="s">
        <v>62</v>
      </c>
      <c r="J29" s="65">
        <v>1.5</v>
      </c>
      <c r="K29" s="65">
        <v>1.5</v>
      </c>
      <c r="L29" s="103"/>
      <c r="M29" s="65"/>
      <c r="N29" s="2389"/>
      <c r="O29" s="1274"/>
      <c r="P29" s="1617"/>
      <c r="Q29" s="413"/>
      <c r="R29" s="342"/>
    </row>
    <row r="30" spans="1:18" ht="29.25" customHeight="1" x14ac:dyDescent="0.2">
      <c r="A30" s="251"/>
      <c r="B30" s="253"/>
      <c r="C30" s="390"/>
      <c r="D30" s="1607"/>
      <c r="E30" s="2046"/>
      <c r="F30" s="2107"/>
      <c r="G30" s="92"/>
      <c r="H30" s="2455"/>
      <c r="I30" s="90"/>
      <c r="J30" s="1626"/>
      <c r="K30" s="1626"/>
      <c r="L30" s="155"/>
      <c r="M30" s="1626"/>
      <c r="N30" s="1637" t="s">
        <v>164</v>
      </c>
      <c r="O30" s="1638"/>
      <c r="P30" s="1639"/>
      <c r="Q30" s="1639">
        <v>1</v>
      </c>
      <c r="R30" s="1640"/>
    </row>
    <row r="31" spans="1:18" ht="17.25" customHeight="1" x14ac:dyDescent="0.2">
      <c r="A31" s="1300"/>
      <c r="B31" s="1301"/>
      <c r="C31" s="390"/>
      <c r="D31" s="1304" t="s">
        <v>34</v>
      </c>
      <c r="E31" s="2108" t="s">
        <v>249</v>
      </c>
      <c r="F31" s="1150" t="s">
        <v>47</v>
      </c>
      <c r="G31" s="1302"/>
      <c r="H31" s="1262"/>
      <c r="I31" s="87" t="s">
        <v>45</v>
      </c>
      <c r="J31" s="65">
        <v>31.2</v>
      </c>
      <c r="K31" s="65">
        <v>21.5</v>
      </c>
      <c r="L31" s="567"/>
      <c r="M31" s="174"/>
      <c r="N31" s="1303" t="s">
        <v>46</v>
      </c>
      <c r="O31" s="339"/>
      <c r="P31" s="1307">
        <v>1</v>
      </c>
      <c r="Q31" s="1307"/>
      <c r="R31" s="1305"/>
    </row>
    <row r="32" spans="1:18" ht="18" customHeight="1" x14ac:dyDescent="0.2">
      <c r="A32" s="1300"/>
      <c r="B32" s="1301"/>
      <c r="C32" s="389"/>
      <c r="D32" s="1306"/>
      <c r="E32" s="2102"/>
      <c r="F32" s="1152" t="s">
        <v>327</v>
      </c>
      <c r="G32" s="1302"/>
      <c r="H32" s="1262"/>
      <c r="I32" s="90"/>
      <c r="J32" s="492"/>
      <c r="K32" s="53"/>
      <c r="L32" s="568"/>
      <c r="M32" s="53"/>
      <c r="N32" s="216"/>
      <c r="O32" s="20"/>
      <c r="P32" s="49"/>
      <c r="Q32" s="49"/>
      <c r="R32" s="21"/>
    </row>
    <row r="33" spans="1:20" ht="15" customHeight="1" x14ac:dyDescent="0.2">
      <c r="A33" s="2029"/>
      <c r="B33" s="2030"/>
      <c r="C33" s="2475"/>
      <c r="D33" s="2484" t="s">
        <v>35</v>
      </c>
      <c r="E33" s="2045" t="s">
        <v>171</v>
      </c>
      <c r="F33" s="312" t="s">
        <v>47</v>
      </c>
      <c r="G33" s="2034"/>
      <c r="H33" s="1262"/>
      <c r="I33" s="87" t="s">
        <v>25</v>
      </c>
      <c r="J33" s="65"/>
      <c r="K33" s="65"/>
      <c r="L33" s="103"/>
      <c r="M33" s="65">
        <v>25</v>
      </c>
      <c r="N33" s="2382" t="s">
        <v>358</v>
      </c>
      <c r="O33" s="562"/>
      <c r="P33" s="563"/>
      <c r="Q33" s="1205"/>
      <c r="R33" s="564"/>
      <c r="T33" s="52"/>
    </row>
    <row r="34" spans="1:20" ht="18.75" customHeight="1" x14ac:dyDescent="0.2">
      <c r="A34" s="2029"/>
      <c r="B34" s="2030"/>
      <c r="C34" s="2475"/>
      <c r="D34" s="2138"/>
      <c r="E34" s="2100"/>
      <c r="F34" s="2040" t="s">
        <v>116</v>
      </c>
      <c r="G34" s="2034"/>
      <c r="H34" s="1262"/>
      <c r="I34" s="87"/>
      <c r="J34" s="65"/>
      <c r="K34" s="65"/>
      <c r="L34" s="103"/>
      <c r="M34" s="65"/>
      <c r="N34" s="2383"/>
      <c r="O34" s="647"/>
      <c r="P34" s="648"/>
      <c r="Q34" s="648"/>
      <c r="R34" s="649"/>
    </row>
    <row r="35" spans="1:20" ht="18" customHeight="1" x14ac:dyDescent="0.2">
      <c r="A35" s="2029"/>
      <c r="B35" s="2030"/>
      <c r="C35" s="2475"/>
      <c r="D35" s="2485"/>
      <c r="E35" s="2046"/>
      <c r="F35" s="2041"/>
      <c r="G35" s="2034"/>
      <c r="H35" s="1262"/>
      <c r="I35" s="90"/>
      <c r="J35" s="64"/>
      <c r="K35" s="492"/>
      <c r="L35" s="494"/>
      <c r="M35" s="492"/>
      <c r="N35" s="1270"/>
      <c r="O35" s="20"/>
      <c r="P35" s="49"/>
      <c r="Q35" s="167"/>
      <c r="R35" s="31"/>
    </row>
    <row r="36" spans="1:20" ht="13.5" customHeight="1" x14ac:dyDescent="0.2">
      <c r="A36" s="251"/>
      <c r="B36" s="253"/>
      <c r="C36" s="383"/>
      <c r="D36" s="2484" t="s">
        <v>36</v>
      </c>
      <c r="E36" s="2101" t="s">
        <v>241</v>
      </c>
      <c r="F36" s="1555" t="s">
        <v>47</v>
      </c>
      <c r="G36" s="2034"/>
      <c r="H36" s="1262"/>
      <c r="I36" s="87" t="s">
        <v>25</v>
      </c>
      <c r="J36" s="489"/>
      <c r="K36" s="65"/>
      <c r="L36" s="103"/>
      <c r="M36" s="65">
        <v>50</v>
      </c>
      <c r="N36" s="1243" t="s">
        <v>166</v>
      </c>
      <c r="O36" s="281"/>
      <c r="P36" s="281"/>
      <c r="Q36" s="321"/>
      <c r="R36" s="1010">
        <v>1</v>
      </c>
    </row>
    <row r="37" spans="1:20" ht="9.75" customHeight="1" x14ac:dyDescent="0.2">
      <c r="A37" s="251"/>
      <c r="B37" s="253"/>
      <c r="C37" s="383"/>
      <c r="D37" s="2485"/>
      <c r="E37" s="2102"/>
      <c r="F37" s="1554"/>
      <c r="G37" s="2514"/>
      <c r="H37" s="1556"/>
      <c r="I37" s="90"/>
      <c r="J37" s="492"/>
      <c r="K37" s="64"/>
      <c r="L37" s="155"/>
      <c r="M37" s="64"/>
      <c r="N37" s="575"/>
      <c r="O37" s="20"/>
      <c r="P37" s="20"/>
      <c r="Q37" s="322"/>
      <c r="R37" s="21"/>
    </row>
    <row r="38" spans="1:20" ht="17.25" customHeight="1" thickBot="1" x14ac:dyDescent="0.25">
      <c r="A38" s="72"/>
      <c r="B38" s="305"/>
      <c r="C38" s="189"/>
      <c r="D38" s="283"/>
      <c r="E38" s="396"/>
      <c r="F38" s="397"/>
      <c r="G38" s="189"/>
      <c r="H38" s="367"/>
      <c r="I38" s="212" t="s">
        <v>6</v>
      </c>
      <c r="J38" s="141">
        <f>SUM(J13:J37)</f>
        <v>895.4</v>
      </c>
      <c r="K38" s="141">
        <f>SUM(K13:K37)</f>
        <v>2780.8</v>
      </c>
      <c r="L38" s="141">
        <f t="shared" ref="L38:M38" si="0">SUM(L13:L37)</f>
        <v>1083</v>
      </c>
      <c r="M38" s="141">
        <f t="shared" si="0"/>
        <v>2034.4</v>
      </c>
      <c r="N38" s="398"/>
      <c r="O38" s="386"/>
      <c r="P38" s="387"/>
      <c r="Q38" s="387"/>
      <c r="R38" s="388"/>
    </row>
    <row r="39" spans="1:20" ht="32.25" customHeight="1" x14ac:dyDescent="0.2">
      <c r="A39" s="302" t="s">
        <v>5</v>
      </c>
      <c r="B39" s="304" t="s">
        <v>5</v>
      </c>
      <c r="C39" s="384" t="s">
        <v>7</v>
      </c>
      <c r="D39" s="195"/>
      <c r="E39" s="108" t="s">
        <v>50</v>
      </c>
      <c r="F39" s="111" t="s">
        <v>92</v>
      </c>
      <c r="G39" s="121" t="s">
        <v>43</v>
      </c>
      <c r="H39" s="214"/>
      <c r="I39" s="75"/>
      <c r="J39" s="496"/>
      <c r="K39" s="496"/>
      <c r="L39" s="495"/>
      <c r="M39" s="496"/>
      <c r="N39" s="69"/>
      <c r="O39" s="28"/>
      <c r="P39" s="28"/>
      <c r="Q39" s="799"/>
      <c r="R39" s="1044"/>
    </row>
    <row r="40" spans="1:20" ht="16.5" customHeight="1" x14ac:dyDescent="0.2">
      <c r="A40" s="2044"/>
      <c r="B40" s="2030"/>
      <c r="C40" s="2475"/>
      <c r="D40" s="376" t="s">
        <v>5</v>
      </c>
      <c r="E40" s="2100" t="s">
        <v>237</v>
      </c>
      <c r="F40" s="542" t="s">
        <v>47</v>
      </c>
      <c r="G40" s="2031"/>
      <c r="H40" s="2455" t="s">
        <v>72</v>
      </c>
      <c r="I40" s="91" t="s">
        <v>105</v>
      </c>
      <c r="J40" s="1660">
        <v>100</v>
      </c>
      <c r="K40" s="1660">
        <v>200</v>
      </c>
      <c r="L40" s="128">
        <v>696.4</v>
      </c>
      <c r="M40" s="1660">
        <v>600</v>
      </c>
      <c r="N40" s="2388" t="s">
        <v>174</v>
      </c>
      <c r="O40" s="1631"/>
      <c r="P40" s="1631">
        <v>1</v>
      </c>
      <c r="Q40" s="1632"/>
      <c r="R40" s="1633"/>
    </row>
    <row r="41" spans="1:20" ht="23.25" customHeight="1" x14ac:dyDescent="0.2">
      <c r="A41" s="2044"/>
      <c r="B41" s="2030"/>
      <c r="C41" s="2475"/>
      <c r="D41" s="1592"/>
      <c r="E41" s="2100"/>
      <c r="F41" s="1587"/>
      <c r="G41" s="2031"/>
      <c r="H41" s="2455"/>
      <c r="I41" s="87" t="s">
        <v>25</v>
      </c>
      <c r="J41" s="65">
        <f>1000-366.6</f>
        <v>633.4</v>
      </c>
      <c r="K41" s="65">
        <f>500-143.4</f>
        <v>356.6</v>
      </c>
      <c r="L41" s="103">
        <v>103.6</v>
      </c>
      <c r="M41" s="65">
        <v>200</v>
      </c>
      <c r="N41" s="2390"/>
      <c r="O41" s="758"/>
      <c r="P41" s="758"/>
      <c r="Q41" s="792"/>
      <c r="R41" s="1148"/>
    </row>
    <row r="42" spans="1:20" ht="39.75" customHeight="1" x14ac:dyDescent="0.2">
      <c r="A42" s="2044"/>
      <c r="B42" s="2030"/>
      <c r="C42" s="2475"/>
      <c r="D42" s="375"/>
      <c r="E42" s="2100"/>
      <c r="F42" s="542"/>
      <c r="G42" s="2031"/>
      <c r="H42" s="2455"/>
      <c r="I42" s="87" t="s">
        <v>104</v>
      </c>
      <c r="J42" s="65">
        <v>366.6</v>
      </c>
      <c r="K42" s="65"/>
      <c r="L42" s="103"/>
      <c r="M42" s="65"/>
      <c r="N42" s="30" t="s">
        <v>217</v>
      </c>
      <c r="O42" s="50">
        <v>85</v>
      </c>
      <c r="P42" s="50">
        <v>100</v>
      </c>
      <c r="Q42" s="793"/>
      <c r="R42" s="107"/>
    </row>
    <row r="43" spans="1:20" ht="28.5" customHeight="1" x14ac:dyDescent="0.2">
      <c r="A43" s="2044"/>
      <c r="B43" s="2030"/>
      <c r="C43" s="2475"/>
      <c r="D43" s="375"/>
      <c r="E43" s="2100"/>
      <c r="F43" s="542"/>
      <c r="G43" s="2031"/>
      <c r="H43" s="2455"/>
      <c r="I43" s="1"/>
      <c r="J43" s="1630"/>
      <c r="K43" s="65"/>
      <c r="L43" s="103"/>
      <c r="M43" s="65"/>
      <c r="N43" s="30" t="s">
        <v>218</v>
      </c>
      <c r="O43" s="50"/>
      <c r="P43" s="50">
        <v>30</v>
      </c>
      <c r="Q43" s="793">
        <v>80</v>
      </c>
      <c r="R43" s="107">
        <v>100</v>
      </c>
    </row>
    <row r="44" spans="1:20" ht="54" customHeight="1" x14ac:dyDescent="0.2">
      <c r="A44" s="2044"/>
      <c r="B44" s="2030"/>
      <c r="C44" s="2475"/>
      <c r="D44" s="375"/>
      <c r="E44" s="2100"/>
      <c r="F44" s="1267"/>
      <c r="G44" s="2031"/>
      <c r="H44" s="2455"/>
      <c r="I44" s="87"/>
      <c r="J44" s="65"/>
      <c r="K44" s="65"/>
      <c r="L44" s="103"/>
      <c r="M44" s="65"/>
      <c r="N44" s="1800" t="s">
        <v>219</v>
      </c>
      <c r="O44" s="50"/>
      <c r="P44" s="50"/>
      <c r="Q44" s="793"/>
      <c r="R44" s="107">
        <v>5</v>
      </c>
    </row>
    <row r="45" spans="1:20" ht="18.75" customHeight="1" x14ac:dyDescent="0.2">
      <c r="A45" s="2044"/>
      <c r="B45" s="2030"/>
      <c r="C45" s="2475"/>
      <c r="D45" s="2484" t="s">
        <v>7</v>
      </c>
      <c r="E45" s="2045" t="s">
        <v>59</v>
      </c>
      <c r="F45" s="1465" t="s">
        <v>47</v>
      </c>
      <c r="G45" s="2034"/>
      <c r="H45" s="124"/>
      <c r="I45" s="91" t="s">
        <v>25</v>
      </c>
      <c r="J45" s="1660">
        <f>100-87.4</f>
        <v>12.6</v>
      </c>
      <c r="K45" s="1660">
        <v>50</v>
      </c>
      <c r="L45" s="128">
        <v>361.3</v>
      </c>
      <c r="M45" s="1660">
        <v>1100</v>
      </c>
      <c r="N45" s="2382" t="s">
        <v>168</v>
      </c>
      <c r="O45" s="1599"/>
      <c r="P45" s="1598">
        <v>5</v>
      </c>
      <c r="Q45" s="794">
        <v>50</v>
      </c>
      <c r="R45" s="1015">
        <v>80</v>
      </c>
    </row>
    <row r="46" spans="1:20" ht="12" customHeight="1" x14ac:dyDescent="0.2">
      <c r="A46" s="2044"/>
      <c r="B46" s="2030"/>
      <c r="C46" s="2475"/>
      <c r="D46" s="2138"/>
      <c r="E46" s="2100"/>
      <c r="F46" s="1462"/>
      <c r="G46" s="2034"/>
      <c r="H46" s="124"/>
      <c r="I46" s="87" t="s">
        <v>105</v>
      </c>
      <c r="J46" s="65"/>
      <c r="K46" s="65"/>
      <c r="L46" s="103">
        <v>800</v>
      </c>
      <c r="M46" s="65"/>
      <c r="N46" s="2389"/>
      <c r="O46" s="1191"/>
      <c r="P46" s="1191"/>
      <c r="Q46" s="801"/>
      <c r="R46" s="342"/>
    </row>
    <row r="47" spans="1:20" ht="9.75" customHeight="1" x14ac:dyDescent="0.2">
      <c r="A47" s="2044"/>
      <c r="B47" s="2030"/>
      <c r="C47" s="2475"/>
      <c r="D47" s="2485"/>
      <c r="E47" s="2046"/>
      <c r="F47" s="1466"/>
      <c r="G47" s="2034"/>
      <c r="H47" s="124"/>
      <c r="I47" s="132"/>
      <c r="J47" s="1661"/>
      <c r="K47" s="1661"/>
      <c r="L47" s="155"/>
      <c r="M47" s="1661"/>
      <c r="N47" s="262"/>
      <c r="O47" s="1600"/>
      <c r="P47" s="1600"/>
      <c r="Q47" s="795"/>
      <c r="R47" s="31"/>
    </row>
    <row r="48" spans="1:20" ht="17.25" customHeight="1" x14ac:dyDescent="0.2">
      <c r="A48" s="1265"/>
      <c r="B48" s="1266"/>
      <c r="C48" s="393"/>
      <c r="D48" s="2484" t="s">
        <v>28</v>
      </c>
      <c r="E48" s="2045" t="s">
        <v>242</v>
      </c>
      <c r="F48" s="2115" t="s">
        <v>47</v>
      </c>
      <c r="G48" s="2291"/>
      <c r="H48" s="2483"/>
      <c r="I48" s="91" t="s">
        <v>62</v>
      </c>
      <c r="J48" s="1612">
        <v>5.9</v>
      </c>
      <c r="K48" s="1612">
        <v>0.8</v>
      </c>
      <c r="L48" s="400"/>
      <c r="M48" s="1612"/>
      <c r="N48" s="1597" t="s">
        <v>97</v>
      </c>
      <c r="O48" s="1286">
        <v>1</v>
      </c>
      <c r="P48" s="465">
        <v>1</v>
      </c>
      <c r="Q48" s="1601"/>
      <c r="R48" s="1605"/>
    </row>
    <row r="49" spans="1:18" ht="21.75" customHeight="1" x14ac:dyDescent="0.2">
      <c r="A49" s="1265"/>
      <c r="B49" s="1266"/>
      <c r="C49" s="393"/>
      <c r="D49" s="2485"/>
      <c r="E49" s="2100"/>
      <c r="F49" s="2313"/>
      <c r="G49" s="2291"/>
      <c r="H49" s="2483"/>
      <c r="I49" s="90" t="s">
        <v>25</v>
      </c>
      <c r="J49" s="1613">
        <v>6.2</v>
      </c>
      <c r="K49" s="1634"/>
      <c r="L49" s="971"/>
      <c r="M49" s="1634"/>
      <c r="N49" s="19"/>
      <c r="O49" s="521"/>
      <c r="P49" s="484"/>
      <c r="Q49" s="322"/>
      <c r="R49" s="21"/>
    </row>
    <row r="50" spans="1:18" ht="16.5" customHeight="1" x14ac:dyDescent="0.2">
      <c r="A50" s="1583"/>
      <c r="B50" s="1584"/>
      <c r="C50" s="393"/>
      <c r="D50" s="2484" t="s">
        <v>33</v>
      </c>
      <c r="E50" s="2045" t="s">
        <v>226</v>
      </c>
      <c r="F50" s="2115" t="s">
        <v>47</v>
      </c>
      <c r="G50" s="2291"/>
      <c r="H50" s="2483"/>
      <c r="I50" s="87" t="s">
        <v>45</v>
      </c>
      <c r="J50" s="67"/>
      <c r="K50" s="67"/>
      <c r="L50" s="355">
        <v>95</v>
      </c>
      <c r="M50" s="67"/>
      <c r="N50" s="1258" t="s">
        <v>97</v>
      </c>
      <c r="O50" s="476"/>
      <c r="P50" s="478"/>
      <c r="Q50" s="321">
        <v>1</v>
      </c>
      <c r="R50" s="1602"/>
    </row>
    <row r="51" spans="1:18" ht="17.25" customHeight="1" x14ac:dyDescent="0.2">
      <c r="A51" s="1583"/>
      <c r="B51" s="1584"/>
      <c r="C51" s="393"/>
      <c r="D51" s="2485"/>
      <c r="E51" s="2100"/>
      <c r="F51" s="2116"/>
      <c r="G51" s="2291"/>
      <c r="H51" s="2517"/>
      <c r="I51" s="1039"/>
      <c r="J51" s="1615"/>
      <c r="K51" s="1615"/>
      <c r="L51" s="155"/>
      <c r="M51" s="1615"/>
      <c r="N51" s="19"/>
      <c r="O51" s="1272"/>
      <c r="P51" s="484"/>
      <c r="Q51" s="322"/>
      <c r="R51" s="21"/>
    </row>
    <row r="52" spans="1:18" ht="16.5" customHeight="1" thickBot="1" x14ac:dyDescent="0.25">
      <c r="A52" s="72"/>
      <c r="B52" s="305"/>
      <c r="C52" s="189"/>
      <c r="D52" s="283"/>
      <c r="E52" s="381"/>
      <c r="F52" s="382"/>
      <c r="G52" s="283"/>
      <c r="H52" s="220"/>
      <c r="I52" s="186" t="s">
        <v>6</v>
      </c>
      <c r="J52" s="93">
        <f>SUM(J40:J49)</f>
        <v>1124.7</v>
      </c>
      <c r="K52" s="93">
        <f>SUM(K40:K51)</f>
        <v>607.4</v>
      </c>
      <c r="L52" s="93">
        <f>SUM(L40:L51)</f>
        <v>2056.3000000000002</v>
      </c>
      <c r="M52" s="93">
        <f>SUM(M40:M51)</f>
        <v>1900</v>
      </c>
      <c r="N52" s="385"/>
      <c r="O52" s="386"/>
      <c r="P52" s="387"/>
      <c r="Q52" s="387"/>
      <c r="R52" s="388"/>
    </row>
    <row r="53" spans="1:18" ht="36" customHeight="1" x14ac:dyDescent="0.2">
      <c r="A53" s="251" t="s">
        <v>5</v>
      </c>
      <c r="B53" s="276" t="s">
        <v>5</v>
      </c>
      <c r="C53" s="468" t="s">
        <v>28</v>
      </c>
      <c r="D53" s="232"/>
      <c r="E53" s="234" t="s">
        <v>100</v>
      </c>
      <c r="F53" s="284" t="s">
        <v>94</v>
      </c>
      <c r="G53" s="285" t="s">
        <v>43</v>
      </c>
      <c r="H53" s="235"/>
      <c r="I53" s="528"/>
      <c r="J53" s="527"/>
      <c r="K53" s="565"/>
      <c r="L53" s="233"/>
      <c r="M53" s="527"/>
      <c r="N53" s="1246"/>
      <c r="O53" s="7"/>
      <c r="P53" s="55"/>
      <c r="Q53" s="168"/>
      <c r="R53" s="320"/>
    </row>
    <row r="54" spans="1:18" ht="14.1" customHeight="1" x14ac:dyDescent="0.2">
      <c r="A54" s="2029"/>
      <c r="B54" s="2111"/>
      <c r="C54" s="2475"/>
      <c r="D54" s="2396" t="s">
        <v>5</v>
      </c>
      <c r="E54" s="2032" t="s">
        <v>427</v>
      </c>
      <c r="F54" s="2112" t="s">
        <v>47</v>
      </c>
      <c r="G54" s="2396"/>
      <c r="H54" s="2482" t="s">
        <v>73</v>
      </c>
      <c r="I54" s="91" t="s">
        <v>105</v>
      </c>
      <c r="J54" s="1612">
        <f>860-300-300</f>
        <v>260</v>
      </c>
      <c r="K54" s="1612">
        <v>755.4</v>
      </c>
      <c r="L54" s="128">
        <v>211.8</v>
      </c>
      <c r="M54" s="57"/>
      <c r="N54" s="2382"/>
      <c r="O54" s="512"/>
      <c r="P54" s="515"/>
      <c r="Q54" s="1008"/>
      <c r="R54" s="1030"/>
    </row>
    <row r="55" spans="1:18" ht="14.1" customHeight="1" x14ac:dyDescent="0.2">
      <c r="A55" s="2029"/>
      <c r="B55" s="2111"/>
      <c r="C55" s="2475"/>
      <c r="D55" s="2031"/>
      <c r="E55" s="2039"/>
      <c r="F55" s="2109"/>
      <c r="G55" s="2031"/>
      <c r="H55" s="2516"/>
      <c r="I55" s="87" t="s">
        <v>25</v>
      </c>
      <c r="J55" s="67">
        <f>618.4-420</f>
        <v>198.4</v>
      </c>
      <c r="K55" s="67">
        <v>875.5</v>
      </c>
      <c r="L55" s="355">
        <v>374</v>
      </c>
      <c r="M55" s="67"/>
      <c r="N55" s="2389"/>
      <c r="O55" s="166"/>
      <c r="P55" s="166"/>
      <c r="Q55" s="166"/>
      <c r="R55" s="1010"/>
    </row>
    <row r="56" spans="1:18" ht="14.1" customHeight="1" x14ac:dyDescent="0.2">
      <c r="A56" s="2029"/>
      <c r="B56" s="2111"/>
      <c r="C56" s="2475"/>
      <c r="D56" s="2031"/>
      <c r="E56" s="2098"/>
      <c r="F56" s="2109"/>
      <c r="G56" s="2031"/>
      <c r="H56" s="2516"/>
      <c r="I56" s="87" t="s">
        <v>309</v>
      </c>
      <c r="J56" s="65">
        <v>984.5</v>
      </c>
      <c r="K56" s="65">
        <v>1482.2</v>
      </c>
      <c r="L56" s="103">
        <v>122.8</v>
      </c>
      <c r="M56" s="65"/>
      <c r="N56" s="1244"/>
      <c r="O56" s="166"/>
      <c r="P56" s="166"/>
      <c r="Q56" s="166"/>
      <c r="R56" s="1010"/>
    </row>
    <row r="57" spans="1:18" ht="14.1" customHeight="1" x14ac:dyDescent="0.2">
      <c r="A57" s="2029"/>
      <c r="B57" s="2111"/>
      <c r="C57" s="2475"/>
      <c r="D57" s="2031"/>
      <c r="E57" s="509"/>
      <c r="F57" s="2109"/>
      <c r="G57" s="2031"/>
      <c r="H57" s="2516"/>
      <c r="I57" s="87" t="s">
        <v>48</v>
      </c>
      <c r="J57" s="65">
        <f>300-182.4</f>
        <v>117.6</v>
      </c>
      <c r="K57" s="65">
        <v>200</v>
      </c>
      <c r="L57" s="103"/>
      <c r="M57" s="65"/>
      <c r="N57" s="1244"/>
      <c r="O57" s="166"/>
      <c r="P57" s="166"/>
      <c r="Q57" s="166"/>
      <c r="R57" s="1010"/>
    </row>
    <row r="58" spans="1:18" ht="14.1" customHeight="1" x14ac:dyDescent="0.2">
      <c r="A58" s="2029"/>
      <c r="B58" s="2111"/>
      <c r="C58" s="2475"/>
      <c r="D58" s="2031"/>
      <c r="E58" s="509"/>
      <c r="F58" s="2109"/>
      <c r="G58" s="2031"/>
      <c r="H58" s="2516"/>
      <c r="I58" s="87" t="s">
        <v>45</v>
      </c>
      <c r="J58" s="65"/>
      <c r="K58" s="65">
        <v>104.9</v>
      </c>
      <c r="L58" s="103"/>
      <c r="M58" s="65"/>
      <c r="N58" s="1244"/>
      <c r="O58" s="166"/>
      <c r="P58" s="166"/>
      <c r="Q58" s="166"/>
      <c r="R58" s="1010"/>
    </row>
    <row r="59" spans="1:18" ht="14.1" customHeight="1" x14ac:dyDescent="0.2">
      <c r="A59" s="2029"/>
      <c r="B59" s="2111"/>
      <c r="C59" s="2475"/>
      <c r="D59" s="2031"/>
      <c r="E59" s="509"/>
      <c r="F59" s="2109"/>
      <c r="G59" s="2031"/>
      <c r="H59" s="2516"/>
      <c r="I59" s="87" t="s">
        <v>62</v>
      </c>
      <c r="J59" s="65">
        <f>420-260</f>
        <v>160</v>
      </c>
      <c r="K59" s="65">
        <v>186.9</v>
      </c>
      <c r="L59" s="103"/>
      <c r="M59" s="65"/>
      <c r="N59" s="1244"/>
      <c r="O59" s="166"/>
      <c r="P59" s="166"/>
      <c r="Q59" s="166"/>
      <c r="R59" s="1010"/>
    </row>
    <row r="60" spans="1:18" ht="25.5" customHeight="1" x14ac:dyDescent="0.2">
      <c r="A60" s="2029"/>
      <c r="B60" s="2111"/>
      <c r="C60" s="2475"/>
      <c r="D60" s="2031"/>
      <c r="E60" s="524" t="s">
        <v>172</v>
      </c>
      <c r="F60" s="2109"/>
      <c r="G60" s="2031"/>
      <c r="H60" s="2516"/>
      <c r="I60" s="140"/>
      <c r="J60" s="62"/>
      <c r="K60" s="62"/>
      <c r="L60" s="196"/>
      <c r="M60" s="62"/>
      <c r="N60" s="89" t="s">
        <v>220</v>
      </c>
      <c r="O60" s="25">
        <v>80</v>
      </c>
      <c r="P60" s="171">
        <v>100</v>
      </c>
      <c r="Q60" s="171"/>
      <c r="R60" s="26"/>
    </row>
    <row r="61" spans="1:18" ht="40.5" customHeight="1" x14ac:dyDescent="0.2">
      <c r="A61" s="2029"/>
      <c r="B61" s="2111"/>
      <c r="C61" s="2475"/>
      <c r="D61" s="2031"/>
      <c r="E61" s="513" t="s">
        <v>136</v>
      </c>
      <c r="F61" s="2110"/>
      <c r="G61" s="2397"/>
      <c r="H61" s="313"/>
      <c r="I61" s="90"/>
      <c r="J61" s="1661"/>
      <c r="K61" s="1661"/>
      <c r="L61" s="155"/>
      <c r="M61" s="1661"/>
      <c r="N61" s="525" t="s">
        <v>221</v>
      </c>
      <c r="O61" s="20"/>
      <c r="P61" s="49">
        <v>80</v>
      </c>
      <c r="Q61" s="49">
        <v>100</v>
      </c>
      <c r="R61" s="21"/>
    </row>
    <row r="62" spans="1:18" ht="15" customHeight="1" x14ac:dyDescent="0.2">
      <c r="A62" s="467"/>
      <c r="B62" s="469"/>
      <c r="C62" s="436"/>
      <c r="D62" s="2484" t="s">
        <v>7</v>
      </c>
      <c r="E62" s="2032" t="s">
        <v>428</v>
      </c>
      <c r="F62" s="470" t="s">
        <v>47</v>
      </c>
      <c r="G62" s="2291"/>
      <c r="H62" s="2515" t="s">
        <v>412</v>
      </c>
      <c r="I62" s="87" t="s">
        <v>105</v>
      </c>
      <c r="J62" s="65"/>
      <c r="K62" s="65"/>
      <c r="L62" s="103">
        <v>500</v>
      </c>
      <c r="M62" s="1660">
        <v>400</v>
      </c>
      <c r="N62" s="1596" t="s">
        <v>46</v>
      </c>
      <c r="O62" s="465">
        <v>1</v>
      </c>
      <c r="P62" s="465">
        <v>1</v>
      </c>
      <c r="Q62" s="796"/>
      <c r="R62" s="1045"/>
    </row>
    <row r="63" spans="1:18" ht="15" customHeight="1" x14ac:dyDescent="0.2">
      <c r="A63" s="1265"/>
      <c r="B63" s="1268"/>
      <c r="C63" s="436"/>
      <c r="D63" s="2138"/>
      <c r="E63" s="2141"/>
      <c r="F63" s="574"/>
      <c r="G63" s="2291"/>
      <c r="H63" s="2300"/>
      <c r="I63" s="87" t="s">
        <v>62</v>
      </c>
      <c r="J63" s="65"/>
      <c r="K63" s="65">
        <v>11.8</v>
      </c>
      <c r="L63" s="103"/>
      <c r="M63" s="65"/>
      <c r="N63" s="1589" t="s">
        <v>167</v>
      </c>
      <c r="O63" s="478"/>
      <c r="P63" s="478"/>
      <c r="Q63" s="485">
        <v>30</v>
      </c>
      <c r="R63" s="652">
        <v>60</v>
      </c>
    </row>
    <row r="64" spans="1:18" ht="15" customHeight="1" x14ac:dyDescent="0.2">
      <c r="A64" s="1463"/>
      <c r="B64" s="1464"/>
      <c r="C64" s="436"/>
      <c r="D64" s="2138"/>
      <c r="E64" s="2141"/>
      <c r="F64" s="574"/>
      <c r="G64" s="2291"/>
      <c r="H64" s="2300"/>
      <c r="I64" s="87" t="s">
        <v>25</v>
      </c>
      <c r="J64" s="65">
        <v>26</v>
      </c>
      <c r="K64" s="65"/>
      <c r="L64" s="103"/>
      <c r="M64" s="65">
        <v>100</v>
      </c>
      <c r="N64" s="1589"/>
      <c r="O64" s="478"/>
      <c r="P64" s="478"/>
      <c r="Q64" s="485"/>
      <c r="R64" s="652"/>
    </row>
    <row r="65" spans="1:20" ht="21" customHeight="1" x14ac:dyDescent="0.2">
      <c r="A65" s="467"/>
      <c r="B65" s="469"/>
      <c r="C65" s="436"/>
      <c r="D65" s="2138"/>
      <c r="E65" s="2387"/>
      <c r="F65" s="1514"/>
      <c r="G65" s="2291"/>
      <c r="H65" s="2300"/>
      <c r="I65" s="132" t="s">
        <v>45</v>
      </c>
      <c r="J65" s="1661">
        <v>40</v>
      </c>
      <c r="K65" s="1661"/>
      <c r="L65" s="155">
        <v>40</v>
      </c>
      <c r="M65" s="1661"/>
      <c r="N65" s="575"/>
      <c r="O65" s="484"/>
      <c r="P65" s="484"/>
      <c r="Q65" s="570"/>
      <c r="R65" s="501"/>
    </row>
    <row r="66" spans="1:20" ht="21.75" customHeight="1" x14ac:dyDescent="0.2">
      <c r="A66" s="1512"/>
      <c r="B66" s="1513"/>
      <c r="C66" s="436"/>
      <c r="D66" s="2484" t="s">
        <v>28</v>
      </c>
      <c r="E66" s="2045" t="s">
        <v>414</v>
      </c>
      <c r="F66" s="2116" t="s">
        <v>47</v>
      </c>
      <c r="G66" s="2291"/>
      <c r="H66" s="1635"/>
      <c r="I66" s="350" t="s">
        <v>62</v>
      </c>
      <c r="J66" s="65">
        <v>263</v>
      </c>
      <c r="K66" s="65">
        <v>100</v>
      </c>
      <c r="L66" s="103"/>
      <c r="M66" s="65"/>
      <c r="N66" s="2382" t="s">
        <v>46</v>
      </c>
      <c r="O66" s="1371">
        <v>1</v>
      </c>
      <c r="P66" s="1662">
        <v>1</v>
      </c>
      <c r="Q66" s="321"/>
      <c r="R66" s="1515"/>
    </row>
    <row r="67" spans="1:20" ht="17.25" customHeight="1" x14ac:dyDescent="0.2">
      <c r="A67" s="1512"/>
      <c r="B67" s="1513"/>
      <c r="C67" s="436"/>
      <c r="D67" s="2485"/>
      <c r="E67" s="2046"/>
      <c r="F67" s="2313"/>
      <c r="G67" s="2291"/>
      <c r="H67" s="1636"/>
      <c r="I67" s="132"/>
      <c r="J67" s="1615"/>
      <c r="K67" s="1615"/>
      <c r="L67" s="155"/>
      <c r="M67" s="1615"/>
      <c r="N67" s="2407"/>
      <c r="O67" s="20"/>
      <c r="P67" s="20"/>
      <c r="Q67" s="322"/>
      <c r="R67" s="21"/>
    </row>
    <row r="68" spans="1:20" ht="16.5" customHeight="1" thickBot="1" x14ac:dyDescent="0.25">
      <c r="A68" s="72"/>
      <c r="B68" s="305"/>
      <c r="C68" s="189"/>
      <c r="D68" s="283"/>
      <c r="E68" s="381"/>
      <c r="F68" s="382"/>
      <c r="G68" s="283"/>
      <c r="H68" s="220"/>
      <c r="I68" s="186" t="s">
        <v>6</v>
      </c>
      <c r="J68" s="141">
        <f>SUM(J54:J67)</f>
        <v>2049.5</v>
      </c>
      <c r="K68" s="93">
        <f>SUM(K54:K67)</f>
        <v>3716.7</v>
      </c>
      <c r="L68" s="93">
        <f>SUM(L54:L67)</f>
        <v>1248.5999999999999</v>
      </c>
      <c r="M68" s="93">
        <f>SUM(M54:M67)</f>
        <v>500</v>
      </c>
      <c r="N68" s="385"/>
      <c r="O68" s="386"/>
      <c r="P68" s="387"/>
      <c r="Q68" s="387"/>
      <c r="R68" s="388"/>
    </row>
    <row r="69" spans="1:20" ht="33" customHeight="1" x14ac:dyDescent="0.2">
      <c r="A69" s="254" t="s">
        <v>5</v>
      </c>
      <c r="B69" s="279" t="s">
        <v>5</v>
      </c>
      <c r="C69" s="384" t="s">
        <v>33</v>
      </c>
      <c r="D69" s="101"/>
      <c r="E69" s="108" t="s">
        <v>51</v>
      </c>
      <c r="F69" s="112" t="s">
        <v>91</v>
      </c>
      <c r="G69" s="122" t="s">
        <v>43</v>
      </c>
      <c r="H69" s="236"/>
      <c r="I69" s="75"/>
      <c r="J69" s="73"/>
      <c r="K69" s="73"/>
      <c r="L69" s="405"/>
      <c r="M69" s="73"/>
      <c r="N69" s="76"/>
      <c r="O69" s="28"/>
      <c r="P69" s="28"/>
      <c r="Q69" s="799"/>
      <c r="R69" s="1044"/>
      <c r="T69" s="52"/>
    </row>
    <row r="70" spans="1:20" ht="15" customHeight="1" x14ac:dyDescent="0.2">
      <c r="A70" s="251"/>
      <c r="B70" s="276"/>
      <c r="C70" s="383"/>
      <c r="D70" s="2112" t="s">
        <v>5</v>
      </c>
      <c r="E70" s="2032" t="s">
        <v>61</v>
      </c>
      <c r="F70" s="2115" t="s">
        <v>47</v>
      </c>
      <c r="G70" s="2109"/>
      <c r="H70" s="2482" t="s">
        <v>413</v>
      </c>
      <c r="I70" s="57" t="s">
        <v>105</v>
      </c>
      <c r="J70" s="401">
        <f>500+617.1</f>
        <v>1117.0999999999999</v>
      </c>
      <c r="K70" s="57">
        <v>54.3</v>
      </c>
      <c r="L70" s="128"/>
      <c r="M70" s="57"/>
      <c r="N70" s="2345" t="s">
        <v>222</v>
      </c>
      <c r="O70" s="1264">
        <v>60</v>
      </c>
      <c r="P70" s="1264">
        <v>100</v>
      </c>
      <c r="Q70" s="1012"/>
      <c r="R70" s="1030"/>
    </row>
    <row r="71" spans="1:20" ht="15" customHeight="1" x14ac:dyDescent="0.2">
      <c r="A71" s="294"/>
      <c r="B71" s="310"/>
      <c r="C71" s="383"/>
      <c r="D71" s="2109"/>
      <c r="E71" s="2141"/>
      <c r="F71" s="2116"/>
      <c r="G71" s="2109"/>
      <c r="H71" s="2483"/>
      <c r="I71" s="65" t="s">
        <v>25</v>
      </c>
      <c r="J71" s="103">
        <f>400+1508.2</f>
        <v>1908.2</v>
      </c>
      <c r="K71" s="65"/>
      <c r="L71" s="103"/>
      <c r="M71" s="65"/>
      <c r="N71" s="2522"/>
      <c r="O71" s="281"/>
      <c r="P71" s="281"/>
      <c r="Q71" s="321"/>
      <c r="R71" s="1010"/>
    </row>
    <row r="72" spans="1:20" ht="15" customHeight="1" x14ac:dyDescent="0.2">
      <c r="A72" s="1153"/>
      <c r="B72" s="1156"/>
      <c r="C72" s="1168"/>
      <c r="D72" s="2109"/>
      <c r="E72" s="2141"/>
      <c r="F72" s="2116"/>
      <c r="G72" s="2109"/>
      <c r="H72" s="2483"/>
      <c r="I72" s="65" t="s">
        <v>104</v>
      </c>
      <c r="J72" s="103">
        <v>198.4</v>
      </c>
      <c r="K72" s="65"/>
      <c r="L72" s="103"/>
      <c r="M72" s="65"/>
      <c r="N72" s="293"/>
      <c r="O72" s="1169"/>
      <c r="P72" s="1169"/>
      <c r="Q72" s="321"/>
      <c r="R72" s="1167"/>
    </row>
    <row r="73" spans="1:20" ht="15" customHeight="1" x14ac:dyDescent="0.2">
      <c r="A73" s="1153"/>
      <c r="B73" s="1156"/>
      <c r="C73" s="1168"/>
      <c r="D73" s="2109"/>
      <c r="E73" s="2141"/>
      <c r="F73" s="2116"/>
      <c r="G73" s="2109"/>
      <c r="H73" s="2483"/>
      <c r="I73" s="65" t="s">
        <v>62</v>
      </c>
      <c r="J73" s="103">
        <v>192.4</v>
      </c>
      <c r="K73" s="65"/>
      <c r="L73" s="103"/>
      <c r="M73" s="65"/>
      <c r="N73" s="293"/>
      <c r="O73" s="1169"/>
      <c r="P73" s="1169"/>
      <c r="Q73" s="321"/>
      <c r="R73" s="1167"/>
    </row>
    <row r="74" spans="1:20" ht="15" customHeight="1" x14ac:dyDescent="0.2">
      <c r="A74" s="251"/>
      <c r="B74" s="276"/>
      <c r="C74" s="383"/>
      <c r="D74" s="2109"/>
      <c r="E74" s="2141"/>
      <c r="F74" s="2116"/>
      <c r="G74" s="2109"/>
      <c r="H74" s="2483"/>
      <c r="I74" s="65" t="s">
        <v>48</v>
      </c>
      <c r="J74" s="103">
        <f>993.4+482.4</f>
        <v>1475.8</v>
      </c>
      <c r="K74" s="65">
        <v>1300</v>
      </c>
      <c r="L74" s="103"/>
      <c r="M74" s="65"/>
      <c r="N74" s="2512"/>
      <c r="O74" s="281"/>
      <c r="P74" s="281"/>
      <c r="Q74" s="321"/>
      <c r="R74" s="1010"/>
    </row>
    <row r="75" spans="1:20" ht="15" customHeight="1" x14ac:dyDescent="0.2">
      <c r="A75" s="294"/>
      <c r="B75" s="310"/>
      <c r="C75" s="383"/>
      <c r="D75" s="2109"/>
      <c r="E75" s="2141"/>
      <c r="F75" s="2116"/>
      <c r="G75" s="2109"/>
      <c r="H75" s="2483"/>
      <c r="I75" s="64" t="s">
        <v>45</v>
      </c>
      <c r="J75" s="155">
        <v>3.2</v>
      </c>
      <c r="K75" s="64"/>
      <c r="L75" s="155"/>
      <c r="M75" s="64"/>
      <c r="N75" s="2513"/>
      <c r="O75" s="20"/>
      <c r="P75" s="20"/>
      <c r="Q75" s="321"/>
      <c r="R75" s="1010"/>
    </row>
    <row r="76" spans="1:20" ht="14.25" customHeight="1" x14ac:dyDescent="0.2">
      <c r="A76" s="2029"/>
      <c r="B76" s="2111"/>
      <c r="C76" s="2475"/>
      <c r="D76" s="2484" t="s">
        <v>7</v>
      </c>
      <c r="E76" s="2045" t="s">
        <v>364</v>
      </c>
      <c r="F76" s="2122" t="s">
        <v>47</v>
      </c>
      <c r="G76" s="2519"/>
      <c r="H76" s="2455"/>
      <c r="I76" s="48" t="s">
        <v>25</v>
      </c>
      <c r="J76" s="65"/>
      <c r="K76" s="65">
        <v>10</v>
      </c>
      <c r="L76" s="103">
        <v>24.6</v>
      </c>
      <c r="M76" s="65">
        <v>22.5</v>
      </c>
      <c r="N76" s="1561" t="s">
        <v>46</v>
      </c>
      <c r="O76" s="1560"/>
      <c r="P76" s="1560">
        <v>1</v>
      </c>
      <c r="Q76" s="1562"/>
      <c r="R76" s="1564"/>
    </row>
    <row r="77" spans="1:20" ht="21" customHeight="1" x14ac:dyDescent="0.2">
      <c r="A77" s="2029"/>
      <c r="B77" s="2111"/>
      <c r="C77" s="2475"/>
      <c r="D77" s="2138"/>
      <c r="E77" s="2100"/>
      <c r="F77" s="2123"/>
      <c r="G77" s="2519"/>
      <c r="H77" s="2455"/>
      <c r="I77" s="87" t="s">
        <v>44</v>
      </c>
      <c r="J77" s="65"/>
      <c r="K77" s="65"/>
      <c r="L77" s="103">
        <v>425</v>
      </c>
      <c r="M77" s="65">
        <v>425</v>
      </c>
      <c r="N77" s="2404" t="s">
        <v>158</v>
      </c>
      <c r="O77" s="1566"/>
      <c r="P77" s="1566"/>
      <c r="Q77" s="321">
        <v>50</v>
      </c>
      <c r="R77" s="1563">
        <v>100</v>
      </c>
    </row>
    <row r="78" spans="1:20" ht="18.75" customHeight="1" x14ac:dyDescent="0.2">
      <c r="A78" s="2029"/>
      <c r="B78" s="2111"/>
      <c r="C78" s="2475"/>
      <c r="D78" s="2485"/>
      <c r="E78" s="2046"/>
      <c r="F78" s="2518"/>
      <c r="G78" s="2520"/>
      <c r="H78" s="2492"/>
      <c r="I78" s="132"/>
      <c r="J78" s="1565"/>
      <c r="K78" s="1565"/>
      <c r="L78" s="155"/>
      <c r="M78" s="1565"/>
      <c r="N78" s="2521"/>
      <c r="O78" s="20"/>
      <c r="P78" s="20"/>
      <c r="Q78" s="322"/>
      <c r="R78" s="21"/>
    </row>
    <row r="79" spans="1:20" ht="16.5" customHeight="1" thickBot="1" x14ac:dyDescent="0.25">
      <c r="A79" s="72"/>
      <c r="B79" s="305"/>
      <c r="C79" s="189"/>
      <c r="D79" s="283"/>
      <c r="E79" s="381"/>
      <c r="F79" s="382"/>
      <c r="G79" s="283"/>
      <c r="H79" s="220"/>
      <c r="I79" s="186" t="s">
        <v>6</v>
      </c>
      <c r="J79" s="93">
        <f>SUM(J70:J78)</f>
        <v>4895.1000000000004</v>
      </c>
      <c r="K79" s="93">
        <f>SUM(K70:K78)</f>
        <v>1364.3</v>
      </c>
      <c r="L79" s="93">
        <f>SUM(L70:L78)</f>
        <v>449.6</v>
      </c>
      <c r="M79" s="93">
        <f>SUM(M70:M78)</f>
        <v>447.5</v>
      </c>
      <c r="N79" s="385"/>
      <c r="O79" s="386"/>
      <c r="P79" s="387"/>
      <c r="Q79" s="387"/>
      <c r="R79" s="388"/>
    </row>
    <row r="80" spans="1:20" ht="33" customHeight="1" x14ac:dyDescent="0.2">
      <c r="A80" s="302" t="s">
        <v>5</v>
      </c>
      <c r="B80" s="279" t="s">
        <v>5</v>
      </c>
      <c r="C80" s="384" t="s">
        <v>34</v>
      </c>
      <c r="D80" s="101"/>
      <c r="E80" s="78" t="s">
        <v>99</v>
      </c>
      <c r="F80" s="112" t="s">
        <v>89</v>
      </c>
      <c r="G80" s="121" t="s">
        <v>43</v>
      </c>
      <c r="H80" s="123"/>
      <c r="I80" s="405"/>
      <c r="J80" s="73"/>
      <c r="K80" s="73"/>
      <c r="L80" s="405"/>
      <c r="M80" s="73"/>
      <c r="N80" s="176"/>
      <c r="O80" s="29"/>
      <c r="P80" s="29"/>
      <c r="Q80" s="1033"/>
      <c r="R80" s="320"/>
    </row>
    <row r="81" spans="1:18" ht="14.25" customHeight="1" x14ac:dyDescent="0.2">
      <c r="A81" s="1534"/>
      <c r="B81" s="1537"/>
      <c r="C81" s="1545"/>
      <c r="D81" s="1542" t="s">
        <v>5</v>
      </c>
      <c r="E81" s="2045" t="s">
        <v>238</v>
      </c>
      <c r="F81" s="113" t="s">
        <v>47</v>
      </c>
      <c r="G81" s="1536"/>
      <c r="H81" s="2455" t="s">
        <v>123</v>
      </c>
      <c r="I81" s="87" t="s">
        <v>105</v>
      </c>
      <c r="J81" s="65">
        <f>700+300</f>
        <v>1000</v>
      </c>
      <c r="K81" s="65">
        <v>845.7</v>
      </c>
      <c r="L81" s="103"/>
      <c r="M81" s="65"/>
      <c r="N81" s="2382" t="s">
        <v>223</v>
      </c>
      <c r="O81" s="1191">
        <v>80</v>
      </c>
      <c r="P81" s="1191">
        <v>100</v>
      </c>
      <c r="Q81" s="801"/>
      <c r="R81" s="342"/>
    </row>
    <row r="82" spans="1:18" ht="12.75" customHeight="1" x14ac:dyDescent="0.2">
      <c r="A82" s="1534"/>
      <c r="B82" s="1537"/>
      <c r="C82" s="1545"/>
      <c r="D82" s="1539"/>
      <c r="E82" s="2100"/>
      <c r="F82" s="2524"/>
      <c r="G82" s="1536"/>
      <c r="H82" s="2481"/>
      <c r="I82" s="716" t="s">
        <v>25</v>
      </c>
      <c r="J82" s="1042">
        <v>352.5</v>
      </c>
      <c r="K82" s="1511">
        <v>472.5</v>
      </c>
      <c r="L82" s="103"/>
      <c r="M82" s="65"/>
      <c r="N82" s="2389"/>
      <c r="O82" s="1191"/>
      <c r="P82" s="1191"/>
      <c r="Q82" s="801"/>
      <c r="R82" s="342"/>
    </row>
    <row r="83" spans="1:18" ht="15" customHeight="1" x14ac:dyDescent="0.2">
      <c r="A83" s="1534"/>
      <c r="B83" s="1537"/>
      <c r="C83" s="1545"/>
      <c r="D83" s="1535"/>
      <c r="E83" s="2100"/>
      <c r="F83" s="2524"/>
      <c r="G83" s="1536"/>
      <c r="H83" s="2481"/>
      <c r="I83" s="1051" t="s">
        <v>62</v>
      </c>
      <c r="J83" s="1042">
        <v>1533.9</v>
      </c>
      <c r="K83" s="609"/>
      <c r="L83" s="103"/>
      <c r="M83" s="65"/>
      <c r="N83" s="1538"/>
      <c r="O83" s="1191"/>
      <c r="P83" s="1191"/>
      <c r="Q83" s="801"/>
      <c r="R83" s="342"/>
    </row>
    <row r="84" spans="1:18" ht="16.5" customHeight="1" x14ac:dyDescent="0.2">
      <c r="A84" s="1534"/>
      <c r="B84" s="1537"/>
      <c r="C84" s="1545"/>
      <c r="D84" s="1535"/>
      <c r="E84" s="2100"/>
      <c r="F84" s="2524"/>
      <c r="G84" s="1536"/>
      <c r="H84" s="2481"/>
      <c r="I84" s="610" t="s">
        <v>104</v>
      </c>
      <c r="J84" s="608">
        <v>403.6</v>
      </c>
      <c r="K84" s="608"/>
      <c r="L84" s="155"/>
      <c r="M84" s="1546"/>
      <c r="N84" s="1544"/>
      <c r="O84" s="1540"/>
      <c r="P84" s="1540"/>
      <c r="Q84" s="801"/>
      <c r="R84" s="342"/>
    </row>
    <row r="85" spans="1:18" ht="15.75" customHeight="1" x14ac:dyDescent="0.2">
      <c r="A85" s="1534"/>
      <c r="B85" s="1537"/>
      <c r="C85" s="1545"/>
      <c r="D85" s="1542" t="s">
        <v>7</v>
      </c>
      <c r="E85" s="2045" t="s">
        <v>245</v>
      </c>
      <c r="F85" s="113" t="s">
        <v>47</v>
      </c>
      <c r="G85" s="1536"/>
      <c r="H85" s="2455"/>
      <c r="I85" s="87" t="s">
        <v>25</v>
      </c>
      <c r="J85" s="67"/>
      <c r="K85" s="65">
        <v>43.3</v>
      </c>
      <c r="L85" s="103"/>
      <c r="M85" s="65">
        <v>160.6</v>
      </c>
      <c r="N85" s="1801" t="s">
        <v>251</v>
      </c>
      <c r="O85" s="1049"/>
      <c r="P85" s="1050">
        <v>10</v>
      </c>
      <c r="Q85" s="1034">
        <v>40</v>
      </c>
      <c r="R85" s="1046">
        <v>80</v>
      </c>
    </row>
    <row r="86" spans="1:18" ht="19.5" customHeight="1" x14ac:dyDescent="0.2">
      <c r="A86" s="1534"/>
      <c r="B86" s="1537"/>
      <c r="C86" s="1545"/>
      <c r="D86" s="1543"/>
      <c r="E86" s="2405"/>
      <c r="F86" s="611"/>
      <c r="G86" s="1536"/>
      <c r="H86" s="2481"/>
      <c r="I86" s="1661" t="s">
        <v>105</v>
      </c>
      <c r="J86" s="1657"/>
      <c r="K86" s="1661"/>
      <c r="L86" s="155">
        <v>800</v>
      </c>
      <c r="M86" s="1661">
        <v>800</v>
      </c>
      <c r="N86" s="449"/>
      <c r="O86" s="1540"/>
      <c r="P86" s="1540"/>
      <c r="Q86" s="795"/>
      <c r="R86" s="31"/>
    </row>
    <row r="87" spans="1:18" ht="15" customHeight="1" x14ac:dyDescent="0.2">
      <c r="A87" s="294"/>
      <c r="B87" s="310"/>
      <c r="C87" s="383"/>
      <c r="D87" s="1000" t="s">
        <v>28</v>
      </c>
      <c r="E87" s="2045" t="s">
        <v>147</v>
      </c>
      <c r="F87" s="2115" t="s">
        <v>456</v>
      </c>
      <c r="G87" s="1242"/>
      <c r="H87" s="2455"/>
      <c r="I87" s="91" t="s">
        <v>25</v>
      </c>
      <c r="J87" s="1660">
        <f>326.1+123.9-430</f>
        <v>20</v>
      </c>
      <c r="K87" s="1660"/>
      <c r="L87" s="128"/>
      <c r="M87" s="1660"/>
      <c r="N87" s="2016" t="s">
        <v>46</v>
      </c>
      <c r="O87" s="1296">
        <v>1</v>
      </c>
      <c r="P87" s="2017">
        <v>1</v>
      </c>
      <c r="Q87" s="794"/>
      <c r="R87" s="2024"/>
    </row>
    <row r="88" spans="1:18" ht="21" customHeight="1" x14ac:dyDescent="0.2">
      <c r="A88" s="294"/>
      <c r="B88" s="310"/>
      <c r="C88" s="394"/>
      <c r="D88" s="1000"/>
      <c r="E88" s="2100"/>
      <c r="F88" s="2408"/>
      <c r="G88" s="1242"/>
      <c r="H88" s="2455"/>
      <c r="I88" s="87" t="s">
        <v>62</v>
      </c>
      <c r="J88" s="65"/>
      <c r="K88" s="65">
        <v>18.2</v>
      </c>
      <c r="L88" s="103"/>
      <c r="M88" s="65"/>
      <c r="N88" s="2021"/>
      <c r="O88" s="2020"/>
      <c r="P88" s="2020"/>
      <c r="Q88" s="801"/>
      <c r="R88" s="342"/>
    </row>
    <row r="89" spans="1:18" ht="18.75" customHeight="1" x14ac:dyDescent="0.2">
      <c r="A89" s="294"/>
      <c r="B89" s="310"/>
      <c r="C89" s="394"/>
      <c r="D89" s="1553"/>
      <c r="E89" s="2311"/>
      <c r="F89" s="2408"/>
      <c r="G89" s="1242"/>
      <c r="H89" s="2455"/>
      <c r="I89" s="90"/>
      <c r="J89" s="64"/>
      <c r="K89" s="1546"/>
      <c r="L89" s="155"/>
      <c r="M89" s="1508"/>
      <c r="N89" s="2022" t="s">
        <v>470</v>
      </c>
      <c r="O89" s="20"/>
      <c r="P89" s="20"/>
      <c r="Q89" s="322"/>
      <c r="R89" s="21"/>
    </row>
    <row r="90" spans="1:18" ht="14.25" customHeight="1" x14ac:dyDescent="0.2">
      <c r="A90" s="1003"/>
      <c r="B90" s="1007"/>
      <c r="C90" s="1016"/>
      <c r="D90" s="1000" t="s">
        <v>33</v>
      </c>
      <c r="E90" s="2045" t="s">
        <v>307</v>
      </c>
      <c r="F90" s="113" t="s">
        <v>47</v>
      </c>
      <c r="G90" s="1242"/>
      <c r="H90" s="1250"/>
      <c r="I90" s="87" t="s">
        <v>25</v>
      </c>
      <c r="J90" s="67"/>
      <c r="K90" s="65"/>
      <c r="L90" s="103">
        <v>82</v>
      </c>
      <c r="M90" s="65"/>
      <c r="N90" s="1249" t="s">
        <v>46</v>
      </c>
      <c r="O90" s="612"/>
      <c r="P90" s="612"/>
      <c r="Q90" s="2294">
        <v>1</v>
      </c>
      <c r="R90" s="342"/>
    </row>
    <row r="91" spans="1:18" ht="12.75" customHeight="1" x14ac:dyDescent="0.2">
      <c r="A91" s="1003"/>
      <c r="B91" s="1007"/>
      <c r="C91" s="1016"/>
      <c r="D91" s="1000"/>
      <c r="E91" s="2302"/>
      <c r="F91" s="611"/>
      <c r="G91" s="1242"/>
      <c r="H91" s="1250"/>
      <c r="I91" s="90"/>
      <c r="J91" s="60"/>
      <c r="K91" s="64"/>
      <c r="L91" s="155"/>
      <c r="M91" s="64"/>
      <c r="N91" s="1260"/>
      <c r="O91" s="1191"/>
      <c r="P91" s="1191"/>
      <c r="Q91" s="2295"/>
      <c r="R91" s="31"/>
    </row>
    <row r="92" spans="1:18" ht="25.5" hidden="1" customHeight="1" x14ac:dyDescent="0.2">
      <c r="A92" s="1252"/>
      <c r="B92" s="1253"/>
      <c r="C92" s="1254"/>
      <c r="D92" s="1255" t="s">
        <v>35</v>
      </c>
      <c r="E92" s="2045" t="s">
        <v>355</v>
      </c>
      <c r="F92" s="1132" t="s">
        <v>47</v>
      </c>
      <c r="G92" s="1318"/>
      <c r="H92" s="2455"/>
      <c r="I92" s="87" t="s">
        <v>25</v>
      </c>
      <c r="J92" s="67"/>
      <c r="K92" s="65"/>
      <c r="L92" s="103"/>
      <c r="M92" s="65"/>
      <c r="N92" s="1322" t="s">
        <v>357</v>
      </c>
      <c r="O92" s="1323"/>
      <c r="P92" s="1323">
        <v>100</v>
      </c>
      <c r="Q92" s="794"/>
      <c r="R92" s="342"/>
    </row>
    <row r="93" spans="1:18" ht="14.25" hidden="1" customHeight="1" x14ac:dyDescent="0.2">
      <c r="A93" s="1252"/>
      <c r="B93" s="1253"/>
      <c r="C93" s="1254"/>
      <c r="D93" s="1256"/>
      <c r="E93" s="2302"/>
      <c r="F93" s="611"/>
      <c r="G93" s="1318"/>
      <c r="H93" s="2481"/>
      <c r="I93" s="64"/>
      <c r="J93" s="60"/>
      <c r="K93" s="64"/>
      <c r="L93" s="155"/>
      <c r="M93" s="64"/>
      <c r="N93" s="449"/>
      <c r="O93" s="1324"/>
      <c r="P93" s="1324"/>
      <c r="Q93" s="795"/>
      <c r="R93" s="31"/>
    </row>
    <row r="94" spans="1:18" ht="16.5" customHeight="1" thickBot="1" x14ac:dyDescent="0.25">
      <c r="A94" s="72"/>
      <c r="B94" s="305"/>
      <c r="C94" s="189"/>
      <c r="D94" s="283"/>
      <c r="E94" s="381"/>
      <c r="F94" s="382"/>
      <c r="G94" s="283"/>
      <c r="H94" s="220"/>
      <c r="I94" s="212" t="s">
        <v>6</v>
      </c>
      <c r="J94" s="141">
        <f>SUM(J81:J93)</f>
        <v>3310</v>
      </c>
      <c r="K94" s="141">
        <f>SUM(K81:K93)</f>
        <v>1379.7</v>
      </c>
      <c r="L94" s="141">
        <f>SUM(L81:L93)</f>
        <v>882</v>
      </c>
      <c r="M94" s="141">
        <f>SUM(M81:M93)</f>
        <v>960.6</v>
      </c>
      <c r="N94" s="385"/>
      <c r="O94" s="386"/>
      <c r="P94" s="387"/>
      <c r="Q94" s="387"/>
      <c r="R94" s="388"/>
    </row>
    <row r="95" spans="1:18" ht="29.25" customHeight="1" x14ac:dyDescent="0.2">
      <c r="A95" s="294" t="s">
        <v>5</v>
      </c>
      <c r="B95" s="310" t="s">
        <v>5</v>
      </c>
      <c r="C95" s="383" t="s">
        <v>35</v>
      </c>
      <c r="D95" s="378"/>
      <c r="E95" s="215" t="s">
        <v>74</v>
      </c>
      <c r="F95" s="422" t="s">
        <v>93</v>
      </c>
      <c r="G95" s="270" t="s">
        <v>43</v>
      </c>
      <c r="H95" s="268"/>
      <c r="I95" s="73"/>
      <c r="J95" s="569"/>
      <c r="K95" s="80"/>
      <c r="L95" s="403"/>
      <c r="M95" s="80"/>
      <c r="N95" s="66"/>
      <c r="O95" s="7"/>
      <c r="P95" s="55"/>
      <c r="Q95" s="168"/>
      <c r="R95" s="320"/>
    </row>
    <row r="96" spans="1:18" ht="14.25" customHeight="1" x14ac:dyDescent="0.2">
      <c r="A96" s="251"/>
      <c r="B96" s="276"/>
      <c r="C96" s="383"/>
      <c r="D96" s="391" t="s">
        <v>5</v>
      </c>
      <c r="E96" s="2045" t="s">
        <v>145</v>
      </c>
      <c r="F96" s="2115" t="s">
        <v>456</v>
      </c>
      <c r="G96" s="267"/>
      <c r="H96" s="2457" t="s">
        <v>415</v>
      </c>
      <c r="I96" s="67" t="s">
        <v>62</v>
      </c>
      <c r="J96" s="232">
        <v>219.3</v>
      </c>
      <c r="K96" s="65">
        <v>0</v>
      </c>
      <c r="L96" s="103"/>
      <c r="M96" s="65"/>
      <c r="N96" s="1249" t="s">
        <v>46</v>
      </c>
      <c r="O96" s="478"/>
      <c r="P96" s="485">
        <v>1</v>
      </c>
      <c r="Q96" s="1008"/>
      <c r="R96" s="1030"/>
    </row>
    <row r="97" spans="1:18" ht="13.5" customHeight="1" x14ac:dyDescent="0.2">
      <c r="A97" s="1228"/>
      <c r="B97" s="1230"/>
      <c r="C97" s="1232"/>
      <c r="D97" s="391"/>
      <c r="E97" s="2100"/>
      <c r="F97" s="2408"/>
      <c r="G97" s="1229"/>
      <c r="H97" s="2455"/>
      <c r="I97" s="67" t="s">
        <v>105</v>
      </c>
      <c r="J97" s="65"/>
      <c r="K97" s="65">
        <v>243.1</v>
      </c>
      <c r="L97" s="103"/>
      <c r="M97" s="65">
        <v>1200</v>
      </c>
      <c r="N97" s="2218" t="s">
        <v>335</v>
      </c>
      <c r="O97" s="478"/>
      <c r="P97" s="485"/>
      <c r="Q97" s="1617">
        <v>60</v>
      </c>
      <c r="R97" s="1602">
        <v>90</v>
      </c>
    </row>
    <row r="98" spans="1:18" ht="12.75" customHeight="1" x14ac:dyDescent="0.2">
      <c r="A98" s="1228"/>
      <c r="B98" s="1230"/>
      <c r="C98" s="1232"/>
      <c r="D98" s="391"/>
      <c r="E98" s="2100"/>
      <c r="F98" s="2408"/>
      <c r="G98" s="1229"/>
      <c r="H98" s="2455"/>
      <c r="I98" s="67" t="s">
        <v>365</v>
      </c>
      <c r="J98" s="63"/>
      <c r="K98" s="65"/>
      <c r="L98" s="103">
        <v>5000</v>
      </c>
      <c r="M98" s="65">
        <v>8609.1</v>
      </c>
      <c r="N98" s="2409"/>
      <c r="O98" s="478"/>
      <c r="P98" s="485"/>
      <c r="Q98" s="1617"/>
      <c r="R98" s="1602"/>
    </row>
    <row r="99" spans="1:18" ht="12.75" customHeight="1" x14ac:dyDescent="0.2">
      <c r="A99" s="1621"/>
      <c r="B99" s="1623"/>
      <c r="C99" s="1625"/>
      <c r="D99" s="391"/>
      <c r="E99" s="2100"/>
      <c r="F99" s="574"/>
      <c r="G99" s="1622"/>
      <c r="H99" s="2455"/>
      <c r="I99" s="67" t="s">
        <v>450</v>
      </c>
      <c r="J99" s="63"/>
      <c r="K99" s="65"/>
      <c r="L99" s="103">
        <v>10000</v>
      </c>
      <c r="M99" s="65"/>
      <c r="N99" s="1628"/>
      <c r="O99" s="478"/>
      <c r="P99" s="485"/>
      <c r="Q99" s="1627"/>
      <c r="R99" s="1624"/>
    </row>
    <row r="100" spans="1:18" ht="14.25" customHeight="1" x14ac:dyDescent="0.2">
      <c r="A100" s="1228"/>
      <c r="B100" s="1230"/>
      <c r="C100" s="1232"/>
      <c r="D100" s="391"/>
      <c r="E100" s="2100"/>
      <c r="F100" s="574"/>
      <c r="G100" s="1229"/>
      <c r="H100" s="2455"/>
      <c r="I100" s="67" t="s">
        <v>25</v>
      </c>
      <c r="J100" s="63">
        <v>70.5</v>
      </c>
      <c r="K100" s="65"/>
      <c r="L100" s="103"/>
      <c r="M100" s="65"/>
      <c r="N100" s="1269"/>
      <c r="O100" s="478"/>
      <c r="P100" s="485"/>
      <c r="Q100" s="1233"/>
      <c r="R100" s="1231"/>
    </row>
    <row r="101" spans="1:18" ht="13.5" customHeight="1" x14ac:dyDescent="0.2">
      <c r="A101" s="251"/>
      <c r="B101" s="276"/>
      <c r="C101" s="383"/>
      <c r="D101" s="392"/>
      <c r="E101" s="2100"/>
      <c r="F101" s="274"/>
      <c r="G101" s="267"/>
      <c r="H101" s="2455"/>
      <c r="I101" s="60" t="s">
        <v>104</v>
      </c>
      <c r="J101" s="179">
        <v>1.1000000000000001</v>
      </c>
      <c r="K101" s="64"/>
      <c r="L101" s="155"/>
      <c r="M101" s="64"/>
      <c r="N101" s="1245"/>
      <c r="O101" s="281"/>
      <c r="P101" s="321"/>
      <c r="Q101" s="49"/>
      <c r="R101" s="21"/>
    </row>
    <row r="102" spans="1:18" ht="15" customHeight="1" x14ac:dyDescent="0.2">
      <c r="A102" s="1583"/>
      <c r="B102" s="1588"/>
      <c r="C102" s="1611"/>
      <c r="D102" s="391"/>
      <c r="E102" s="2509" t="s">
        <v>252</v>
      </c>
      <c r="F102" s="1646" t="s">
        <v>47</v>
      </c>
      <c r="G102" s="497"/>
      <c r="H102" s="124"/>
      <c r="I102" s="1284" t="s">
        <v>45</v>
      </c>
      <c r="J102" s="1644">
        <v>30</v>
      </c>
      <c r="K102" s="263"/>
      <c r="L102" s="1523"/>
      <c r="M102" s="263"/>
      <c r="N102" s="1645" t="s">
        <v>135</v>
      </c>
      <c r="O102" s="1289">
        <v>1</v>
      </c>
      <c r="P102" s="498"/>
      <c r="Q102" s="1582"/>
      <c r="R102" s="1605"/>
    </row>
    <row r="103" spans="1:18" ht="12.75" customHeight="1" x14ac:dyDescent="0.2">
      <c r="A103" s="1583"/>
      <c r="B103" s="1588"/>
      <c r="C103" s="1611"/>
      <c r="D103" s="391"/>
      <c r="E103" s="2510"/>
      <c r="F103" s="1646"/>
      <c r="G103" s="497"/>
      <c r="H103" s="1603"/>
      <c r="I103" s="67"/>
      <c r="J103" s="63"/>
      <c r="K103" s="65"/>
      <c r="L103" s="103"/>
      <c r="M103" s="65"/>
      <c r="N103" s="1590"/>
      <c r="O103" s="478"/>
      <c r="P103" s="485"/>
      <c r="Q103" s="1617"/>
      <c r="R103" s="1602"/>
    </row>
    <row r="104" spans="1:18" ht="9.75" customHeight="1" x14ac:dyDescent="0.2">
      <c r="A104" s="1583"/>
      <c r="B104" s="1588"/>
      <c r="C104" s="1611"/>
      <c r="D104" s="392"/>
      <c r="E104" s="2511"/>
      <c r="F104" s="1608"/>
      <c r="G104" s="1647"/>
      <c r="H104" s="1603"/>
      <c r="I104" s="1613"/>
      <c r="J104" s="179"/>
      <c r="K104" s="1615"/>
      <c r="L104" s="155"/>
      <c r="M104" s="1615"/>
      <c r="N104" s="500"/>
      <c r="O104" s="484"/>
      <c r="P104" s="570"/>
      <c r="Q104" s="1054"/>
      <c r="R104" s="501"/>
    </row>
    <row r="105" spans="1:18" ht="15" customHeight="1" thickBot="1" x14ac:dyDescent="0.25">
      <c r="A105" s="255"/>
      <c r="B105" s="278"/>
      <c r="C105" s="379"/>
      <c r="D105" s="283"/>
      <c r="E105" s="381"/>
      <c r="F105" s="382"/>
      <c r="G105" s="283"/>
      <c r="H105" s="220"/>
      <c r="I105" s="93" t="s">
        <v>6</v>
      </c>
      <c r="J105" s="367">
        <f>SUM(J96:J104)</f>
        <v>320.89999999999998</v>
      </c>
      <c r="K105" s="367">
        <f>SUM(K96:K101)</f>
        <v>243.1</v>
      </c>
      <c r="L105" s="367">
        <f>SUM(L96:L101)</f>
        <v>15000</v>
      </c>
      <c r="M105" s="367">
        <f>SUM(M96:M101)</f>
        <v>9809.1</v>
      </c>
      <c r="N105" s="385"/>
      <c r="O105" s="386"/>
      <c r="P105" s="387"/>
      <c r="Q105" s="387"/>
      <c r="R105" s="388"/>
    </row>
    <row r="106" spans="1:18" ht="27" customHeight="1" x14ac:dyDescent="0.2">
      <c r="A106" s="251" t="s">
        <v>5</v>
      </c>
      <c r="B106" s="276" t="s">
        <v>5</v>
      </c>
      <c r="C106" s="390" t="s">
        <v>36</v>
      </c>
      <c r="D106" s="378"/>
      <c r="E106" s="115" t="s">
        <v>256</v>
      </c>
      <c r="F106" s="133"/>
      <c r="G106" s="272" t="s">
        <v>43</v>
      </c>
      <c r="H106" s="2469" t="s">
        <v>72</v>
      </c>
      <c r="I106" s="1040"/>
      <c r="J106" s="58"/>
      <c r="K106" s="408"/>
      <c r="L106" s="130"/>
      <c r="M106" s="58"/>
      <c r="N106" s="74"/>
      <c r="O106" s="24"/>
      <c r="P106" s="28"/>
      <c r="Q106" s="808"/>
      <c r="R106" s="700"/>
    </row>
    <row r="107" spans="1:18" ht="13.5" customHeight="1" x14ac:dyDescent="0.2">
      <c r="A107" s="251"/>
      <c r="B107" s="276"/>
      <c r="C107" s="389"/>
      <c r="D107" s="508" t="s">
        <v>5</v>
      </c>
      <c r="E107" s="440" t="s">
        <v>88</v>
      </c>
      <c r="F107" s="516"/>
      <c r="G107" s="266"/>
      <c r="H107" s="2481"/>
      <c r="I107" s="91"/>
      <c r="J107" s="57"/>
      <c r="K107" s="57"/>
      <c r="L107" s="128"/>
      <c r="M107" s="57"/>
      <c r="N107" s="2095" t="s">
        <v>153</v>
      </c>
      <c r="O107" s="465">
        <v>100</v>
      </c>
      <c r="P107" s="465">
        <v>100</v>
      </c>
      <c r="Q107" s="796">
        <v>100</v>
      </c>
      <c r="R107" s="1045">
        <v>100</v>
      </c>
    </row>
    <row r="108" spans="1:18" ht="16.5" customHeight="1" x14ac:dyDescent="0.2">
      <c r="A108" s="506"/>
      <c r="B108" s="507"/>
      <c r="C108" s="389"/>
      <c r="D108" s="514"/>
      <c r="E108" s="150"/>
      <c r="F108" s="517"/>
      <c r="G108" s="510"/>
      <c r="H108" s="511"/>
      <c r="I108" s="90" t="s">
        <v>25</v>
      </c>
      <c r="J108" s="64">
        <v>3</v>
      </c>
      <c r="K108" s="64">
        <v>3</v>
      </c>
      <c r="L108" s="155">
        <v>3</v>
      </c>
      <c r="M108" s="64">
        <v>3</v>
      </c>
      <c r="N108" s="2410"/>
      <c r="O108" s="478"/>
      <c r="P108" s="478"/>
      <c r="Q108" s="485"/>
      <c r="R108" s="652"/>
    </row>
    <row r="109" spans="1:18" s="9" customFormat="1" ht="54.75" customHeight="1" x14ac:dyDescent="0.2">
      <c r="A109" s="251"/>
      <c r="B109" s="276"/>
      <c r="C109" s="383"/>
      <c r="D109" s="375" t="s">
        <v>7</v>
      </c>
      <c r="E109" s="526" t="s">
        <v>80</v>
      </c>
      <c r="F109" s="259"/>
      <c r="G109" s="297"/>
      <c r="H109" s="323"/>
      <c r="I109" s="1041" t="s">
        <v>25</v>
      </c>
      <c r="J109" s="360">
        <v>25</v>
      </c>
      <c r="K109" s="360">
        <v>25</v>
      </c>
      <c r="L109" s="359">
        <v>25</v>
      </c>
      <c r="M109" s="360">
        <v>25</v>
      </c>
      <c r="N109" s="2411"/>
      <c r="O109" s="466"/>
      <c r="P109" s="466"/>
      <c r="Q109" s="802"/>
      <c r="R109" s="830"/>
    </row>
    <row r="110" spans="1:18" ht="15" customHeight="1" thickBot="1" x14ac:dyDescent="0.25">
      <c r="A110" s="303"/>
      <c r="B110" s="278"/>
      <c r="C110" s="379"/>
      <c r="D110" s="283"/>
      <c r="E110" s="381"/>
      <c r="F110" s="382"/>
      <c r="G110" s="283"/>
      <c r="H110" s="220"/>
      <c r="I110" s="186" t="s">
        <v>6</v>
      </c>
      <c r="J110" s="141">
        <f>SUM(J107:J109)</f>
        <v>28</v>
      </c>
      <c r="K110" s="141">
        <f t="shared" ref="K110:M110" si="1">SUM(K107:K109)</f>
        <v>28</v>
      </c>
      <c r="L110" s="141">
        <f>SUM(L107:L109)</f>
        <v>28</v>
      </c>
      <c r="M110" s="141">
        <f t="shared" si="1"/>
        <v>28</v>
      </c>
      <c r="N110" s="385"/>
      <c r="O110" s="386"/>
      <c r="P110" s="387"/>
      <c r="Q110" s="387"/>
      <c r="R110" s="388"/>
    </row>
    <row r="111" spans="1:18" ht="14.25" customHeight="1" thickBot="1" x14ac:dyDescent="0.25">
      <c r="A111" s="82" t="s">
        <v>5</v>
      </c>
      <c r="B111" s="280" t="s">
        <v>5</v>
      </c>
      <c r="C111" s="2154" t="s">
        <v>8</v>
      </c>
      <c r="D111" s="2155"/>
      <c r="E111" s="2155"/>
      <c r="F111" s="2155"/>
      <c r="G111" s="2155"/>
      <c r="H111" s="2155"/>
      <c r="I111" s="2156"/>
      <c r="J111" s="361">
        <f>J110+J105+J94+J79+J68+J52+J38</f>
        <v>12623.6</v>
      </c>
      <c r="K111" s="144">
        <f>K110+K105+K94+K79+K68+K52+K38</f>
        <v>10120</v>
      </c>
      <c r="L111" s="144">
        <f t="shared" ref="L111:M111" si="2">L110+L105+L94+L79+L68+L52+L38</f>
        <v>20747.5</v>
      </c>
      <c r="M111" s="144">
        <f t="shared" si="2"/>
        <v>15679.6</v>
      </c>
      <c r="N111" s="1448"/>
      <c r="O111" s="157"/>
      <c r="P111" s="157"/>
      <c r="Q111" s="1019"/>
      <c r="R111" s="1001"/>
    </row>
    <row r="112" spans="1:18" ht="14.25" customHeight="1" thickBot="1" x14ac:dyDescent="0.25">
      <c r="A112" s="82" t="s">
        <v>5</v>
      </c>
      <c r="B112" s="280" t="s">
        <v>7</v>
      </c>
      <c r="C112" s="2340" t="s">
        <v>32</v>
      </c>
      <c r="D112" s="2340"/>
      <c r="E112" s="2340"/>
      <c r="F112" s="2340"/>
      <c r="G112" s="2340"/>
      <c r="H112" s="2340"/>
      <c r="I112" s="2340"/>
      <c r="J112" s="2341"/>
      <c r="K112" s="2341"/>
      <c r="L112" s="2341"/>
      <c r="M112" s="2341"/>
      <c r="N112" s="2340"/>
      <c r="O112" s="2159"/>
      <c r="P112" s="2159"/>
      <c r="Q112" s="2159"/>
      <c r="R112" s="2342"/>
    </row>
    <row r="113" spans="1:19" ht="30" customHeight="1" x14ac:dyDescent="0.2">
      <c r="A113" s="625" t="s">
        <v>5</v>
      </c>
      <c r="B113" s="279" t="s">
        <v>7</v>
      </c>
      <c r="C113" s="384" t="s">
        <v>5</v>
      </c>
      <c r="D113" s="195"/>
      <c r="E113" s="120" t="s">
        <v>57</v>
      </c>
      <c r="F113" s="116" t="s">
        <v>120</v>
      </c>
      <c r="G113" s="451"/>
      <c r="H113" s="452"/>
      <c r="I113" s="95"/>
      <c r="J113" s="152"/>
      <c r="K113" s="152"/>
      <c r="L113" s="152"/>
      <c r="M113" s="152"/>
      <c r="N113" s="85"/>
      <c r="O113" s="182"/>
      <c r="P113" s="182"/>
      <c r="Q113" s="1035"/>
      <c r="R113" s="1056"/>
    </row>
    <row r="114" spans="1:19" ht="14.25" customHeight="1" x14ac:dyDescent="0.2">
      <c r="A114" s="615"/>
      <c r="B114" s="635"/>
      <c r="C114" s="616"/>
      <c r="D114" s="613" t="s">
        <v>5</v>
      </c>
      <c r="E114" s="614" t="s">
        <v>52</v>
      </c>
      <c r="F114" s="637"/>
      <c r="G114" s="618">
        <v>6</v>
      </c>
      <c r="H114" s="2455" t="s">
        <v>75</v>
      </c>
      <c r="I114" s="86"/>
      <c r="J114" s="181"/>
      <c r="K114" s="181"/>
      <c r="L114" s="181"/>
      <c r="M114" s="181"/>
      <c r="N114" s="324"/>
      <c r="O114" s="172"/>
      <c r="P114" s="172"/>
      <c r="Q114" s="431"/>
      <c r="R114" s="327"/>
    </row>
    <row r="115" spans="1:19" ht="15.75" customHeight="1" x14ac:dyDescent="0.2">
      <c r="A115" s="615"/>
      <c r="B115" s="635"/>
      <c r="C115" s="616"/>
      <c r="D115" s="613"/>
      <c r="E115" s="2325" t="s">
        <v>81</v>
      </c>
      <c r="F115" s="637"/>
      <c r="G115" s="613"/>
      <c r="H115" s="2300"/>
      <c r="I115" s="87" t="s">
        <v>25</v>
      </c>
      <c r="J115" s="65">
        <f>3746.2-1556.5-388.2</f>
        <v>1801.5</v>
      </c>
      <c r="K115" s="135">
        <v>4928</v>
      </c>
      <c r="L115" s="135">
        <f>4978-50</f>
        <v>4928</v>
      </c>
      <c r="M115" s="135">
        <f>5055.7-127.7</f>
        <v>4928</v>
      </c>
      <c r="N115" s="1950" t="s">
        <v>41</v>
      </c>
      <c r="O115" s="232">
        <v>5.9</v>
      </c>
      <c r="P115" s="232">
        <v>6</v>
      </c>
      <c r="Q115" s="232">
        <v>6</v>
      </c>
      <c r="R115" s="41">
        <v>6</v>
      </c>
    </row>
    <row r="116" spans="1:19" ht="15.75" customHeight="1" x14ac:dyDescent="0.2">
      <c r="A116" s="615"/>
      <c r="B116" s="635"/>
      <c r="C116" s="616"/>
      <c r="D116" s="613"/>
      <c r="E116" s="2325"/>
      <c r="F116" s="637"/>
      <c r="G116" s="613"/>
      <c r="H116" s="2300"/>
      <c r="I116" s="87" t="s">
        <v>62</v>
      </c>
      <c r="J116" s="65">
        <f>1150+1556.5-56-26</f>
        <v>2624.5</v>
      </c>
      <c r="K116" s="135"/>
      <c r="L116" s="135"/>
      <c r="M116" s="135"/>
      <c r="N116" s="1950"/>
      <c r="O116" s="232"/>
      <c r="P116" s="1951"/>
      <c r="Q116" s="321"/>
      <c r="R116" s="1949"/>
    </row>
    <row r="117" spans="1:19" ht="14.25" customHeight="1" x14ac:dyDescent="0.2">
      <c r="A117" s="615"/>
      <c r="B117" s="635"/>
      <c r="C117" s="616"/>
      <c r="D117" s="613"/>
      <c r="E117" s="2325"/>
      <c r="F117" s="634"/>
      <c r="G117" s="613"/>
      <c r="H117" s="2300"/>
      <c r="I117" s="148" t="s">
        <v>77</v>
      </c>
      <c r="J117" s="148"/>
      <c r="K117" s="139"/>
      <c r="L117" s="139"/>
      <c r="M117" s="139"/>
      <c r="N117" s="1953"/>
      <c r="O117" s="219"/>
      <c r="P117" s="926"/>
      <c r="Q117" s="331"/>
      <c r="R117" s="1031"/>
    </row>
    <row r="118" spans="1:19" ht="19.5" customHeight="1" x14ac:dyDescent="0.2">
      <c r="A118" s="615"/>
      <c r="B118" s="635"/>
      <c r="C118" s="616"/>
      <c r="D118" s="613"/>
      <c r="E118" s="229" t="s">
        <v>82</v>
      </c>
      <c r="F118" s="634"/>
      <c r="G118" s="613"/>
      <c r="H118" s="639"/>
      <c r="I118" s="87" t="s">
        <v>25</v>
      </c>
      <c r="J118" s="87">
        <v>8.6</v>
      </c>
      <c r="K118" s="135">
        <v>10.5</v>
      </c>
      <c r="L118" s="135">
        <v>10.6</v>
      </c>
      <c r="M118" s="135">
        <v>10.8</v>
      </c>
      <c r="N118" s="89" t="s">
        <v>160</v>
      </c>
      <c r="O118" s="197">
        <v>3.7</v>
      </c>
      <c r="P118" s="34">
        <v>4</v>
      </c>
      <c r="Q118" s="805">
        <v>4</v>
      </c>
      <c r="R118" s="35">
        <v>4</v>
      </c>
    </row>
    <row r="119" spans="1:19" ht="26.25" customHeight="1" x14ac:dyDescent="0.2">
      <c r="A119" s="615"/>
      <c r="B119" s="635"/>
      <c r="C119" s="616"/>
      <c r="D119" s="613"/>
      <c r="E119" s="307" t="s">
        <v>83</v>
      </c>
      <c r="F119" s="634"/>
      <c r="G119" s="613"/>
      <c r="H119" s="639"/>
      <c r="I119" s="88" t="s">
        <v>25</v>
      </c>
      <c r="J119" s="140">
        <v>63.7</v>
      </c>
      <c r="K119" s="137">
        <v>56.3</v>
      </c>
      <c r="L119" s="137">
        <v>56.9</v>
      </c>
      <c r="M119" s="137">
        <v>58.1</v>
      </c>
      <c r="N119" s="1953" t="s">
        <v>161</v>
      </c>
      <c r="O119" s="373">
        <v>26.7</v>
      </c>
      <c r="P119" s="197">
        <v>24.8</v>
      </c>
      <c r="Q119" s="455">
        <v>24.8</v>
      </c>
      <c r="R119" s="1057">
        <v>24.8</v>
      </c>
    </row>
    <row r="120" spans="1:19" ht="15.75" customHeight="1" x14ac:dyDescent="0.2">
      <c r="A120" s="615"/>
      <c r="B120" s="635"/>
      <c r="C120" s="616"/>
      <c r="D120" s="618"/>
      <c r="E120" s="2326" t="s">
        <v>146</v>
      </c>
      <c r="F120" s="634"/>
      <c r="G120" s="613"/>
      <c r="H120" s="651"/>
      <c r="I120" s="87" t="s">
        <v>70</v>
      </c>
      <c r="J120" s="87">
        <v>8</v>
      </c>
      <c r="K120" s="135">
        <v>10</v>
      </c>
      <c r="L120" s="135">
        <v>107</v>
      </c>
      <c r="M120" s="135">
        <v>107</v>
      </c>
      <c r="N120" s="2337" t="s">
        <v>461</v>
      </c>
      <c r="O120" s="399" t="s">
        <v>43</v>
      </c>
      <c r="P120" s="561">
        <v>4</v>
      </c>
      <c r="Q120" s="561">
        <v>3</v>
      </c>
      <c r="R120" s="211">
        <v>3</v>
      </c>
    </row>
    <row r="121" spans="1:19" ht="17.25" customHeight="1" x14ac:dyDescent="0.2">
      <c r="A121" s="615"/>
      <c r="B121" s="635"/>
      <c r="C121" s="616"/>
      <c r="D121" s="618"/>
      <c r="E121" s="2048"/>
      <c r="F121" s="637"/>
      <c r="G121" s="613"/>
      <c r="H121" s="651"/>
      <c r="I121" s="87" t="s">
        <v>77</v>
      </c>
      <c r="J121" s="87">
        <v>16.2</v>
      </c>
      <c r="K121" s="87">
        <v>97</v>
      </c>
      <c r="L121" s="87"/>
      <c r="M121" s="87"/>
      <c r="N121" s="2395"/>
      <c r="O121" s="38"/>
      <c r="P121" s="1952"/>
      <c r="Q121" s="1952"/>
      <c r="R121" s="1949"/>
    </row>
    <row r="122" spans="1:19" ht="16.5" customHeight="1" x14ac:dyDescent="0.2">
      <c r="A122" s="615"/>
      <c r="B122" s="635"/>
      <c r="C122" s="616"/>
      <c r="D122" s="619"/>
      <c r="E122" s="2297"/>
      <c r="F122" s="637"/>
      <c r="G122" s="613"/>
      <c r="H122" s="651"/>
      <c r="I122" s="87" t="s">
        <v>62</v>
      </c>
      <c r="J122" s="87">
        <f>56+26</f>
        <v>82</v>
      </c>
      <c r="K122" s="87"/>
      <c r="L122" s="87"/>
      <c r="M122" s="87"/>
      <c r="N122" s="2407"/>
      <c r="O122" s="325"/>
      <c r="P122" s="49"/>
      <c r="Q122" s="1973"/>
      <c r="R122" s="1972"/>
    </row>
    <row r="123" spans="1:19" ht="14.25" customHeight="1" x14ac:dyDescent="0.2">
      <c r="A123" s="615"/>
      <c r="B123" s="635"/>
      <c r="C123" s="616"/>
      <c r="D123" s="618" t="s">
        <v>7</v>
      </c>
      <c r="E123" s="291" t="s">
        <v>181</v>
      </c>
      <c r="F123" s="637"/>
      <c r="G123" s="613"/>
      <c r="H123" s="651"/>
      <c r="I123" s="153"/>
      <c r="J123" s="181"/>
      <c r="K123" s="147"/>
      <c r="L123" s="147"/>
      <c r="M123" s="147"/>
      <c r="N123" s="1950"/>
      <c r="O123" s="38"/>
      <c r="P123" s="204"/>
      <c r="Q123" s="173"/>
      <c r="R123" s="327"/>
    </row>
    <row r="124" spans="1:19" ht="52.5" customHeight="1" x14ac:dyDescent="0.2">
      <c r="A124" s="615"/>
      <c r="B124" s="635"/>
      <c r="C124" s="616"/>
      <c r="D124" s="618"/>
      <c r="E124" s="292" t="s">
        <v>182</v>
      </c>
      <c r="F124" s="637"/>
      <c r="G124" s="613"/>
      <c r="H124" s="651"/>
      <c r="I124" s="148" t="s">
        <v>25</v>
      </c>
      <c r="J124" s="70">
        <v>388.2</v>
      </c>
      <c r="K124" s="185"/>
      <c r="L124" s="139"/>
      <c r="M124" s="139"/>
      <c r="N124" s="45" t="s">
        <v>176</v>
      </c>
      <c r="O124" s="329">
        <v>21</v>
      </c>
      <c r="P124" s="329">
        <v>21</v>
      </c>
      <c r="Q124" s="368">
        <v>21</v>
      </c>
      <c r="R124" s="1031">
        <v>21</v>
      </c>
      <c r="S124" s="929"/>
    </row>
    <row r="125" spans="1:19" ht="22.5" customHeight="1" x14ac:dyDescent="0.2">
      <c r="A125" s="615"/>
      <c r="B125" s="635"/>
      <c r="C125" s="616"/>
      <c r="D125" s="618"/>
      <c r="E125" s="2327" t="s">
        <v>183</v>
      </c>
      <c r="F125" s="637"/>
      <c r="G125" s="613"/>
      <c r="H125" s="651"/>
      <c r="I125" s="87" t="s">
        <v>25</v>
      </c>
      <c r="J125" s="65">
        <v>49.6</v>
      </c>
      <c r="K125" s="125"/>
      <c r="L125" s="135"/>
      <c r="M125" s="135">
        <v>99</v>
      </c>
      <c r="N125" s="2346" t="s">
        <v>257</v>
      </c>
      <c r="O125" s="328">
        <v>12</v>
      </c>
      <c r="P125" s="328"/>
      <c r="Q125" s="1973"/>
      <c r="R125" s="1974">
        <v>17</v>
      </c>
    </row>
    <row r="126" spans="1:19" ht="21" customHeight="1" x14ac:dyDescent="0.2">
      <c r="A126" s="615"/>
      <c r="B126" s="635"/>
      <c r="C126" s="616"/>
      <c r="D126" s="619"/>
      <c r="E126" s="2328"/>
      <c r="F126" s="637"/>
      <c r="G126" s="613"/>
      <c r="H126" s="651"/>
      <c r="I126" s="90"/>
      <c r="J126" s="1661"/>
      <c r="K126" s="126"/>
      <c r="L126" s="136"/>
      <c r="M126" s="136"/>
      <c r="N126" s="2096"/>
      <c r="O126" s="325"/>
      <c r="P126" s="326"/>
      <c r="Q126" s="49"/>
      <c r="R126" s="21"/>
    </row>
    <row r="127" spans="1:19" ht="18" customHeight="1" x14ac:dyDescent="0.2">
      <c r="A127" s="2029"/>
      <c r="B127" s="2030"/>
      <c r="C127" s="2475"/>
      <c r="D127" s="2138" t="s">
        <v>28</v>
      </c>
      <c r="E127" s="2101" t="s">
        <v>42</v>
      </c>
      <c r="F127" s="2109"/>
      <c r="G127" s="2031"/>
      <c r="H127" s="620"/>
      <c r="I127" s="87" t="s">
        <v>25</v>
      </c>
      <c r="J127" s="65">
        <v>59.5</v>
      </c>
      <c r="K127" s="63">
        <v>59.5</v>
      </c>
      <c r="L127" s="135">
        <v>59.5</v>
      </c>
      <c r="M127" s="135">
        <v>59.5</v>
      </c>
      <c r="N127" s="2320" t="s">
        <v>54</v>
      </c>
      <c r="O127" s="2349">
        <v>7</v>
      </c>
      <c r="P127" s="2349">
        <v>7</v>
      </c>
      <c r="Q127" s="2253">
        <v>7</v>
      </c>
      <c r="R127" s="2351">
        <v>7</v>
      </c>
    </row>
    <row r="128" spans="1:19" ht="18" customHeight="1" x14ac:dyDescent="0.2">
      <c r="A128" s="2029"/>
      <c r="B128" s="2030"/>
      <c r="C128" s="2475"/>
      <c r="D128" s="2138"/>
      <c r="E128" s="2102"/>
      <c r="F128" s="2109"/>
      <c r="G128" s="2031"/>
      <c r="H128" s="620"/>
      <c r="I128" s="90" t="s">
        <v>62</v>
      </c>
      <c r="J128" s="1661"/>
      <c r="K128" s="126"/>
      <c r="L128" s="136"/>
      <c r="M128" s="136"/>
      <c r="N128" s="2321"/>
      <c r="O128" s="2350"/>
      <c r="P128" s="2350"/>
      <c r="Q128" s="2254"/>
      <c r="R128" s="2412"/>
    </row>
    <row r="129" spans="1:18" ht="18" customHeight="1" x14ac:dyDescent="0.2">
      <c r="A129" s="2029"/>
      <c r="B129" s="2111"/>
      <c r="C129" s="2475"/>
      <c r="D129" s="2484" t="s">
        <v>33</v>
      </c>
      <c r="E129" s="2128" t="s">
        <v>446</v>
      </c>
      <c r="F129" s="2130"/>
      <c r="G129" s="2034"/>
      <c r="H129" s="2455"/>
      <c r="I129" s="91"/>
      <c r="J129" s="1660"/>
      <c r="K129" s="127"/>
      <c r="L129" s="134"/>
      <c r="M129" s="1660"/>
      <c r="N129" s="244" t="s">
        <v>214</v>
      </c>
      <c r="O129" s="27"/>
      <c r="P129" s="332"/>
      <c r="Q129" s="868"/>
      <c r="R129" s="333"/>
    </row>
    <row r="130" spans="1:18" ht="18.75" customHeight="1" x14ac:dyDescent="0.2">
      <c r="A130" s="2029"/>
      <c r="B130" s="2111"/>
      <c r="C130" s="2475"/>
      <c r="D130" s="2138"/>
      <c r="E130" s="2129"/>
      <c r="F130" s="2130"/>
      <c r="G130" s="2034"/>
      <c r="H130" s="2455"/>
      <c r="I130" s="87" t="s">
        <v>25</v>
      </c>
      <c r="J130" s="65">
        <v>45.6</v>
      </c>
      <c r="K130" s="125">
        <v>40</v>
      </c>
      <c r="L130" s="135">
        <v>40</v>
      </c>
      <c r="M130" s="65">
        <v>40</v>
      </c>
      <c r="N130" s="89" t="s">
        <v>250</v>
      </c>
      <c r="O130" s="32">
        <v>1</v>
      </c>
      <c r="P130" s="448">
        <v>1</v>
      </c>
      <c r="Q130" s="464">
        <v>1</v>
      </c>
      <c r="R130" s="33">
        <v>1</v>
      </c>
    </row>
    <row r="131" spans="1:18" ht="25.5" customHeight="1" x14ac:dyDescent="0.2">
      <c r="A131" s="2029"/>
      <c r="B131" s="2111"/>
      <c r="C131" s="2475"/>
      <c r="D131" s="2138"/>
      <c r="E131" s="2129"/>
      <c r="F131" s="2130"/>
      <c r="G131" s="2034"/>
      <c r="H131" s="2455"/>
      <c r="I131" s="87"/>
      <c r="J131" s="65"/>
      <c r="K131" s="125"/>
      <c r="L131" s="87"/>
      <c r="M131" s="65"/>
      <c r="N131" s="2018" t="s">
        <v>175</v>
      </c>
      <c r="O131" s="1785">
        <v>1</v>
      </c>
      <c r="P131" s="1786">
        <v>1</v>
      </c>
      <c r="Q131" s="1787">
        <v>1</v>
      </c>
      <c r="R131" s="1788">
        <v>1</v>
      </c>
    </row>
    <row r="132" spans="1:18" ht="15" customHeight="1" x14ac:dyDescent="0.2">
      <c r="A132" s="1689"/>
      <c r="B132" s="1712"/>
      <c r="C132" s="1750"/>
      <c r="D132" s="1691"/>
      <c r="E132" s="1694"/>
      <c r="F132" s="1715"/>
      <c r="G132" s="1705"/>
      <c r="H132" s="1747"/>
      <c r="I132" s="140" t="s">
        <v>25</v>
      </c>
      <c r="J132" s="62"/>
      <c r="K132" s="62">
        <v>4</v>
      </c>
      <c r="L132" s="196">
        <v>4</v>
      </c>
      <c r="M132" s="62"/>
      <c r="N132" s="89" t="s">
        <v>376</v>
      </c>
      <c r="O132" s="32"/>
      <c r="P132" s="448">
        <v>1</v>
      </c>
      <c r="Q132" s="464">
        <v>1</v>
      </c>
      <c r="R132" s="33"/>
    </row>
    <row r="133" spans="1:18" ht="15" customHeight="1" x14ac:dyDescent="0.2">
      <c r="A133" s="1315"/>
      <c r="B133" s="1320"/>
      <c r="C133" s="1326"/>
      <c r="D133" s="1316"/>
      <c r="E133" s="1317"/>
      <c r="F133" s="925"/>
      <c r="G133" s="1318"/>
      <c r="H133" s="1325"/>
      <c r="I133" s="87" t="s">
        <v>25</v>
      </c>
      <c r="J133" s="65"/>
      <c r="K133" s="65"/>
      <c r="L133" s="103">
        <v>55</v>
      </c>
      <c r="M133" s="65">
        <v>55</v>
      </c>
      <c r="N133" s="2021" t="s">
        <v>373</v>
      </c>
      <c r="O133" s="2015"/>
      <c r="P133" s="321">
        <v>1</v>
      </c>
      <c r="Q133" s="2013">
        <v>1</v>
      </c>
      <c r="R133" s="2007">
        <v>1</v>
      </c>
    </row>
    <row r="134" spans="1:18" ht="15" customHeight="1" x14ac:dyDescent="0.2">
      <c r="A134" s="2005"/>
      <c r="B134" s="2010"/>
      <c r="C134" s="2014"/>
      <c r="D134" s="2006"/>
      <c r="E134" s="2004"/>
      <c r="F134" s="925"/>
      <c r="G134" s="2008"/>
      <c r="H134" s="2012"/>
      <c r="I134" s="148" t="s">
        <v>77</v>
      </c>
      <c r="J134" s="70"/>
      <c r="K134" s="70">
        <v>55</v>
      </c>
      <c r="L134" s="129"/>
      <c r="M134" s="70"/>
      <c r="N134" s="2021"/>
      <c r="O134" s="264"/>
      <c r="P134" s="463"/>
      <c r="Q134" s="1055"/>
      <c r="R134" s="2002"/>
    </row>
    <row r="135" spans="1:18" ht="27" customHeight="1" x14ac:dyDescent="0.2">
      <c r="A135" s="1315"/>
      <c r="B135" s="1320"/>
      <c r="C135" s="1326"/>
      <c r="D135" s="1316"/>
      <c r="E135" s="1317"/>
      <c r="F135" s="1321"/>
      <c r="G135" s="1318"/>
      <c r="H135" s="1325"/>
      <c r="I135" s="1170"/>
      <c r="J135" s="79"/>
      <c r="K135" s="79"/>
      <c r="L135" s="1435"/>
      <c r="M135" s="79"/>
      <c r="N135" s="2018" t="s">
        <v>465</v>
      </c>
      <c r="O135" s="560"/>
      <c r="P135" s="1643"/>
      <c r="Q135" s="561"/>
      <c r="R135" s="211"/>
    </row>
    <row r="136" spans="1:18" ht="15" customHeight="1" x14ac:dyDescent="0.2">
      <c r="A136" s="1315"/>
      <c r="B136" s="1320"/>
      <c r="C136" s="1326"/>
      <c r="D136" s="1316"/>
      <c r="E136" s="1317"/>
      <c r="F136" s="1321"/>
      <c r="G136" s="1318"/>
      <c r="H136" s="1325"/>
      <c r="I136" s="148"/>
      <c r="J136" s="70"/>
      <c r="K136" s="70"/>
      <c r="L136" s="129"/>
      <c r="M136" s="70"/>
      <c r="N136" s="2023" t="s">
        <v>464</v>
      </c>
      <c r="O136" s="1927"/>
      <c r="P136" s="1928"/>
      <c r="Q136" s="1929"/>
      <c r="R136" s="23"/>
    </row>
    <row r="137" spans="1:18" ht="22.5" customHeight="1" x14ac:dyDescent="0.2">
      <c r="A137" s="2029"/>
      <c r="B137" s="2111"/>
      <c r="C137" s="2475"/>
      <c r="D137" s="2454" t="s">
        <v>34</v>
      </c>
      <c r="E137" s="2101" t="s">
        <v>144</v>
      </c>
      <c r="F137" s="2112" t="s">
        <v>455</v>
      </c>
      <c r="G137" s="2034"/>
      <c r="H137" s="620"/>
      <c r="I137" s="91" t="s">
        <v>70</v>
      </c>
      <c r="J137" s="1660">
        <v>486.4</v>
      </c>
      <c r="K137" s="203">
        <v>188.7</v>
      </c>
      <c r="L137" s="128">
        <v>188.7</v>
      </c>
      <c r="M137" s="1660"/>
      <c r="N137" s="2019" t="s">
        <v>377</v>
      </c>
      <c r="O137" s="1361">
        <v>125</v>
      </c>
      <c r="P137" s="1362">
        <v>205</v>
      </c>
      <c r="Q137" s="869"/>
      <c r="R137" s="665"/>
    </row>
    <row r="138" spans="1:18" ht="26.25" customHeight="1" x14ac:dyDescent="0.2">
      <c r="A138" s="2029"/>
      <c r="B138" s="2111"/>
      <c r="C138" s="2475"/>
      <c r="D138" s="2448"/>
      <c r="E138" s="2102"/>
      <c r="F138" s="2110"/>
      <c r="G138" s="2034"/>
      <c r="H138" s="620"/>
      <c r="I138" s="90" t="s">
        <v>77</v>
      </c>
      <c r="J138" s="1661">
        <v>199.9</v>
      </c>
      <c r="K138" s="179">
        <v>250</v>
      </c>
      <c r="L138" s="90"/>
      <c r="M138" s="1661"/>
      <c r="N138" s="2022" t="s">
        <v>378</v>
      </c>
      <c r="O138" s="1930">
        <v>65</v>
      </c>
      <c r="P138" s="1930">
        <f>65+18</f>
        <v>83</v>
      </c>
      <c r="Q138" s="1931">
        <v>100</v>
      </c>
      <c r="R138" s="666"/>
    </row>
    <row r="139" spans="1:18" ht="19.5" customHeight="1" x14ac:dyDescent="0.2">
      <c r="A139" s="638"/>
      <c r="B139" s="635"/>
      <c r="C139" s="390"/>
      <c r="D139" s="618" t="s">
        <v>35</v>
      </c>
      <c r="E139" s="2129" t="s">
        <v>233</v>
      </c>
      <c r="F139" s="1835"/>
      <c r="G139" s="1812"/>
      <c r="H139" s="2455"/>
      <c r="I139" s="65" t="s">
        <v>70</v>
      </c>
      <c r="J139" s="65">
        <v>3</v>
      </c>
      <c r="K139" s="125"/>
      <c r="L139" s="87"/>
      <c r="M139" s="65"/>
      <c r="N139" s="1948" t="s">
        <v>234</v>
      </c>
      <c r="O139" s="1360">
        <v>1</v>
      </c>
      <c r="P139" s="264">
        <v>1</v>
      </c>
      <c r="Q139" s="463"/>
      <c r="R139" s="1947"/>
    </row>
    <row r="140" spans="1:18" ht="15" customHeight="1" x14ac:dyDescent="0.2">
      <c r="A140" s="638"/>
      <c r="B140" s="635"/>
      <c r="C140" s="390"/>
      <c r="D140" s="540"/>
      <c r="E140" s="2129"/>
      <c r="F140" s="118"/>
      <c r="G140" s="1863"/>
      <c r="H140" s="2456"/>
      <c r="I140" s="1661" t="s">
        <v>77</v>
      </c>
      <c r="J140" s="64"/>
      <c r="K140" s="126">
        <v>3</v>
      </c>
      <c r="L140" s="136"/>
      <c r="M140" s="136"/>
      <c r="N140" s="216"/>
      <c r="O140" s="1951"/>
      <c r="P140" s="339"/>
      <c r="Q140" s="321"/>
      <c r="R140" s="1949"/>
    </row>
    <row r="141" spans="1:18" ht="18" customHeight="1" thickBot="1" x14ac:dyDescent="0.25">
      <c r="A141" s="1468"/>
      <c r="B141" s="1473"/>
      <c r="C141" s="436"/>
      <c r="D141" s="1487"/>
      <c r="E141" s="1485"/>
      <c r="F141" s="1505"/>
      <c r="G141" s="393"/>
      <c r="H141" s="885"/>
      <c r="I141" s="1488" t="s">
        <v>6</v>
      </c>
      <c r="J141" s="1489">
        <f>SUM(J114:J140)</f>
        <v>5836.7</v>
      </c>
      <c r="K141" s="1489">
        <f>SUM(K114:K140)</f>
        <v>5702</v>
      </c>
      <c r="L141" s="1489">
        <f>SUM(L114:L140)</f>
        <v>5449.7</v>
      </c>
      <c r="M141" s="1489">
        <f>SUM(M114:M140)</f>
        <v>5357.4</v>
      </c>
      <c r="N141" s="398"/>
      <c r="O141" s="386"/>
      <c r="P141" s="387"/>
      <c r="Q141" s="387"/>
      <c r="R141" s="388"/>
    </row>
    <row r="142" spans="1:18" ht="27.75" customHeight="1" x14ac:dyDescent="0.2">
      <c r="A142" s="1476" t="s">
        <v>5</v>
      </c>
      <c r="B142" s="1477" t="s">
        <v>7</v>
      </c>
      <c r="C142" s="668" t="s">
        <v>7</v>
      </c>
      <c r="D142" s="1471"/>
      <c r="E142" s="1502" t="s">
        <v>403</v>
      </c>
      <c r="F142" s="1486"/>
      <c r="G142" s="1494"/>
      <c r="H142" s="452"/>
      <c r="I142" s="68"/>
      <c r="J142" s="1495"/>
      <c r="K142" s="95"/>
      <c r="L142" s="1496"/>
      <c r="M142" s="68"/>
      <c r="N142" s="1497"/>
      <c r="O142" s="1498"/>
      <c r="P142" s="1499"/>
      <c r="Q142" s="1500"/>
      <c r="R142" s="1501"/>
    </row>
    <row r="143" spans="1:18" ht="18" customHeight="1" x14ac:dyDescent="0.2">
      <c r="A143" s="1479"/>
      <c r="B143" s="1473"/>
      <c r="C143" s="390"/>
      <c r="D143" s="1480" t="s">
        <v>5</v>
      </c>
      <c r="E143" s="2101" t="s">
        <v>131</v>
      </c>
      <c r="F143" s="2112" t="s">
        <v>326</v>
      </c>
      <c r="G143" s="1469">
        <v>6</v>
      </c>
      <c r="H143" s="2457" t="s">
        <v>421</v>
      </c>
      <c r="I143" s="79" t="s">
        <v>70</v>
      </c>
      <c r="J143" s="79">
        <v>50</v>
      </c>
      <c r="K143" s="79"/>
      <c r="L143" s="79"/>
      <c r="M143" s="79"/>
      <c r="N143" s="1521" t="s">
        <v>379</v>
      </c>
      <c r="O143" s="1520">
        <v>13</v>
      </c>
      <c r="P143" s="1520"/>
      <c r="Q143" s="809"/>
      <c r="R143" s="1522"/>
    </row>
    <row r="144" spans="1:18" ht="17.25" customHeight="1" x14ac:dyDescent="0.2">
      <c r="A144" s="1519"/>
      <c r="B144" s="1518"/>
      <c r="C144" s="390"/>
      <c r="D144" s="1516"/>
      <c r="E144" s="2108"/>
      <c r="F144" s="2109"/>
      <c r="G144" s="1517"/>
      <c r="H144" s="2300"/>
      <c r="I144" s="65" t="s">
        <v>70</v>
      </c>
      <c r="J144" s="87"/>
      <c r="K144" s="87">
        <v>33.4</v>
      </c>
      <c r="L144" s="65">
        <v>50</v>
      </c>
      <c r="M144" s="65"/>
      <c r="N144" s="1589" t="s">
        <v>236</v>
      </c>
      <c r="O144" s="1618">
        <v>5</v>
      </c>
      <c r="P144" s="1618">
        <v>8</v>
      </c>
      <c r="Q144" s="1618">
        <v>5</v>
      </c>
      <c r="R144" s="1602"/>
    </row>
    <row r="145" spans="1:20" ht="14.25" customHeight="1" x14ac:dyDescent="0.2">
      <c r="A145" s="1479"/>
      <c r="B145" s="1473"/>
      <c r="C145" s="390"/>
      <c r="D145" s="1467"/>
      <c r="E145" s="2048"/>
      <c r="F145" s="2189"/>
      <c r="G145" s="1472"/>
      <c r="H145" s="2474"/>
      <c r="I145" s="65" t="s">
        <v>77</v>
      </c>
      <c r="J145" s="87"/>
      <c r="K145" s="135">
        <v>6.8</v>
      </c>
      <c r="L145" s="65"/>
      <c r="M145" s="65"/>
      <c r="N145" s="1616"/>
      <c r="O145" s="926"/>
      <c r="P145" s="926"/>
      <c r="Q145" s="926"/>
      <c r="R145" s="1031"/>
    </row>
    <row r="146" spans="1:20" ht="30" customHeight="1" x14ac:dyDescent="0.2">
      <c r="A146" s="1519"/>
      <c r="B146" s="1518"/>
      <c r="C146" s="390"/>
      <c r="D146" s="1516"/>
      <c r="E146" s="1363"/>
      <c r="F146" s="118"/>
      <c r="G146" s="1609"/>
      <c r="H146" s="1524" t="s">
        <v>235</v>
      </c>
      <c r="I146" s="1063" t="s">
        <v>70</v>
      </c>
      <c r="J146" s="1062"/>
      <c r="K146" s="1641">
        <v>48</v>
      </c>
      <c r="L146" s="1062">
        <v>30</v>
      </c>
      <c r="M146" s="1062"/>
      <c r="N146" s="216" t="s">
        <v>132</v>
      </c>
      <c r="O146" s="20"/>
      <c r="P146" s="20">
        <v>8</v>
      </c>
      <c r="Q146" s="322">
        <v>5</v>
      </c>
      <c r="R146" s="21"/>
      <c r="T146" s="52"/>
    </row>
    <row r="147" spans="1:20" ht="16.5" customHeight="1" x14ac:dyDescent="0.2">
      <c r="A147" s="340"/>
      <c r="B147" s="1478"/>
      <c r="C147" s="1484"/>
      <c r="D147" s="1480" t="s">
        <v>7</v>
      </c>
      <c r="E147" s="2101" t="s">
        <v>404</v>
      </c>
      <c r="F147" s="1150" t="s">
        <v>47</v>
      </c>
      <c r="G147" s="1472" t="s">
        <v>43</v>
      </c>
      <c r="H147" s="2455" t="s">
        <v>137</v>
      </c>
      <c r="I147" s="242" t="s">
        <v>70</v>
      </c>
      <c r="J147" s="103">
        <v>150</v>
      </c>
      <c r="K147" s="65">
        <f>595.9-190</f>
        <v>405.9</v>
      </c>
      <c r="L147" s="103"/>
      <c r="M147" s="65"/>
      <c r="N147" s="1616" t="s">
        <v>367</v>
      </c>
      <c r="O147" s="1278" t="s">
        <v>215</v>
      </c>
      <c r="P147" s="1279" t="s">
        <v>366</v>
      </c>
      <c r="Q147" s="822"/>
      <c r="R147" s="583"/>
    </row>
    <row r="148" spans="1:20" ht="15" customHeight="1" x14ac:dyDescent="0.2">
      <c r="A148" s="340"/>
      <c r="B148" s="1478"/>
      <c r="C148" s="1484"/>
      <c r="D148" s="1467"/>
      <c r="E148" s="2048"/>
      <c r="F148" s="1474"/>
      <c r="G148" s="1472"/>
      <c r="H148" s="2300"/>
      <c r="I148" s="242" t="s">
        <v>70</v>
      </c>
      <c r="J148" s="245"/>
      <c r="K148" s="65">
        <v>26.5</v>
      </c>
      <c r="L148" s="103"/>
      <c r="M148" s="65">
        <v>354.4</v>
      </c>
      <c r="N148" s="1595" t="s">
        <v>259</v>
      </c>
      <c r="O148" s="38"/>
      <c r="P148" s="554" t="s">
        <v>56</v>
      </c>
      <c r="Q148" s="204"/>
      <c r="R148" s="362"/>
    </row>
    <row r="149" spans="1:20" ht="15.75" customHeight="1" x14ac:dyDescent="0.2">
      <c r="A149" s="340"/>
      <c r="B149" s="1478"/>
      <c r="C149" s="1484"/>
      <c r="D149" s="1467"/>
      <c r="E149" s="2048"/>
      <c r="F149" s="1474"/>
      <c r="G149" s="1472"/>
      <c r="H149" s="2300"/>
      <c r="I149" s="242" t="s">
        <v>25</v>
      </c>
      <c r="J149" s="245">
        <v>40</v>
      </c>
      <c r="K149" s="65"/>
      <c r="L149" s="103"/>
      <c r="M149" s="65"/>
      <c r="N149" s="841" t="s">
        <v>368</v>
      </c>
      <c r="O149" s="38"/>
      <c r="P149" s="554"/>
      <c r="Q149" s="204"/>
      <c r="R149" s="362" t="s">
        <v>224</v>
      </c>
    </row>
    <row r="150" spans="1:20" ht="18" customHeight="1" x14ac:dyDescent="0.2">
      <c r="A150" s="340"/>
      <c r="B150" s="1478"/>
      <c r="C150" s="1484"/>
      <c r="D150" s="1467"/>
      <c r="E150" s="1506"/>
      <c r="F150" s="1474"/>
      <c r="G150" s="1472"/>
      <c r="H150" s="2300"/>
      <c r="I150" s="1297" t="s">
        <v>62</v>
      </c>
      <c r="J150" s="1298"/>
      <c r="K150" s="70">
        <v>0.4</v>
      </c>
      <c r="L150" s="129"/>
      <c r="M150" s="70"/>
      <c r="N150" s="1299" t="s">
        <v>258</v>
      </c>
      <c r="O150" s="1282" t="s">
        <v>56</v>
      </c>
      <c r="P150" s="1279"/>
      <c r="Q150" s="822"/>
      <c r="R150" s="583"/>
    </row>
    <row r="151" spans="1:20" ht="35.25" customHeight="1" x14ac:dyDescent="0.2">
      <c r="A151" s="340"/>
      <c r="B151" s="1478"/>
      <c r="C151" s="1484"/>
      <c r="D151" s="1467"/>
      <c r="E151" s="2108" t="s">
        <v>406</v>
      </c>
      <c r="F151" s="1474"/>
      <c r="G151" s="1472"/>
      <c r="H151" s="1481"/>
      <c r="I151" s="242" t="s">
        <v>70</v>
      </c>
      <c r="J151" s="103"/>
      <c r="K151" s="65">
        <v>30</v>
      </c>
      <c r="L151" s="103">
        <v>160</v>
      </c>
      <c r="M151" s="65"/>
      <c r="N151" s="1589" t="s">
        <v>405</v>
      </c>
      <c r="O151" s="38"/>
      <c r="P151" s="554"/>
      <c r="Q151" s="204" t="s">
        <v>56</v>
      </c>
      <c r="R151" s="362"/>
    </row>
    <row r="152" spans="1:20" ht="6.75" customHeight="1" x14ac:dyDescent="0.2">
      <c r="A152" s="340"/>
      <c r="B152" s="1478"/>
      <c r="C152" s="1484"/>
      <c r="D152" s="1467"/>
      <c r="E152" s="2297"/>
      <c r="F152" s="1475"/>
      <c r="G152" s="1483"/>
      <c r="H152" s="1482"/>
      <c r="I152" s="77"/>
      <c r="J152" s="162"/>
      <c r="K152" s="77"/>
      <c r="L152" s="162"/>
      <c r="M152" s="77"/>
      <c r="N152" s="853"/>
      <c r="O152" s="1277"/>
      <c r="P152" s="555"/>
      <c r="Q152" s="326"/>
      <c r="R152" s="475"/>
    </row>
    <row r="153" spans="1:20" ht="18" customHeight="1" thickBot="1" x14ac:dyDescent="0.25">
      <c r="A153" s="1470"/>
      <c r="B153" s="278"/>
      <c r="C153" s="379"/>
      <c r="D153" s="283"/>
      <c r="E153" s="396"/>
      <c r="F153" s="397"/>
      <c r="G153" s="189"/>
      <c r="H153" s="367"/>
      <c r="I153" s="141" t="s">
        <v>6</v>
      </c>
      <c r="J153" s="212">
        <f>SUM(J143:J152)</f>
        <v>240</v>
      </c>
      <c r="K153" s="212">
        <f>SUM(K143:K152)</f>
        <v>551</v>
      </c>
      <c r="L153" s="212">
        <f>SUM(L143:L152)</f>
        <v>240</v>
      </c>
      <c r="M153" s="212">
        <f>SUM(M143:M152)</f>
        <v>354.4</v>
      </c>
      <c r="N153" s="398"/>
      <c r="O153" s="1438"/>
      <c r="P153" s="1503"/>
      <c r="Q153" s="1503"/>
      <c r="R153" s="1504"/>
    </row>
    <row r="154" spans="1:20" ht="14.25" customHeight="1" x14ac:dyDescent="0.2">
      <c r="A154" s="2131" t="s">
        <v>5</v>
      </c>
      <c r="B154" s="2134" t="s">
        <v>7</v>
      </c>
      <c r="C154" s="2137" t="s">
        <v>28</v>
      </c>
      <c r="D154" s="2479"/>
      <c r="E154" s="2416" t="s">
        <v>130</v>
      </c>
      <c r="F154" s="1149" t="s">
        <v>47</v>
      </c>
      <c r="G154" s="2137">
        <v>5</v>
      </c>
      <c r="H154" s="2469" t="s">
        <v>73</v>
      </c>
      <c r="I154" s="65" t="s">
        <v>62</v>
      </c>
      <c r="J154" s="103"/>
      <c r="K154" s="65">
        <v>113</v>
      </c>
      <c r="L154" s="103"/>
      <c r="M154" s="190"/>
      <c r="N154" s="2413" t="s">
        <v>263</v>
      </c>
      <c r="O154" s="282"/>
      <c r="P154" s="282"/>
      <c r="Q154" s="1036">
        <v>17</v>
      </c>
      <c r="R154" s="654"/>
    </row>
    <row r="155" spans="1:20" ht="14.25" customHeight="1" x14ac:dyDescent="0.2">
      <c r="A155" s="2132"/>
      <c r="B155" s="2135"/>
      <c r="C155" s="2138"/>
      <c r="D155" s="2031"/>
      <c r="E155" s="2108"/>
      <c r="F155" s="1150" t="s">
        <v>327</v>
      </c>
      <c r="G155" s="2138"/>
      <c r="H155" s="2455"/>
      <c r="I155" s="65" t="s">
        <v>25</v>
      </c>
      <c r="J155" s="103">
        <v>113</v>
      </c>
      <c r="K155" s="65"/>
      <c r="L155" s="103">
        <v>639.5</v>
      </c>
      <c r="M155" s="65"/>
      <c r="N155" s="2414"/>
      <c r="O155" s="1547"/>
      <c r="P155" s="1547"/>
      <c r="Q155" s="321"/>
      <c r="R155" s="1541"/>
    </row>
    <row r="156" spans="1:20" ht="15" customHeight="1" x14ac:dyDescent="0.2">
      <c r="A156" s="2132"/>
      <c r="B156" s="2135"/>
      <c r="C156" s="2138"/>
      <c r="D156" s="2031"/>
      <c r="E156" s="2108"/>
      <c r="F156" s="1150"/>
      <c r="G156" s="2138"/>
      <c r="H156" s="2455"/>
      <c r="I156" s="65" t="s">
        <v>309</v>
      </c>
      <c r="J156" s="103">
        <v>640</v>
      </c>
      <c r="K156" s="65">
        <v>4264.5</v>
      </c>
      <c r="L156" s="103"/>
      <c r="M156" s="65"/>
      <c r="N156" s="2415"/>
      <c r="O156" s="281"/>
      <c r="P156" s="281"/>
      <c r="Q156" s="321"/>
      <c r="R156" s="1010"/>
    </row>
    <row r="157" spans="1:20" ht="16.5" customHeight="1" thickBot="1" x14ac:dyDescent="0.25">
      <c r="A157" s="2133"/>
      <c r="B157" s="2136"/>
      <c r="C157" s="2139"/>
      <c r="D157" s="2480"/>
      <c r="E157" s="241"/>
      <c r="F157" s="1151"/>
      <c r="G157" s="2139"/>
      <c r="H157" s="2470"/>
      <c r="I157" s="93" t="s">
        <v>6</v>
      </c>
      <c r="J157" s="283">
        <f>SUM(J154:J156)</f>
        <v>753</v>
      </c>
      <c r="K157" s="93">
        <f>SUM(K154:K156)</f>
        <v>4377.5</v>
      </c>
      <c r="L157" s="283">
        <f>SUM(L154:L156)</f>
        <v>639.5</v>
      </c>
      <c r="M157" s="93">
        <f>SUM(M154:M156)</f>
        <v>0</v>
      </c>
      <c r="N157" s="1058"/>
      <c r="O157" s="192"/>
      <c r="P157" s="192"/>
      <c r="Q157" s="807"/>
      <c r="R157" s="599"/>
    </row>
    <row r="158" spans="1:20" ht="14.25" customHeight="1" thickBot="1" x14ac:dyDescent="0.25">
      <c r="A158" s="94" t="s">
        <v>5</v>
      </c>
      <c r="B158" s="280" t="s">
        <v>7</v>
      </c>
      <c r="C158" s="2154" t="s">
        <v>8</v>
      </c>
      <c r="D158" s="2155"/>
      <c r="E158" s="2155"/>
      <c r="F158" s="2155"/>
      <c r="G158" s="2155"/>
      <c r="H158" s="2155"/>
      <c r="I158" s="2156"/>
      <c r="J158" s="361">
        <f>J157+J153+J141</f>
        <v>6829.7</v>
      </c>
      <c r="K158" s="361">
        <f>K157+K153+K141</f>
        <v>10630.5</v>
      </c>
      <c r="L158" s="361">
        <f>L157+L153+L141</f>
        <v>6329.2</v>
      </c>
      <c r="M158" s="144">
        <f>M157+M153+M141</f>
        <v>5711.8</v>
      </c>
      <c r="N158" s="2157"/>
      <c r="O158" s="2157"/>
      <c r="P158" s="2157"/>
      <c r="Q158" s="2157"/>
      <c r="R158" s="2158"/>
    </row>
    <row r="159" spans="1:20" ht="18" customHeight="1" thickBot="1" x14ac:dyDescent="0.25">
      <c r="A159" s="82" t="s">
        <v>5</v>
      </c>
      <c r="B159" s="280" t="s">
        <v>28</v>
      </c>
      <c r="C159" s="2159" t="s">
        <v>118</v>
      </c>
      <c r="D159" s="2160"/>
      <c r="E159" s="2160"/>
      <c r="F159" s="2160"/>
      <c r="G159" s="2160"/>
      <c r="H159" s="2160"/>
      <c r="I159" s="2160"/>
      <c r="J159" s="2160"/>
      <c r="K159" s="2160"/>
      <c r="L159" s="2160"/>
      <c r="M159" s="2160"/>
      <c r="N159" s="2160"/>
      <c r="O159" s="2160"/>
      <c r="P159" s="2160"/>
      <c r="Q159" s="2160"/>
      <c r="R159" s="2161"/>
    </row>
    <row r="160" spans="1:20" ht="27" customHeight="1" x14ac:dyDescent="0.2">
      <c r="A160" s="254" t="s">
        <v>5</v>
      </c>
      <c r="B160" s="279" t="s">
        <v>28</v>
      </c>
      <c r="C160" s="384" t="s">
        <v>5</v>
      </c>
      <c r="D160" s="377"/>
      <c r="E160" s="227" t="s">
        <v>114</v>
      </c>
      <c r="F160" s="117" t="s">
        <v>327</v>
      </c>
      <c r="G160" s="273"/>
      <c r="H160" s="238"/>
      <c r="I160" s="95"/>
      <c r="J160" s="84"/>
      <c r="K160" s="138"/>
      <c r="L160" s="138"/>
      <c r="M160" s="138"/>
      <c r="N160" s="96"/>
      <c r="O160" s="195"/>
      <c r="P160" s="193"/>
      <c r="Q160" s="193"/>
      <c r="R160" s="335"/>
    </row>
    <row r="161" spans="1:18" ht="13.5" customHeight="1" x14ac:dyDescent="0.2">
      <c r="A161" s="251"/>
      <c r="B161" s="276"/>
      <c r="C161" s="383"/>
      <c r="D161" s="309" t="s">
        <v>5</v>
      </c>
      <c r="E161" s="2032" t="s">
        <v>112</v>
      </c>
      <c r="F161" s="2143" t="s">
        <v>78</v>
      </c>
      <c r="G161" s="426" t="s">
        <v>37</v>
      </c>
      <c r="H161" s="2457" t="s">
        <v>76</v>
      </c>
      <c r="I161" s="57" t="s">
        <v>105</v>
      </c>
      <c r="J161" s="91"/>
      <c r="K161" s="134"/>
      <c r="L161" s="57"/>
      <c r="M161" s="57"/>
      <c r="N161" s="300"/>
      <c r="O161" s="232"/>
      <c r="P161" s="40"/>
      <c r="Q161" s="805"/>
      <c r="R161" s="35"/>
    </row>
    <row r="162" spans="1:18" ht="15" customHeight="1" x14ac:dyDescent="0.2">
      <c r="A162" s="251"/>
      <c r="B162" s="276"/>
      <c r="C162" s="383"/>
      <c r="D162" s="375"/>
      <c r="E162" s="2141"/>
      <c r="F162" s="2144"/>
      <c r="G162" s="427"/>
      <c r="H162" s="2455"/>
      <c r="I162" s="65" t="s">
        <v>25</v>
      </c>
      <c r="J162" s="87"/>
      <c r="K162" s="135"/>
      <c r="L162" s="65"/>
      <c r="M162" s="65"/>
      <c r="N162" s="301"/>
      <c r="O162" s="281"/>
      <c r="P162" s="321"/>
      <c r="Q162" s="1055"/>
      <c r="R162" s="1013"/>
    </row>
    <row r="163" spans="1:18" ht="18.75" customHeight="1" x14ac:dyDescent="0.2">
      <c r="A163" s="251"/>
      <c r="B163" s="276"/>
      <c r="C163" s="383"/>
      <c r="D163" s="375"/>
      <c r="E163" s="2141"/>
      <c r="F163" s="2050"/>
      <c r="G163" s="427"/>
      <c r="H163" s="2455"/>
      <c r="I163" s="65" t="s">
        <v>77</v>
      </c>
      <c r="J163" s="87"/>
      <c r="K163" s="139"/>
      <c r="L163" s="70"/>
      <c r="M163" s="70"/>
      <c r="N163" s="237"/>
      <c r="O163" s="183"/>
      <c r="P163" s="331"/>
      <c r="Q163" s="368"/>
      <c r="R163" s="1031"/>
    </row>
    <row r="164" spans="1:18" ht="25.5" customHeight="1" x14ac:dyDescent="0.2">
      <c r="A164" s="294"/>
      <c r="B164" s="310"/>
      <c r="C164" s="383"/>
      <c r="D164" s="375"/>
      <c r="E164" s="2141"/>
      <c r="F164" s="299"/>
      <c r="G164" s="427"/>
      <c r="H164" s="2455"/>
      <c r="I164" s="79" t="s">
        <v>70</v>
      </c>
      <c r="J164" s="450">
        <v>55.1</v>
      </c>
      <c r="K164" s="135">
        <f>190.8</f>
        <v>190.8</v>
      </c>
      <c r="L164" s="65">
        <v>190.8</v>
      </c>
      <c r="M164" s="65">
        <v>190.8</v>
      </c>
      <c r="N164" s="430" t="s">
        <v>119</v>
      </c>
      <c r="O164" s="232">
        <v>13.8</v>
      </c>
      <c r="P164" s="40">
        <v>14.5</v>
      </c>
      <c r="Q164" s="40">
        <v>14.5</v>
      </c>
      <c r="R164" s="41">
        <v>14.5</v>
      </c>
    </row>
    <row r="165" spans="1:18" ht="15" customHeight="1" x14ac:dyDescent="0.2">
      <c r="A165" s="294"/>
      <c r="B165" s="310"/>
      <c r="C165" s="383"/>
      <c r="D165" s="375"/>
      <c r="E165" s="2141"/>
      <c r="F165" s="299"/>
      <c r="G165" s="427"/>
      <c r="H165" s="2455"/>
      <c r="I165" s="65" t="s">
        <v>105</v>
      </c>
      <c r="J165" s="135">
        <v>100</v>
      </c>
      <c r="K165" s="135">
        <v>120</v>
      </c>
      <c r="L165" s="65">
        <v>120</v>
      </c>
      <c r="M165" s="65">
        <v>120</v>
      </c>
      <c r="N165" s="1569" t="s">
        <v>38</v>
      </c>
      <c r="O165" s="1571">
        <v>67</v>
      </c>
      <c r="P165" s="321">
        <f>66+5</f>
        <v>71</v>
      </c>
      <c r="Q165" s="1572">
        <v>71</v>
      </c>
      <c r="R165" s="1570">
        <v>71</v>
      </c>
    </row>
    <row r="166" spans="1:18" ht="15.75" customHeight="1" x14ac:dyDescent="0.2">
      <c r="A166" s="423"/>
      <c r="B166" s="429"/>
      <c r="C166" s="424"/>
      <c r="D166" s="425"/>
      <c r="E166" s="2141"/>
      <c r="F166" s="428"/>
      <c r="G166" s="427"/>
      <c r="H166" s="2455"/>
      <c r="I166" s="70" t="s">
        <v>77</v>
      </c>
      <c r="J166" s="139">
        <f>149.2-11.7</f>
        <v>137.5</v>
      </c>
      <c r="K166" s="139">
        <v>1.4</v>
      </c>
      <c r="L166" s="70"/>
      <c r="M166" s="70"/>
      <c r="N166" s="1573" t="s">
        <v>84</v>
      </c>
      <c r="O166" s="1574">
        <v>1.8</v>
      </c>
      <c r="P166" s="453"/>
      <c r="Q166" s="717"/>
      <c r="R166" s="454"/>
    </row>
    <row r="167" spans="1:18" ht="15.75" customHeight="1" x14ac:dyDescent="0.2">
      <c r="A167" s="1315"/>
      <c r="B167" s="1320"/>
      <c r="C167" s="1326"/>
      <c r="D167" s="1314"/>
      <c r="E167" s="2141"/>
      <c r="F167" s="1319"/>
      <c r="G167" s="1318"/>
      <c r="H167" s="2455"/>
      <c r="I167" s="62" t="s">
        <v>70</v>
      </c>
      <c r="J167" s="62"/>
      <c r="K167" s="135">
        <v>18.3</v>
      </c>
      <c r="L167" s="65"/>
      <c r="M167" s="65"/>
      <c r="N167" s="1368" t="s">
        <v>445</v>
      </c>
      <c r="O167" s="25">
        <v>165</v>
      </c>
      <c r="P167" s="1404">
        <v>100</v>
      </c>
      <c r="Q167" s="1405"/>
      <c r="R167" s="1406"/>
    </row>
    <row r="168" spans="1:18" ht="13.5" customHeight="1" x14ac:dyDescent="0.2">
      <c r="A168" s="1330"/>
      <c r="B168" s="1333"/>
      <c r="C168" s="1341"/>
      <c r="D168" s="1331"/>
      <c r="E168" s="2141"/>
      <c r="F168" s="1337"/>
      <c r="G168" s="1332"/>
      <c r="H168" s="2455"/>
      <c r="I168" s="65" t="s">
        <v>105</v>
      </c>
      <c r="J168" s="87"/>
      <c r="K168" s="450">
        <v>104</v>
      </c>
      <c r="L168" s="79"/>
      <c r="M168" s="79"/>
      <c r="N168" s="2525" t="s">
        <v>443</v>
      </c>
      <c r="O168" s="1802"/>
      <c r="P168" s="321">
        <v>100</v>
      </c>
      <c r="Q168" s="1789"/>
      <c r="R168" s="41"/>
    </row>
    <row r="169" spans="1:18" ht="15" customHeight="1" x14ac:dyDescent="0.2">
      <c r="A169" s="423"/>
      <c r="B169" s="429"/>
      <c r="C169" s="424"/>
      <c r="D169" s="425"/>
      <c r="E169" s="2141"/>
      <c r="F169" s="428"/>
      <c r="G169" s="427"/>
      <c r="H169" s="2455"/>
      <c r="I169" s="65" t="s">
        <v>77</v>
      </c>
      <c r="J169" s="148">
        <v>12.8</v>
      </c>
      <c r="K169" s="139"/>
      <c r="L169" s="70"/>
      <c r="M169" s="70"/>
      <c r="N169" s="2526"/>
      <c r="O169" s="1875"/>
      <c r="P169" s="331"/>
      <c r="Q169" s="1366"/>
      <c r="R169" s="1367"/>
    </row>
    <row r="170" spans="1:18" ht="27" customHeight="1" x14ac:dyDescent="0.2">
      <c r="A170" s="1330"/>
      <c r="B170" s="1333"/>
      <c r="C170" s="1341"/>
      <c r="D170" s="1331"/>
      <c r="E170" s="2141"/>
      <c r="F170" s="1337"/>
      <c r="G170" s="1332"/>
      <c r="H170" s="2455"/>
      <c r="I170" s="62" t="s">
        <v>70</v>
      </c>
      <c r="J170" s="62"/>
      <c r="K170" s="137">
        <v>45</v>
      </c>
      <c r="L170" s="62"/>
      <c r="M170" s="62"/>
      <c r="N170" s="221" t="s">
        <v>380</v>
      </c>
      <c r="O170" s="25"/>
      <c r="P170" s="25">
        <v>1</v>
      </c>
      <c r="Q170" s="1372"/>
      <c r="R170" s="1373"/>
    </row>
    <row r="171" spans="1:18" ht="19.5" customHeight="1" x14ac:dyDescent="0.2">
      <c r="A171" s="423"/>
      <c r="B171" s="429"/>
      <c r="C171" s="424"/>
      <c r="D171" s="425"/>
      <c r="E171" s="2141"/>
      <c r="F171" s="428"/>
      <c r="G171" s="427"/>
      <c r="H171" s="2455"/>
      <c r="I171" s="65" t="s">
        <v>77</v>
      </c>
      <c r="J171" s="135">
        <v>54</v>
      </c>
      <c r="K171" s="135">
        <v>36.6</v>
      </c>
      <c r="L171" s="263"/>
      <c r="M171" s="263"/>
      <c r="N171" s="2420" t="s">
        <v>471</v>
      </c>
      <c r="O171" s="1371">
        <v>3</v>
      </c>
      <c r="P171" s="321">
        <v>5</v>
      </c>
      <c r="Q171" s="876"/>
      <c r="R171" s="662"/>
    </row>
    <row r="172" spans="1:18" ht="36.75" customHeight="1" x14ac:dyDescent="0.2">
      <c r="A172" s="711"/>
      <c r="B172" s="714"/>
      <c r="C172" s="712"/>
      <c r="D172" s="1314"/>
      <c r="E172" s="2141"/>
      <c r="F172" s="715"/>
      <c r="G172" s="713"/>
      <c r="H172" s="2455"/>
      <c r="I172" s="70" t="s">
        <v>62</v>
      </c>
      <c r="J172" s="139">
        <f>150-16.7</f>
        <v>133.30000000000001</v>
      </c>
      <c r="K172" s="139">
        <v>31.9</v>
      </c>
      <c r="L172" s="1357"/>
      <c r="M172" s="1357"/>
      <c r="N172" s="2468"/>
      <c r="O172" s="1370"/>
      <c r="P172" s="331"/>
      <c r="Q172" s="1059"/>
      <c r="R172" s="718"/>
    </row>
    <row r="173" spans="1:18" ht="16.5" customHeight="1" x14ac:dyDescent="0.2">
      <c r="A173" s="1315"/>
      <c r="B173" s="1320"/>
      <c r="C173" s="1326"/>
      <c r="D173" s="1327"/>
      <c r="E173" s="1313"/>
      <c r="F173" s="1319"/>
      <c r="G173" s="1318"/>
      <c r="H173" s="1449"/>
      <c r="I173" s="1351" t="s">
        <v>62</v>
      </c>
      <c r="J173" s="139">
        <v>49</v>
      </c>
      <c r="K173" s="1358"/>
      <c r="L173" s="1357"/>
      <c r="M173" s="1357"/>
      <c r="N173" s="1364" t="s">
        <v>294</v>
      </c>
      <c r="O173" s="1312">
        <v>100</v>
      </c>
      <c r="P173" s="1365"/>
      <c r="Q173" s="1372"/>
      <c r="R173" s="1373"/>
    </row>
    <row r="174" spans="1:18" ht="15" customHeight="1" x14ac:dyDescent="0.2">
      <c r="A174" s="251"/>
      <c r="B174" s="276"/>
      <c r="C174" s="383"/>
      <c r="D174" s="375" t="s">
        <v>7</v>
      </c>
      <c r="E174" s="295" t="s">
        <v>66</v>
      </c>
      <c r="F174" s="337"/>
      <c r="G174" s="442"/>
      <c r="H174" s="1450"/>
      <c r="I174" s="65" t="s">
        <v>105</v>
      </c>
      <c r="J174" s="91">
        <v>150</v>
      </c>
      <c r="K174" s="134">
        <v>120</v>
      </c>
      <c r="L174" s="1660">
        <v>120</v>
      </c>
      <c r="M174" s="57">
        <v>120</v>
      </c>
      <c r="N174" s="1328" t="s">
        <v>85</v>
      </c>
      <c r="O174" s="1329">
        <v>1</v>
      </c>
      <c r="P174" s="1329">
        <v>1</v>
      </c>
      <c r="Q174" s="1339">
        <v>1</v>
      </c>
      <c r="R174" s="1342">
        <v>1</v>
      </c>
    </row>
    <row r="175" spans="1:18" ht="15" customHeight="1" x14ac:dyDescent="0.2">
      <c r="A175" s="1330"/>
      <c r="B175" s="1333"/>
      <c r="C175" s="1341"/>
      <c r="D175" s="1331"/>
      <c r="E175" s="1334"/>
      <c r="F175" s="1374"/>
      <c r="G175" s="1331"/>
      <c r="H175" s="1450"/>
      <c r="I175" s="65" t="s">
        <v>70</v>
      </c>
      <c r="J175" s="87">
        <v>4.9000000000000004</v>
      </c>
      <c r="K175" s="135">
        <v>15</v>
      </c>
      <c r="L175" s="87">
        <v>15</v>
      </c>
      <c r="M175" s="87">
        <v>15</v>
      </c>
      <c r="N175" s="1335"/>
      <c r="O175" s="1344"/>
      <c r="P175" s="1344"/>
      <c r="Q175" s="321"/>
      <c r="R175" s="1340"/>
    </row>
    <row r="176" spans="1:18" ht="16.5" customHeight="1" x14ac:dyDescent="0.2">
      <c r="A176" s="251"/>
      <c r="B176" s="276"/>
      <c r="C176" s="383"/>
      <c r="D176" s="680"/>
      <c r="E176" s="306"/>
      <c r="F176" s="142"/>
      <c r="G176" s="1002"/>
      <c r="H176" s="444"/>
      <c r="I176" s="1351" t="s">
        <v>77</v>
      </c>
      <c r="J176" s="90">
        <v>12.3</v>
      </c>
      <c r="K176" s="136"/>
      <c r="L176" s="90"/>
      <c r="M176" s="90"/>
      <c r="N176" s="216"/>
      <c r="O176" s="20"/>
      <c r="P176" s="20"/>
      <c r="Q176" s="322"/>
      <c r="R176" s="21"/>
    </row>
    <row r="177" spans="1:18" ht="13.5" customHeight="1" x14ac:dyDescent="0.2">
      <c r="A177" s="701"/>
      <c r="B177" s="703"/>
      <c r="C177" s="702"/>
      <c r="D177" s="1017" t="s">
        <v>28</v>
      </c>
      <c r="E177" s="2037" t="s">
        <v>121</v>
      </c>
      <c r="F177" s="1061"/>
      <c r="G177" s="497"/>
      <c r="H177" s="2487"/>
      <c r="I177" s="65" t="s">
        <v>70</v>
      </c>
      <c r="J177" s="91"/>
      <c r="K177" s="134">
        <v>8</v>
      </c>
      <c r="L177" s="134">
        <v>8</v>
      </c>
      <c r="M177" s="134">
        <v>8</v>
      </c>
      <c r="N177" s="2343" t="s">
        <v>269</v>
      </c>
      <c r="O177" s="2149">
        <v>14</v>
      </c>
      <c r="P177" s="2149">
        <v>14</v>
      </c>
      <c r="Q177" s="2147">
        <v>14</v>
      </c>
      <c r="R177" s="2476">
        <v>14</v>
      </c>
    </row>
    <row r="178" spans="1:18" ht="10.5" customHeight="1" x14ac:dyDescent="0.2">
      <c r="A178" s="701"/>
      <c r="B178" s="703"/>
      <c r="C178" s="702"/>
      <c r="D178" s="1002"/>
      <c r="E178" s="2038"/>
      <c r="F178" s="684"/>
      <c r="G178" s="497"/>
      <c r="H178" s="2487"/>
      <c r="I178" s="65"/>
      <c r="J178" s="65"/>
      <c r="K178" s="135"/>
      <c r="L178" s="65"/>
      <c r="M178" s="65"/>
      <c r="N178" s="2218"/>
      <c r="O178" s="2471"/>
      <c r="P178" s="2471"/>
      <c r="Q178" s="2523"/>
      <c r="R178" s="2172"/>
    </row>
    <row r="179" spans="1:18" ht="15.75" customHeight="1" x14ac:dyDescent="0.2">
      <c r="A179" s="706"/>
      <c r="B179" s="708"/>
      <c r="C179" s="707"/>
      <c r="D179" s="1021"/>
      <c r="E179" s="2422"/>
      <c r="F179" s="685"/>
      <c r="G179" s="497"/>
      <c r="H179" s="1020"/>
      <c r="I179" s="65" t="s">
        <v>77</v>
      </c>
      <c r="J179" s="87">
        <v>8</v>
      </c>
      <c r="K179" s="87"/>
      <c r="L179" s="87"/>
      <c r="M179" s="87"/>
      <c r="N179" s="1335"/>
      <c r="O179" s="166"/>
      <c r="P179" s="281"/>
      <c r="Q179" s="321"/>
      <c r="R179" s="1010"/>
    </row>
    <row r="180" spans="1:18" ht="12" customHeight="1" x14ac:dyDescent="0.2">
      <c r="A180" s="251"/>
      <c r="B180" s="276"/>
      <c r="C180" s="383"/>
      <c r="D180" s="376" t="s">
        <v>33</v>
      </c>
      <c r="E180" s="2129" t="s">
        <v>113</v>
      </c>
      <c r="F180" s="1132"/>
      <c r="G180" s="271"/>
      <c r="H180" s="2455"/>
      <c r="I180" s="57"/>
      <c r="J180" s="153"/>
      <c r="K180" s="91"/>
      <c r="L180" s="91"/>
      <c r="M180" s="91"/>
      <c r="N180" s="2382"/>
      <c r="O180" s="2464"/>
      <c r="P180" s="2464"/>
      <c r="Q180" s="2464"/>
      <c r="R180" s="2472"/>
    </row>
    <row r="181" spans="1:18" ht="14.25" customHeight="1" x14ac:dyDescent="0.2">
      <c r="A181" s="251"/>
      <c r="B181" s="276"/>
      <c r="C181" s="383"/>
      <c r="D181" s="376"/>
      <c r="E181" s="2463"/>
      <c r="F181" s="1338"/>
      <c r="G181" s="271"/>
      <c r="H181" s="2478"/>
      <c r="I181" s="70"/>
      <c r="J181" s="148"/>
      <c r="K181" s="148"/>
      <c r="L181" s="148"/>
      <c r="M181" s="148"/>
      <c r="N181" s="2466"/>
      <c r="O181" s="2467"/>
      <c r="P181" s="2465"/>
      <c r="Q181" s="2465"/>
      <c r="R181" s="2473"/>
    </row>
    <row r="182" spans="1:18" ht="29.25" customHeight="1" x14ac:dyDescent="0.2">
      <c r="A182" s="294"/>
      <c r="B182" s="310"/>
      <c r="C182" s="383"/>
      <c r="D182" s="376"/>
      <c r="E182" s="315"/>
      <c r="F182" s="1131"/>
      <c r="G182" s="298"/>
      <c r="H182" s="606" t="s">
        <v>125</v>
      </c>
      <c r="I182" s="62" t="s">
        <v>70</v>
      </c>
      <c r="J182" s="197">
        <f>476+12+30</f>
        <v>518</v>
      </c>
      <c r="K182" s="88">
        <v>544</v>
      </c>
      <c r="L182" s="88">
        <v>564</v>
      </c>
      <c r="M182" s="88">
        <v>574</v>
      </c>
      <c r="N182" s="221" t="s">
        <v>155</v>
      </c>
      <c r="O182" s="681">
        <v>170</v>
      </c>
      <c r="P182" s="681">
        <v>172</v>
      </c>
      <c r="Q182" s="681">
        <v>174</v>
      </c>
      <c r="R182" s="682">
        <v>175</v>
      </c>
    </row>
    <row r="183" spans="1:18" ht="38.25" customHeight="1" x14ac:dyDescent="0.2">
      <c r="A183" s="251"/>
      <c r="B183" s="276"/>
      <c r="C183" s="383"/>
      <c r="D183" s="1018"/>
      <c r="E183" s="1004"/>
      <c r="F183" s="118"/>
      <c r="G183" s="271"/>
      <c r="H183" s="1376" t="s">
        <v>76</v>
      </c>
      <c r="I183" s="1062" t="s">
        <v>70</v>
      </c>
      <c r="J183" s="1063">
        <v>135.1</v>
      </c>
      <c r="K183" s="1063"/>
      <c r="L183" s="1063"/>
      <c r="M183" s="1063"/>
      <c r="N183" s="1375" t="s">
        <v>150</v>
      </c>
      <c r="O183" s="1137"/>
      <c r="P183" s="1137"/>
      <c r="Q183" s="1137"/>
      <c r="R183" s="594"/>
    </row>
    <row r="184" spans="1:18" ht="18.75" customHeight="1" x14ac:dyDescent="0.2">
      <c r="A184" s="258"/>
      <c r="B184" s="277"/>
      <c r="C184" s="390"/>
      <c r="D184" s="1790" t="s">
        <v>34</v>
      </c>
      <c r="E184" s="2129" t="s">
        <v>173</v>
      </c>
      <c r="F184" s="1794" t="s">
        <v>47</v>
      </c>
      <c r="G184" s="1791"/>
      <c r="H184" s="2455"/>
      <c r="I184" s="65" t="s">
        <v>25</v>
      </c>
      <c r="J184" s="87">
        <v>90.1</v>
      </c>
      <c r="K184" s="87">
        <v>76.5</v>
      </c>
      <c r="L184" s="87"/>
      <c r="M184" s="87"/>
      <c r="N184" s="2218" t="s">
        <v>151</v>
      </c>
      <c r="O184" s="502">
        <v>34</v>
      </c>
      <c r="P184" s="502">
        <v>15</v>
      </c>
      <c r="Q184" s="522"/>
      <c r="R184" s="213"/>
    </row>
    <row r="185" spans="1:18" ht="21" customHeight="1" x14ac:dyDescent="0.2">
      <c r="A185" s="258"/>
      <c r="B185" s="277"/>
      <c r="C185" s="389"/>
      <c r="D185" s="1796"/>
      <c r="E185" s="2175"/>
      <c r="F185" s="119"/>
      <c r="G185" s="1798"/>
      <c r="H185" s="2456"/>
      <c r="I185" s="1661" t="s">
        <v>70</v>
      </c>
      <c r="J185" s="90">
        <v>95.9</v>
      </c>
      <c r="K185" s="136"/>
      <c r="L185" s="136"/>
      <c r="M185" s="136"/>
      <c r="N185" s="2477"/>
      <c r="O185" s="503"/>
      <c r="P185" s="503"/>
      <c r="Q185" s="1037"/>
      <c r="R185" s="1060"/>
    </row>
    <row r="186" spans="1:18" ht="15.75" customHeight="1" thickBot="1" x14ac:dyDescent="0.25">
      <c r="A186" s="72"/>
      <c r="B186" s="257"/>
      <c r="C186" s="189"/>
      <c r="D186" s="189"/>
      <c r="E186" s="396"/>
      <c r="F186" s="397"/>
      <c r="G186" s="189"/>
      <c r="H186" s="367"/>
      <c r="I186" s="141" t="s">
        <v>6</v>
      </c>
      <c r="J186" s="141">
        <f>SUM(J161:J185)</f>
        <v>1556</v>
      </c>
      <c r="K186" s="141">
        <f>SUM(K161:K185)</f>
        <v>1311.5</v>
      </c>
      <c r="L186" s="141">
        <f>SUM(L161:L185)</f>
        <v>1017.8</v>
      </c>
      <c r="M186" s="141">
        <f>SUM(M161:M185)</f>
        <v>1027.8</v>
      </c>
      <c r="N186" s="398"/>
      <c r="O186" s="1438"/>
      <c r="P186" s="1503"/>
      <c r="Q186" s="387"/>
      <c r="R186" s="388"/>
    </row>
    <row r="187" spans="1:18" ht="17.25" customHeight="1" x14ac:dyDescent="0.2">
      <c r="A187" s="2178" t="s">
        <v>5</v>
      </c>
      <c r="B187" s="2180" t="s">
        <v>28</v>
      </c>
      <c r="C187" s="2137" t="s">
        <v>7</v>
      </c>
      <c r="D187" s="2460"/>
      <c r="E187" s="2182" t="s">
        <v>448</v>
      </c>
      <c r="F187" s="2151" t="s">
        <v>327</v>
      </c>
      <c r="G187" s="2184" t="s">
        <v>56</v>
      </c>
      <c r="H187" s="2469" t="s">
        <v>65</v>
      </c>
      <c r="I187" s="100" t="s">
        <v>25</v>
      </c>
      <c r="J187" s="223">
        <v>112.6</v>
      </c>
      <c r="K187" s="190">
        <v>136.80000000000001</v>
      </c>
      <c r="L187" s="223">
        <v>146.69999999999999</v>
      </c>
      <c r="M187" s="223">
        <v>146.69999999999999</v>
      </c>
      <c r="N187" s="243" t="s">
        <v>69</v>
      </c>
      <c r="O187" s="275">
        <v>18</v>
      </c>
      <c r="P187" s="275">
        <v>18</v>
      </c>
      <c r="Q187" s="791">
        <v>18</v>
      </c>
      <c r="R187" s="829">
        <v>18</v>
      </c>
    </row>
    <row r="188" spans="1:18" ht="15.75" customHeight="1" x14ac:dyDescent="0.2">
      <c r="A188" s="2029"/>
      <c r="B188" s="2030"/>
      <c r="C188" s="2138"/>
      <c r="D188" s="2461"/>
      <c r="E188" s="2129"/>
      <c r="F188" s="2152"/>
      <c r="G188" s="2034"/>
      <c r="H188" s="2455"/>
      <c r="I188" s="77" t="s">
        <v>62</v>
      </c>
      <c r="J188" s="151">
        <v>93</v>
      </c>
      <c r="K188" s="58"/>
      <c r="L188" s="151"/>
      <c r="M188" s="58"/>
      <c r="N188" s="629" t="s">
        <v>86</v>
      </c>
      <c r="O188" s="281">
        <v>7</v>
      </c>
      <c r="P188" s="281">
        <v>7</v>
      </c>
      <c r="Q188" s="321">
        <v>7</v>
      </c>
      <c r="R188" s="1010">
        <v>7</v>
      </c>
    </row>
    <row r="189" spans="1:18" ht="16.5" customHeight="1" thickBot="1" x14ac:dyDescent="0.25">
      <c r="A189" s="2179"/>
      <c r="B189" s="2181"/>
      <c r="C189" s="2139"/>
      <c r="D189" s="2462"/>
      <c r="E189" s="2183"/>
      <c r="F189" s="2153"/>
      <c r="G189" s="2185"/>
      <c r="H189" s="2505"/>
      <c r="I189" s="141" t="s">
        <v>6</v>
      </c>
      <c r="J189" s="154">
        <f>SUM(J187:J188)</f>
        <v>205.6</v>
      </c>
      <c r="K189" s="154">
        <f>SUM(K187:K188)</f>
        <v>136.80000000000001</v>
      </c>
      <c r="L189" s="212">
        <f>SUM(L187:L188)</f>
        <v>146.69999999999999</v>
      </c>
      <c r="M189" s="212">
        <f>SUM(M187:M188)</f>
        <v>146.69999999999999</v>
      </c>
      <c r="N189" s="573"/>
      <c r="O189" s="192"/>
      <c r="P189" s="192"/>
      <c r="Q189" s="807"/>
      <c r="R189" s="599"/>
    </row>
    <row r="190" spans="1:18" ht="19.5" customHeight="1" x14ac:dyDescent="0.2">
      <c r="A190" s="633" t="s">
        <v>5</v>
      </c>
      <c r="B190" s="667" t="s">
        <v>28</v>
      </c>
      <c r="C190" s="668" t="s">
        <v>28</v>
      </c>
      <c r="D190" s="632"/>
      <c r="E190" s="2162" t="s">
        <v>193</v>
      </c>
      <c r="F190" s="2424" t="s">
        <v>326</v>
      </c>
      <c r="G190" s="627"/>
      <c r="H190" s="669"/>
      <c r="I190" s="559"/>
      <c r="J190" s="670"/>
      <c r="K190" s="559"/>
      <c r="L190" s="670"/>
      <c r="M190" s="559"/>
      <c r="N190" s="671"/>
      <c r="O190" s="187"/>
      <c r="P190" s="187"/>
      <c r="Q190" s="224"/>
      <c r="R190" s="231"/>
    </row>
    <row r="191" spans="1:18" ht="20.25" customHeight="1" x14ac:dyDescent="0.2">
      <c r="A191" s="622"/>
      <c r="B191" s="623"/>
      <c r="C191" s="621"/>
      <c r="D191" s="619"/>
      <c r="E191" s="2166"/>
      <c r="F191" s="2458"/>
      <c r="G191" s="636"/>
      <c r="H191" s="530"/>
      <c r="I191" s="527"/>
      <c r="J191" s="528"/>
      <c r="K191" s="527"/>
      <c r="L191" s="528"/>
      <c r="M191" s="527"/>
      <c r="N191" s="630"/>
      <c r="O191" s="1309"/>
      <c r="P191" s="43"/>
      <c r="Q191" s="155"/>
      <c r="R191" s="44"/>
    </row>
    <row r="192" spans="1:18" ht="24.75" customHeight="1" x14ac:dyDescent="0.2">
      <c r="A192" s="2132"/>
      <c r="B192" s="2167"/>
      <c r="C192" s="2459"/>
      <c r="D192" s="1017" t="s">
        <v>5</v>
      </c>
      <c r="E192" s="2128" t="s">
        <v>248</v>
      </c>
      <c r="F192" s="2143" t="s">
        <v>330</v>
      </c>
      <c r="G192" s="624">
        <v>5</v>
      </c>
      <c r="H192" s="2455" t="s">
        <v>190</v>
      </c>
      <c r="I192" s="65" t="s">
        <v>44</v>
      </c>
      <c r="J192" s="87">
        <v>342</v>
      </c>
      <c r="K192" s="65">
        <v>420</v>
      </c>
      <c r="L192" s="87">
        <v>330</v>
      </c>
      <c r="M192" s="65"/>
      <c r="N192" s="293" t="s">
        <v>141</v>
      </c>
      <c r="O192" s="1310" t="s">
        <v>142</v>
      </c>
      <c r="P192" s="264"/>
      <c r="Q192" s="463"/>
      <c r="R192" s="1013">
        <v>100</v>
      </c>
    </row>
    <row r="193" spans="1:20" ht="24.75" customHeight="1" x14ac:dyDescent="0.2">
      <c r="A193" s="2132"/>
      <c r="B193" s="2167"/>
      <c r="C193" s="2459"/>
      <c r="D193" s="1000"/>
      <c r="E193" s="2168"/>
      <c r="F193" s="2170"/>
      <c r="G193" s="628"/>
      <c r="H193" s="2455"/>
      <c r="I193" s="65" t="s">
        <v>25</v>
      </c>
      <c r="J193" s="103">
        <f>164-4</f>
        <v>160</v>
      </c>
      <c r="K193" s="65">
        <v>207</v>
      </c>
      <c r="L193" s="87">
        <v>50.2</v>
      </c>
      <c r="M193" s="65"/>
      <c r="N193" s="202" t="s">
        <v>231</v>
      </c>
      <c r="O193" s="1311">
        <v>1</v>
      </c>
      <c r="P193" s="464">
        <v>1</v>
      </c>
      <c r="Q193" s="32"/>
      <c r="R193" s="33"/>
    </row>
    <row r="194" spans="1:20" ht="12.75" customHeight="1" x14ac:dyDescent="0.2">
      <c r="A194" s="2132"/>
      <c r="B194" s="2167"/>
      <c r="C194" s="2459"/>
      <c r="D194" s="1651"/>
      <c r="E194" s="2168"/>
      <c r="F194" s="2170"/>
      <c r="G194" s="1652"/>
      <c r="H194" s="2455"/>
      <c r="I194" s="65" t="s">
        <v>62</v>
      </c>
      <c r="J194" s="103">
        <v>150</v>
      </c>
      <c r="K194" s="65">
        <v>277.3</v>
      </c>
      <c r="L194" s="87"/>
      <c r="M194" s="65"/>
      <c r="N194" s="1803"/>
      <c r="O194" s="1653"/>
      <c r="P194" s="561"/>
      <c r="Q194" s="560"/>
      <c r="R194" s="211"/>
    </row>
    <row r="195" spans="1:20" ht="14.25" customHeight="1" x14ac:dyDescent="0.2">
      <c r="A195" s="2132"/>
      <c r="B195" s="2167"/>
      <c r="C195" s="2459"/>
      <c r="D195" s="1651"/>
      <c r="E195" s="2168"/>
      <c r="F195" s="2170"/>
      <c r="G195" s="1652"/>
      <c r="H195" s="2455"/>
      <c r="I195" s="65" t="s">
        <v>105</v>
      </c>
      <c r="J195" s="103"/>
      <c r="K195" s="65"/>
      <c r="L195" s="87"/>
      <c r="M195" s="65"/>
      <c r="N195" s="1805"/>
      <c r="O195" s="1655"/>
      <c r="P195" s="1659"/>
      <c r="Q195" s="1662"/>
      <c r="R195" s="1658"/>
    </row>
    <row r="196" spans="1:20" ht="17.25" customHeight="1" x14ac:dyDescent="0.2">
      <c r="A196" s="2132"/>
      <c r="B196" s="2167"/>
      <c r="C196" s="2459"/>
      <c r="D196" s="1018"/>
      <c r="E196" s="2169"/>
      <c r="F196" s="2171"/>
      <c r="G196" s="1002"/>
      <c r="H196" s="2455"/>
      <c r="I196" s="64" t="s">
        <v>48</v>
      </c>
      <c r="J196" s="155"/>
      <c r="K196" s="1661"/>
      <c r="L196" s="90">
        <v>1500</v>
      </c>
      <c r="M196" s="1661">
        <v>1000</v>
      </c>
      <c r="N196" s="1804" t="s">
        <v>133</v>
      </c>
      <c r="O196" s="1654" t="s">
        <v>215</v>
      </c>
      <c r="P196" s="1672"/>
      <c r="Q196" s="20"/>
      <c r="R196" s="21"/>
    </row>
    <row r="197" spans="1:20" ht="15.75" customHeight="1" x14ac:dyDescent="0.2">
      <c r="A197" s="2132"/>
      <c r="B197" s="2167"/>
      <c r="C197" s="2459"/>
      <c r="D197" s="618" t="s">
        <v>7</v>
      </c>
      <c r="E197" s="2108" t="s">
        <v>227</v>
      </c>
      <c r="F197" s="2188" t="s">
        <v>328</v>
      </c>
      <c r="G197" s="1000"/>
      <c r="H197" s="2455"/>
      <c r="I197" s="65" t="s">
        <v>25</v>
      </c>
      <c r="J197" s="87">
        <v>15</v>
      </c>
      <c r="K197" s="65">
        <v>42.2</v>
      </c>
      <c r="L197" s="87">
        <v>5.4</v>
      </c>
      <c r="M197" s="65">
        <v>5</v>
      </c>
      <c r="N197" s="202" t="s">
        <v>185</v>
      </c>
      <c r="O197" s="1311">
        <v>1</v>
      </c>
      <c r="P197" s="171">
        <v>1</v>
      </c>
      <c r="Q197" s="1627"/>
      <c r="R197" s="1624"/>
    </row>
    <row r="198" spans="1:20" ht="24" customHeight="1" x14ac:dyDescent="0.2">
      <c r="A198" s="2132"/>
      <c r="B198" s="2167"/>
      <c r="C198" s="2459"/>
      <c r="D198" s="618"/>
      <c r="E198" s="2187"/>
      <c r="F198" s="2189"/>
      <c r="G198" s="1002"/>
      <c r="H198" s="2455"/>
      <c r="I198" s="65" t="s">
        <v>62</v>
      </c>
      <c r="J198" s="87"/>
      <c r="K198" s="65">
        <v>12.3</v>
      </c>
      <c r="L198" s="87"/>
      <c r="M198" s="65"/>
      <c r="N198" s="2427" t="s">
        <v>228</v>
      </c>
      <c r="O198" s="561"/>
      <c r="P198" s="561"/>
      <c r="Q198" s="561"/>
      <c r="R198" s="211">
        <v>1</v>
      </c>
    </row>
    <row r="199" spans="1:20" ht="19.5" customHeight="1" x14ac:dyDescent="0.2">
      <c r="A199" s="340"/>
      <c r="B199" s="623"/>
      <c r="C199" s="414"/>
      <c r="D199" s="618"/>
      <c r="E199" s="2187"/>
      <c r="F199" s="2429"/>
      <c r="G199" s="1002"/>
      <c r="H199" s="704"/>
      <c r="I199" s="65" t="s">
        <v>44</v>
      </c>
      <c r="J199" s="87">
        <v>135</v>
      </c>
      <c r="K199" s="65">
        <v>499.1</v>
      </c>
      <c r="L199" s="87">
        <v>48</v>
      </c>
      <c r="M199" s="65">
        <v>45</v>
      </c>
      <c r="N199" s="2428"/>
      <c r="O199" s="368"/>
      <c r="P199" s="368"/>
      <c r="Q199" s="368"/>
      <c r="R199" s="1031"/>
    </row>
    <row r="200" spans="1:20" ht="14.25" customHeight="1" x14ac:dyDescent="0.2">
      <c r="A200" s="2029"/>
      <c r="B200" s="2030"/>
      <c r="C200" s="2459"/>
      <c r="D200" s="2488" t="s">
        <v>28</v>
      </c>
      <c r="E200" s="2101" t="s">
        <v>180</v>
      </c>
      <c r="F200" s="2143" t="s">
        <v>134</v>
      </c>
      <c r="G200" s="2138"/>
      <c r="H200" s="2455"/>
      <c r="I200" s="201" t="s">
        <v>25</v>
      </c>
      <c r="J200" s="91">
        <v>18.100000000000001</v>
      </c>
      <c r="K200" s="1614">
        <v>14.7</v>
      </c>
      <c r="L200" s="91"/>
      <c r="M200" s="1048"/>
      <c r="N200" s="1285" t="s">
        <v>156</v>
      </c>
      <c r="O200" s="1296">
        <v>1</v>
      </c>
      <c r="P200" s="631"/>
      <c r="Q200" s="1011"/>
      <c r="R200" s="1006"/>
    </row>
    <row r="201" spans="1:20" ht="13.5" customHeight="1" x14ac:dyDescent="0.2">
      <c r="A201" s="2029"/>
      <c r="B201" s="2030"/>
      <c r="C201" s="2459"/>
      <c r="D201" s="2489"/>
      <c r="E201" s="2187"/>
      <c r="F201" s="2170"/>
      <c r="G201" s="2138"/>
      <c r="H201" s="2455"/>
      <c r="I201" s="65" t="s">
        <v>309</v>
      </c>
      <c r="J201" s="87"/>
      <c r="K201" s="65">
        <v>83.3</v>
      </c>
      <c r="L201" s="87"/>
      <c r="M201" s="541"/>
      <c r="N201" s="293" t="s">
        <v>229</v>
      </c>
      <c r="O201" s="412"/>
      <c r="P201" s="413">
        <v>6</v>
      </c>
      <c r="Q201" s="166"/>
      <c r="R201" s="1010"/>
    </row>
    <row r="202" spans="1:20" ht="14.25" customHeight="1" x14ac:dyDescent="0.2">
      <c r="A202" s="2029"/>
      <c r="B202" s="2030"/>
      <c r="C202" s="2459"/>
      <c r="D202" s="2490"/>
      <c r="E202" s="2190"/>
      <c r="F202" s="2171"/>
      <c r="G202" s="2138"/>
      <c r="H202" s="2455"/>
      <c r="I202" s="77" t="s">
        <v>44</v>
      </c>
      <c r="J202" s="151">
        <v>102.5</v>
      </c>
      <c r="K202" s="1615"/>
      <c r="L202" s="90"/>
      <c r="M202" s="1064"/>
      <c r="N202" s="19"/>
      <c r="O202" s="167"/>
      <c r="P202" s="55"/>
      <c r="Q202" s="49"/>
      <c r="R202" s="21"/>
    </row>
    <row r="203" spans="1:20" ht="37.5" customHeight="1" x14ac:dyDescent="0.2">
      <c r="A203" s="687"/>
      <c r="B203" s="688"/>
      <c r="C203" s="689"/>
      <c r="D203" s="617" t="s">
        <v>34</v>
      </c>
      <c r="E203" s="1336" t="s">
        <v>138</v>
      </c>
      <c r="F203" s="768" t="s">
        <v>189</v>
      </c>
      <c r="G203" s="532" t="s">
        <v>37</v>
      </c>
      <c r="H203" s="1343" t="s">
        <v>230</v>
      </c>
      <c r="I203" s="531" t="s">
        <v>77</v>
      </c>
      <c r="J203" s="334">
        <v>24.2</v>
      </c>
      <c r="K203" s="531">
        <v>24.2</v>
      </c>
      <c r="L203" s="698"/>
      <c r="M203" s="697"/>
      <c r="N203" s="74" t="s">
        <v>87</v>
      </c>
      <c r="O203" s="1642">
        <v>1</v>
      </c>
      <c r="P203" s="691">
        <v>1</v>
      </c>
      <c r="Q203" s="691"/>
      <c r="R203" s="692"/>
      <c r="T203" s="52"/>
    </row>
    <row r="204" spans="1:20" ht="15.75" customHeight="1" x14ac:dyDescent="0.2">
      <c r="A204" s="2029"/>
      <c r="B204" s="2030"/>
      <c r="C204" s="2459"/>
      <c r="D204" s="2488" t="s">
        <v>35</v>
      </c>
      <c r="E204" s="2101" t="s">
        <v>265</v>
      </c>
      <c r="F204" s="2143" t="s">
        <v>134</v>
      </c>
      <c r="G204" s="2454" t="s">
        <v>37</v>
      </c>
      <c r="H204" s="2455"/>
      <c r="I204" s="57" t="s">
        <v>70</v>
      </c>
      <c r="J204" s="91"/>
      <c r="K204" s="1507">
        <v>12</v>
      </c>
      <c r="L204" s="91">
        <v>6</v>
      </c>
      <c r="M204" s="1345">
        <v>6</v>
      </c>
      <c r="N204" s="2382" t="s">
        <v>314</v>
      </c>
      <c r="O204" s="1441">
        <v>6</v>
      </c>
      <c r="P204" s="1445">
        <v>11</v>
      </c>
      <c r="Q204" s="1440">
        <v>12</v>
      </c>
      <c r="R204" s="1443">
        <v>14</v>
      </c>
    </row>
    <row r="205" spans="1:20" ht="15" customHeight="1" x14ac:dyDescent="0.2">
      <c r="A205" s="2029"/>
      <c r="B205" s="2030"/>
      <c r="C205" s="2459"/>
      <c r="D205" s="2489"/>
      <c r="E205" s="2108"/>
      <c r="F205" s="2188"/>
      <c r="G205" s="2194"/>
      <c r="H205" s="2455"/>
      <c r="I205" s="65" t="s">
        <v>25</v>
      </c>
      <c r="J205" s="87">
        <v>6</v>
      </c>
      <c r="K205" s="67"/>
      <c r="L205" s="87"/>
      <c r="M205" s="65"/>
      <c r="N205" s="2383"/>
      <c r="O205" s="1444"/>
      <c r="P205" s="413"/>
      <c r="Q205" s="1444"/>
      <c r="R205" s="1442"/>
    </row>
    <row r="206" spans="1:20" ht="26.25" customHeight="1" x14ac:dyDescent="0.2">
      <c r="A206" s="2029"/>
      <c r="B206" s="2030"/>
      <c r="C206" s="2459"/>
      <c r="D206" s="2489"/>
      <c r="E206" s="2187"/>
      <c r="F206" s="2170"/>
      <c r="G206" s="2194"/>
      <c r="H206" s="2455"/>
      <c r="I206" s="65" t="s">
        <v>77</v>
      </c>
      <c r="J206" s="87">
        <v>4</v>
      </c>
      <c r="K206" s="541"/>
      <c r="L206" s="603"/>
      <c r="M206" s="541"/>
      <c r="N206" s="1510" t="s">
        <v>407</v>
      </c>
      <c r="O206" s="413"/>
      <c r="P206" s="413">
        <v>3</v>
      </c>
      <c r="Q206" s="1509"/>
      <c r="R206" s="1442"/>
    </row>
    <row r="207" spans="1:20" ht="6" customHeight="1" x14ac:dyDescent="0.2">
      <c r="A207" s="2029"/>
      <c r="B207" s="2030"/>
      <c r="C207" s="2459"/>
      <c r="D207" s="2490"/>
      <c r="E207" s="2190"/>
      <c r="F207" s="2171"/>
      <c r="G207" s="2448"/>
      <c r="H207" s="2492"/>
      <c r="I207" s="77"/>
      <c r="J207" s="58"/>
      <c r="K207" s="58"/>
      <c r="L207" s="151"/>
      <c r="M207" s="1064"/>
      <c r="N207" s="19"/>
      <c r="O207" s="167"/>
      <c r="P207" s="55"/>
      <c r="Q207" s="49"/>
      <c r="R207" s="21"/>
    </row>
    <row r="208" spans="1:20" ht="14.25" customHeight="1" thickBot="1" x14ac:dyDescent="0.25">
      <c r="A208" s="72"/>
      <c r="B208" s="626"/>
      <c r="C208" s="415"/>
      <c r="D208" s="415"/>
      <c r="E208" s="416"/>
      <c r="F208" s="417"/>
      <c r="G208" s="415"/>
      <c r="H208" s="418"/>
      <c r="I208" s="141" t="s">
        <v>6</v>
      </c>
      <c r="J208" s="212">
        <f>SUM(J192:J207)</f>
        <v>956.8</v>
      </c>
      <c r="K208" s="212">
        <f>SUM(K192:K207)</f>
        <v>1592.1</v>
      </c>
      <c r="L208" s="212">
        <f>SUM(L192:L207)</f>
        <v>1939.6</v>
      </c>
      <c r="M208" s="212">
        <f>SUM(M192:M207)</f>
        <v>1056</v>
      </c>
      <c r="N208" s="419"/>
      <c r="O208" s="420"/>
      <c r="P208" s="420"/>
      <c r="Q208" s="1038"/>
      <c r="R208" s="1067"/>
    </row>
    <row r="209" spans="1:18" ht="14.25" customHeight="1" thickBot="1" x14ac:dyDescent="0.25">
      <c r="A209" s="94" t="s">
        <v>5</v>
      </c>
      <c r="B209" s="83" t="s">
        <v>28</v>
      </c>
      <c r="C209" s="2155" t="s">
        <v>8</v>
      </c>
      <c r="D209" s="2155"/>
      <c r="E209" s="2155"/>
      <c r="F209" s="2155"/>
      <c r="G209" s="2155"/>
      <c r="H209" s="2155"/>
      <c r="I209" s="2156"/>
      <c r="J209" s="217">
        <f>J208+J189+J186</f>
        <v>2718.4</v>
      </c>
      <c r="K209" s="217">
        <f>K208+K189+K186</f>
        <v>3040.4</v>
      </c>
      <c r="L209" s="217">
        <f>L208+L189+L186</f>
        <v>3104.1</v>
      </c>
      <c r="M209" s="217">
        <f>M208+M189+M186</f>
        <v>2230.5</v>
      </c>
      <c r="N209" s="2157"/>
      <c r="O209" s="2157"/>
      <c r="P209" s="2157"/>
      <c r="Q209" s="2157"/>
      <c r="R209" s="2158"/>
    </row>
    <row r="210" spans="1:18" ht="14.25" customHeight="1" thickBot="1" x14ac:dyDescent="0.25">
      <c r="A210" s="82" t="s">
        <v>5</v>
      </c>
      <c r="B210" s="83" t="s">
        <v>33</v>
      </c>
      <c r="C210" s="2159" t="s">
        <v>192</v>
      </c>
      <c r="D210" s="2160"/>
      <c r="E210" s="2160"/>
      <c r="F210" s="2160"/>
      <c r="G210" s="2160"/>
      <c r="H210" s="2160"/>
      <c r="I210" s="2160"/>
      <c r="J210" s="2160"/>
      <c r="K210" s="2160"/>
      <c r="L210" s="2160"/>
      <c r="M210" s="2160"/>
      <c r="N210" s="2160"/>
      <c r="O210" s="2160"/>
      <c r="P210" s="2160"/>
      <c r="Q210" s="2160"/>
      <c r="R210" s="2161"/>
    </row>
    <row r="211" spans="1:18" ht="31.5" customHeight="1" x14ac:dyDescent="0.2">
      <c r="A211" s="254" t="s">
        <v>5</v>
      </c>
      <c r="B211" s="256" t="s">
        <v>33</v>
      </c>
      <c r="C211" s="395" t="s">
        <v>5</v>
      </c>
      <c r="D211" s="101"/>
      <c r="E211" s="120" t="s">
        <v>111</v>
      </c>
      <c r="F211" s="133"/>
      <c r="G211" s="101"/>
      <c r="H211" s="452"/>
      <c r="I211" s="95"/>
      <c r="J211" s="461"/>
      <c r="K211" s="81"/>
      <c r="L211" s="81"/>
      <c r="M211" s="81"/>
      <c r="N211" s="102"/>
      <c r="O211" s="6"/>
      <c r="P211" s="6"/>
      <c r="Q211" s="810"/>
      <c r="R211" s="1065"/>
    </row>
    <row r="212" spans="1:18" ht="15.75" customHeight="1" x14ac:dyDescent="0.2">
      <c r="A212" s="432"/>
      <c r="B212" s="433"/>
      <c r="C212" s="390"/>
      <c r="D212" s="557" t="s">
        <v>5</v>
      </c>
      <c r="E212" s="457" t="s">
        <v>108</v>
      </c>
      <c r="F212" s="439"/>
      <c r="G212" s="447">
        <v>6</v>
      </c>
      <c r="H212" s="2457" t="s">
        <v>107</v>
      </c>
      <c r="I212" s="697"/>
      <c r="J212" s="1414"/>
      <c r="K212" s="697"/>
      <c r="L212" s="697"/>
      <c r="M212" s="697"/>
      <c r="N212" s="696"/>
      <c r="O212" s="1413"/>
      <c r="P212" s="699"/>
      <c r="Q212" s="1382"/>
      <c r="R212" s="979"/>
    </row>
    <row r="213" spans="1:18" ht="14.25" customHeight="1" x14ac:dyDescent="0.2">
      <c r="A213" s="1384"/>
      <c r="B213" s="1385"/>
      <c r="C213" s="390"/>
      <c r="D213" s="2491" t="s">
        <v>200</v>
      </c>
      <c r="E213" s="1390" t="s">
        <v>386</v>
      </c>
      <c r="F213" s="1393"/>
      <c r="G213" s="1392"/>
      <c r="H213" s="2300"/>
      <c r="I213" s="65" t="s">
        <v>105</v>
      </c>
      <c r="J213" s="87"/>
      <c r="K213" s="65">
        <v>1000</v>
      </c>
      <c r="L213" s="65"/>
      <c r="M213" s="65"/>
      <c r="N213" s="1389" t="s">
        <v>68</v>
      </c>
      <c r="O213" s="232"/>
      <c r="P213" s="232">
        <v>5.9</v>
      </c>
      <c r="Q213" s="103"/>
      <c r="R213" s="41"/>
    </row>
    <row r="214" spans="1:18" ht="13.5" customHeight="1" x14ac:dyDescent="0.2">
      <c r="A214" s="1384"/>
      <c r="B214" s="1385"/>
      <c r="C214" s="390"/>
      <c r="D214" s="2443"/>
      <c r="E214" s="239" t="s">
        <v>206</v>
      </c>
      <c r="F214" s="1393"/>
      <c r="G214" s="1392"/>
      <c r="H214" s="2300"/>
      <c r="I214" s="65" t="s">
        <v>62</v>
      </c>
      <c r="J214" s="87"/>
      <c r="K214" s="65">
        <v>38.200000000000003</v>
      </c>
      <c r="L214" s="65"/>
      <c r="M214" s="65"/>
      <c r="N214" s="1389"/>
      <c r="O214" s="232"/>
      <c r="P214" s="232"/>
      <c r="Q214" s="103"/>
      <c r="R214" s="41"/>
    </row>
    <row r="215" spans="1:18" ht="14.25" customHeight="1" x14ac:dyDescent="0.2">
      <c r="A215" s="1384"/>
      <c r="B215" s="1385"/>
      <c r="C215" s="390"/>
      <c r="D215" s="2443"/>
      <c r="E215" s="239" t="s">
        <v>199</v>
      </c>
      <c r="F215" s="1393"/>
      <c r="G215" s="1392"/>
      <c r="H215" s="2300"/>
      <c r="I215" s="65"/>
      <c r="J215" s="87"/>
      <c r="K215" s="65"/>
      <c r="L215" s="65"/>
      <c r="M215" s="65"/>
      <c r="N215" s="1389"/>
      <c r="O215" s="232"/>
      <c r="P215" s="232"/>
      <c r="Q215" s="103"/>
      <c r="R215" s="41"/>
    </row>
    <row r="216" spans="1:18" ht="14.25" customHeight="1" x14ac:dyDescent="0.2">
      <c r="A216" s="1384"/>
      <c r="B216" s="1385"/>
      <c r="C216" s="390"/>
      <c r="D216" s="2443"/>
      <c r="E216" s="1390" t="s">
        <v>210</v>
      </c>
      <c r="F216" s="1393"/>
      <c r="G216" s="1392"/>
      <c r="H216" s="1396"/>
      <c r="I216" s="65"/>
      <c r="J216" s="87"/>
      <c r="K216" s="65"/>
      <c r="L216" s="65"/>
      <c r="M216" s="65"/>
      <c r="N216" s="1389"/>
      <c r="O216" s="232"/>
      <c r="P216" s="232"/>
      <c r="Q216" s="103"/>
      <c r="R216" s="41"/>
    </row>
    <row r="217" spans="1:18" ht="29.25" customHeight="1" x14ac:dyDescent="0.2">
      <c r="A217" s="1384"/>
      <c r="B217" s="1385"/>
      <c r="C217" s="390"/>
      <c r="D217" s="2443"/>
      <c r="E217" s="239" t="s">
        <v>387</v>
      </c>
      <c r="F217" s="1393"/>
      <c r="G217" s="1392"/>
      <c r="H217" s="1396"/>
      <c r="I217" s="65"/>
      <c r="J217" s="87"/>
      <c r="K217" s="65"/>
      <c r="L217" s="65"/>
      <c r="M217" s="65"/>
      <c r="N217" s="1389"/>
      <c r="O217" s="232"/>
      <c r="P217" s="232"/>
      <c r="Q217" s="103"/>
      <c r="R217" s="41"/>
    </row>
    <row r="218" spans="1:18" ht="26.25" customHeight="1" x14ac:dyDescent="0.2">
      <c r="A218" s="1384"/>
      <c r="B218" s="1385"/>
      <c r="C218" s="390"/>
      <c r="D218" s="2443"/>
      <c r="E218" s="458" t="s">
        <v>388</v>
      </c>
      <c r="F218" s="1393"/>
      <c r="G218" s="1392"/>
      <c r="H218" s="1396"/>
      <c r="I218" s="65"/>
      <c r="J218" s="87"/>
      <c r="K218" s="65"/>
      <c r="L218" s="65"/>
      <c r="M218" s="65"/>
      <c r="N218" s="1389"/>
      <c r="O218" s="232"/>
      <c r="P218" s="232"/>
      <c r="Q218" s="103"/>
      <c r="R218" s="41"/>
    </row>
    <row r="219" spans="1:18" ht="27" customHeight="1" x14ac:dyDescent="0.2">
      <c r="A219" s="1384"/>
      <c r="B219" s="1385"/>
      <c r="C219" s="390"/>
      <c r="D219" s="2443"/>
      <c r="E219" s="239" t="s">
        <v>389</v>
      </c>
      <c r="F219" s="1393"/>
      <c r="G219" s="1392"/>
      <c r="H219" s="1396"/>
      <c r="I219" s="65"/>
      <c r="J219" s="87"/>
      <c r="K219" s="65"/>
      <c r="L219" s="65"/>
      <c r="M219" s="65"/>
      <c r="N219" s="1389"/>
      <c r="O219" s="232"/>
      <c r="P219" s="232"/>
      <c r="Q219" s="103"/>
      <c r="R219" s="41"/>
    </row>
    <row r="220" spans="1:18" ht="27" customHeight="1" x14ac:dyDescent="0.2">
      <c r="A220" s="1384"/>
      <c r="B220" s="1385"/>
      <c r="C220" s="390"/>
      <c r="D220" s="1447"/>
      <c r="E220" s="1446" t="s">
        <v>390</v>
      </c>
      <c r="F220" s="1393"/>
      <c r="G220" s="1392"/>
      <c r="H220" s="1396"/>
      <c r="I220" s="65"/>
      <c r="J220" s="87"/>
      <c r="K220" s="65"/>
      <c r="L220" s="65"/>
      <c r="M220" s="65"/>
      <c r="N220" s="1389"/>
      <c r="O220" s="232"/>
      <c r="P220" s="232"/>
      <c r="Q220" s="103"/>
      <c r="R220" s="41"/>
    </row>
    <row r="221" spans="1:18" ht="15" customHeight="1" x14ac:dyDescent="0.2">
      <c r="A221" s="1384"/>
      <c r="B221" s="1385"/>
      <c r="C221" s="390"/>
      <c r="D221" s="2443" t="s">
        <v>201</v>
      </c>
      <c r="E221" s="1369" t="s">
        <v>207</v>
      </c>
      <c r="F221" s="1391"/>
      <c r="G221" s="1392"/>
      <c r="H221" s="1396"/>
      <c r="I221" s="1402" t="s">
        <v>25</v>
      </c>
      <c r="J221" s="91"/>
      <c r="K221" s="1402"/>
      <c r="L221" s="1660">
        <f>336-250</f>
        <v>86</v>
      </c>
      <c r="M221" s="1402"/>
      <c r="N221" s="1394" t="s">
        <v>68</v>
      </c>
      <c r="O221" s="51"/>
      <c r="P221" s="51"/>
      <c r="Q221" s="128">
        <v>7.9</v>
      </c>
      <c r="R221" s="462"/>
    </row>
    <row r="222" spans="1:18" ht="16.5" customHeight="1" x14ac:dyDescent="0.2">
      <c r="A222" s="1384"/>
      <c r="B222" s="1385"/>
      <c r="C222" s="390"/>
      <c r="D222" s="2443"/>
      <c r="E222" s="458" t="s">
        <v>196</v>
      </c>
      <c r="F222" s="1393"/>
      <c r="G222" s="1392"/>
      <c r="H222" s="1396"/>
      <c r="I222" s="65" t="s">
        <v>105</v>
      </c>
      <c r="J222" s="87"/>
      <c r="K222" s="65"/>
      <c r="L222" s="65">
        <v>900</v>
      </c>
      <c r="M222" s="65"/>
      <c r="N222" s="1389"/>
      <c r="O222" s="232"/>
      <c r="P222" s="232"/>
      <c r="Q222" s="103"/>
      <c r="R222" s="41"/>
    </row>
    <row r="223" spans="1:18" ht="15.75" customHeight="1" x14ac:dyDescent="0.2">
      <c r="A223" s="1384"/>
      <c r="B223" s="1385"/>
      <c r="C223" s="390"/>
      <c r="D223" s="2443"/>
      <c r="E223" s="239" t="s">
        <v>211</v>
      </c>
      <c r="F223" s="1393"/>
      <c r="G223" s="1392"/>
      <c r="H223" s="1396"/>
      <c r="I223" s="65"/>
      <c r="J223" s="87"/>
      <c r="K223" s="65"/>
      <c r="L223" s="65"/>
      <c r="M223" s="65"/>
      <c r="N223" s="1389"/>
      <c r="O223" s="232"/>
      <c r="P223" s="232"/>
      <c r="Q223" s="103"/>
      <c r="R223" s="41"/>
    </row>
    <row r="224" spans="1:18" ht="15.75" customHeight="1" x14ac:dyDescent="0.2">
      <c r="A224" s="1384"/>
      <c r="B224" s="1385"/>
      <c r="C224" s="390"/>
      <c r="D224" s="2443"/>
      <c r="E224" s="239" t="s">
        <v>391</v>
      </c>
      <c r="F224" s="1393"/>
      <c r="G224" s="1392"/>
      <c r="H224" s="1396"/>
      <c r="I224" s="65"/>
      <c r="J224" s="87"/>
      <c r="K224" s="65"/>
      <c r="L224" s="65"/>
      <c r="M224" s="65"/>
      <c r="N224" s="1389"/>
      <c r="O224" s="232"/>
      <c r="P224" s="232"/>
      <c r="Q224" s="103"/>
      <c r="R224" s="41"/>
    </row>
    <row r="225" spans="1:18" ht="14.25" customHeight="1" x14ac:dyDescent="0.2">
      <c r="A225" s="1384"/>
      <c r="B225" s="1385"/>
      <c r="C225" s="390"/>
      <c r="D225" s="2443"/>
      <c r="E225" s="1388" t="s">
        <v>392</v>
      </c>
      <c r="F225" s="1393"/>
      <c r="G225" s="1392"/>
      <c r="H225" s="1396"/>
      <c r="I225" s="1403"/>
      <c r="J225" s="87"/>
      <c r="K225" s="65"/>
      <c r="L225" s="1661"/>
      <c r="M225" s="65"/>
      <c r="N225" s="1389"/>
      <c r="O225" s="232"/>
      <c r="P225" s="232"/>
      <c r="Q225" s="42"/>
      <c r="R225" s="44"/>
    </row>
    <row r="226" spans="1:18" ht="19.5" customHeight="1" x14ac:dyDescent="0.2">
      <c r="A226" s="1384"/>
      <c r="B226" s="1385"/>
      <c r="C226" s="390"/>
      <c r="D226" s="2491" t="s">
        <v>384</v>
      </c>
      <c r="E226" s="2032" t="s">
        <v>385</v>
      </c>
      <c r="F226" s="1393"/>
      <c r="G226" s="1392"/>
      <c r="H226" s="1396"/>
      <c r="I226" s="65" t="s">
        <v>25</v>
      </c>
      <c r="J226" s="1402"/>
      <c r="K226" s="1402"/>
      <c r="L226" s="1660"/>
      <c r="M226" s="1660">
        <v>336</v>
      </c>
      <c r="N226" s="1394" t="s">
        <v>68</v>
      </c>
      <c r="O226" s="51"/>
      <c r="P226" s="51"/>
      <c r="Q226" s="125"/>
      <c r="R226" s="41">
        <v>7.5</v>
      </c>
    </row>
    <row r="227" spans="1:18" ht="18.75" customHeight="1" x14ac:dyDescent="0.2">
      <c r="A227" s="1384"/>
      <c r="B227" s="1385"/>
      <c r="C227" s="390"/>
      <c r="D227" s="2445"/>
      <c r="E227" s="2033"/>
      <c r="F227" s="1393"/>
      <c r="G227" s="1392"/>
      <c r="H227" s="1396"/>
      <c r="I227" s="1403" t="s">
        <v>105</v>
      </c>
      <c r="J227" s="87"/>
      <c r="K227" s="1403"/>
      <c r="L227" s="1661"/>
      <c r="M227" s="1661">
        <v>900</v>
      </c>
      <c r="N227" s="575"/>
      <c r="O227" s="43"/>
      <c r="P227" s="43"/>
      <c r="Q227" s="155"/>
      <c r="R227" s="44"/>
    </row>
    <row r="228" spans="1:18" ht="26.25" customHeight="1" x14ac:dyDescent="0.2">
      <c r="A228" s="1384"/>
      <c r="B228" s="1385"/>
      <c r="C228" s="390"/>
      <c r="D228" s="2443" t="s">
        <v>194</v>
      </c>
      <c r="E228" s="1410" t="s">
        <v>195</v>
      </c>
      <c r="F228" s="1393"/>
      <c r="G228" s="1386"/>
      <c r="H228" s="1399"/>
      <c r="I228" s="65" t="s">
        <v>25</v>
      </c>
      <c r="J228" s="1402">
        <f>1914.6-300-42.7-50-145+85.8</f>
        <v>1462.7</v>
      </c>
      <c r="K228" s="65"/>
      <c r="L228" s="65"/>
      <c r="M228" s="65"/>
      <c r="N228" s="1389" t="s">
        <v>68</v>
      </c>
      <c r="O228" s="34">
        <v>11</v>
      </c>
      <c r="P228" s="232"/>
      <c r="Q228" s="103"/>
      <c r="R228" s="41"/>
    </row>
    <row r="229" spans="1:18" ht="27.75" customHeight="1" x14ac:dyDescent="0.2">
      <c r="A229" s="1384"/>
      <c r="B229" s="1385"/>
      <c r="C229" s="390"/>
      <c r="D229" s="2443"/>
      <c r="E229" s="1411" t="s">
        <v>197</v>
      </c>
      <c r="F229" s="1393"/>
      <c r="G229" s="1386"/>
      <c r="H229" s="1399"/>
      <c r="I229" s="65"/>
      <c r="J229" s="87"/>
      <c r="K229" s="65"/>
      <c r="L229" s="65"/>
      <c r="M229" s="65"/>
      <c r="N229" s="1389"/>
      <c r="O229" s="232"/>
      <c r="P229" s="232"/>
      <c r="Q229" s="103"/>
      <c r="R229" s="41"/>
    </row>
    <row r="230" spans="1:18" ht="24.75" customHeight="1" x14ac:dyDescent="0.2">
      <c r="A230" s="1384"/>
      <c r="B230" s="1385"/>
      <c r="C230" s="390"/>
      <c r="D230" s="2443"/>
      <c r="E230" s="1411" t="s">
        <v>198</v>
      </c>
      <c r="F230" s="1393"/>
      <c r="G230" s="1386"/>
      <c r="H230" s="1399"/>
      <c r="I230" s="65"/>
      <c r="J230" s="87"/>
      <c r="K230" s="65"/>
      <c r="L230" s="65"/>
      <c r="M230" s="65"/>
      <c r="N230" s="1389"/>
      <c r="O230" s="232"/>
      <c r="P230" s="232"/>
      <c r="Q230" s="103"/>
      <c r="R230" s="41"/>
    </row>
    <row r="231" spans="1:18" ht="12.75" hidden="1" customHeight="1" x14ac:dyDescent="0.2">
      <c r="A231" s="1384"/>
      <c r="B231" s="1385"/>
      <c r="C231" s="390"/>
      <c r="D231" s="2443"/>
      <c r="E231" s="1408" t="s">
        <v>199</v>
      </c>
      <c r="F231" s="1393"/>
      <c r="G231" s="1386"/>
      <c r="H231" s="1399"/>
      <c r="I231" s="65"/>
      <c r="J231" s="87"/>
      <c r="K231" s="65"/>
      <c r="L231" s="65"/>
      <c r="M231" s="65"/>
      <c r="N231" s="1389"/>
      <c r="O231" s="232"/>
      <c r="P231" s="232"/>
      <c r="Q231" s="103"/>
      <c r="R231" s="41"/>
    </row>
    <row r="232" spans="1:18" ht="20.25" hidden="1" customHeight="1" x14ac:dyDescent="0.2">
      <c r="A232" s="1384"/>
      <c r="B232" s="1385"/>
      <c r="C232" s="390"/>
      <c r="D232" s="2443"/>
      <c r="E232" s="1408" t="s">
        <v>202</v>
      </c>
      <c r="F232" s="1393"/>
      <c r="G232" s="1386"/>
      <c r="H232" s="1399"/>
      <c r="I232" s="65"/>
      <c r="J232" s="87"/>
      <c r="K232" s="65"/>
      <c r="L232" s="65"/>
      <c r="M232" s="65"/>
      <c r="N232" s="1389"/>
      <c r="O232" s="232"/>
      <c r="P232" s="232"/>
      <c r="Q232" s="103"/>
      <c r="R232" s="41"/>
    </row>
    <row r="233" spans="1:18" ht="13.5" hidden="1" customHeight="1" x14ac:dyDescent="0.2">
      <c r="A233" s="1384"/>
      <c r="B233" s="1385"/>
      <c r="C233" s="390"/>
      <c r="D233" s="2443"/>
      <c r="E233" s="1408" t="s">
        <v>203</v>
      </c>
      <c r="F233" s="1393"/>
      <c r="G233" s="1386"/>
      <c r="H233" s="1399"/>
      <c r="I233" s="65"/>
      <c r="J233" s="87"/>
      <c r="K233" s="65"/>
      <c r="L233" s="65"/>
      <c r="M233" s="65"/>
      <c r="N233" s="1389"/>
      <c r="O233" s="232"/>
      <c r="P233" s="232"/>
      <c r="Q233" s="103"/>
      <c r="R233" s="41"/>
    </row>
    <row r="234" spans="1:18" ht="25.5" hidden="1" customHeight="1" x14ac:dyDescent="0.2">
      <c r="A234" s="1384"/>
      <c r="B234" s="1385"/>
      <c r="C234" s="390"/>
      <c r="D234" s="2443"/>
      <c r="E234" s="1409" t="s">
        <v>204</v>
      </c>
      <c r="F234" s="1393"/>
      <c r="G234" s="1386"/>
      <c r="H234" s="1399"/>
      <c r="I234" s="65"/>
      <c r="J234" s="87"/>
      <c r="K234" s="65"/>
      <c r="L234" s="65"/>
      <c r="M234" s="65"/>
      <c r="N234" s="1389"/>
      <c r="O234" s="232"/>
      <c r="P234" s="232"/>
      <c r="Q234" s="103"/>
      <c r="R234" s="41"/>
    </row>
    <row r="235" spans="1:18" ht="25.5" customHeight="1" x14ac:dyDescent="0.2">
      <c r="A235" s="1384"/>
      <c r="B235" s="1385"/>
      <c r="C235" s="390"/>
      <c r="D235" s="2445"/>
      <c r="E235" s="1412" t="s">
        <v>205</v>
      </c>
      <c r="F235" s="1400"/>
      <c r="G235" s="1526"/>
      <c r="H235" s="1527"/>
      <c r="I235" s="1403"/>
      <c r="J235" s="90"/>
      <c r="K235" s="1403"/>
      <c r="L235" s="1403"/>
      <c r="M235" s="1403"/>
      <c r="N235" s="575"/>
      <c r="O235" s="43"/>
      <c r="P235" s="43"/>
      <c r="Q235" s="155"/>
      <c r="R235" s="44"/>
    </row>
    <row r="236" spans="1:18" ht="29.25" customHeight="1" x14ac:dyDescent="0.2">
      <c r="A236" s="432"/>
      <c r="B236" s="433"/>
      <c r="C236" s="390"/>
      <c r="D236" s="228" t="s">
        <v>7</v>
      </c>
      <c r="E236" s="2045" t="s">
        <v>110</v>
      </c>
      <c r="F236" s="438"/>
      <c r="G236" s="534"/>
      <c r="H236" s="535"/>
      <c r="I236" s="57" t="s">
        <v>105</v>
      </c>
      <c r="J236" s="57">
        <v>1132</v>
      </c>
      <c r="K236" s="51">
        <v>110.3</v>
      </c>
      <c r="L236" s="1660">
        <v>110.3</v>
      </c>
      <c r="M236" s="1660">
        <v>110.3</v>
      </c>
      <c r="N236" s="446" t="s">
        <v>438</v>
      </c>
      <c r="O236" s="1548" t="s">
        <v>437</v>
      </c>
      <c r="P236" s="372" t="s">
        <v>437</v>
      </c>
      <c r="Q236" s="1568" t="s">
        <v>437</v>
      </c>
      <c r="R236" s="1549" t="s">
        <v>437</v>
      </c>
    </row>
    <row r="237" spans="1:18" ht="26.25" customHeight="1" x14ac:dyDescent="0.2">
      <c r="A237" s="432"/>
      <c r="B237" s="433"/>
      <c r="C237" s="390"/>
      <c r="D237" s="97"/>
      <c r="E237" s="2100"/>
      <c r="F237" s="439"/>
      <c r="G237" s="534"/>
      <c r="H237" s="535"/>
      <c r="I237" s="65" t="s">
        <v>25</v>
      </c>
      <c r="J237" s="65">
        <f>60-J238</f>
        <v>48.8</v>
      </c>
      <c r="K237" s="232">
        <f>1006.7-300</f>
        <v>706.7</v>
      </c>
      <c r="L237" s="65">
        <f>1006.7-300</f>
        <v>706.7</v>
      </c>
      <c r="M237" s="65">
        <f>1006.7-300</f>
        <v>706.7</v>
      </c>
      <c r="N237" s="89" t="s">
        <v>40</v>
      </c>
      <c r="O237" s="290" t="s">
        <v>439</v>
      </c>
      <c r="P237" s="198" t="s">
        <v>439</v>
      </c>
      <c r="Q237" s="813" t="s">
        <v>439</v>
      </c>
      <c r="R237" s="1066" t="s">
        <v>439</v>
      </c>
    </row>
    <row r="238" spans="1:18" ht="17.25" customHeight="1" x14ac:dyDescent="0.2">
      <c r="A238" s="432"/>
      <c r="B238" s="433"/>
      <c r="C238" s="390"/>
      <c r="D238" s="98"/>
      <c r="E238" s="2046"/>
      <c r="F238" s="149"/>
      <c r="G238" s="534"/>
      <c r="H238" s="536"/>
      <c r="I238" s="77" t="s">
        <v>62</v>
      </c>
      <c r="J238" s="1615">
        <v>11.2</v>
      </c>
      <c r="K238" s="1661"/>
      <c r="L238" s="1661"/>
      <c r="M238" s="1661"/>
      <c r="N238" s="575" t="s">
        <v>67</v>
      </c>
      <c r="O238" s="1531" t="s">
        <v>432</v>
      </c>
      <c r="P238" s="1799" t="s">
        <v>432</v>
      </c>
      <c r="Q238" s="1532" t="s">
        <v>432</v>
      </c>
      <c r="R238" s="1533" t="s">
        <v>432</v>
      </c>
    </row>
    <row r="239" spans="1:18" ht="15.75" customHeight="1" x14ac:dyDescent="0.2">
      <c r="A239" s="2029"/>
      <c r="B239" s="2030"/>
      <c r="C239" s="2475"/>
      <c r="D239" s="225" t="s">
        <v>28</v>
      </c>
      <c r="E239" s="2032" t="s">
        <v>53</v>
      </c>
      <c r="F239" s="439"/>
      <c r="G239" s="437"/>
      <c r="H239" s="443"/>
      <c r="I239" s="65" t="s">
        <v>25</v>
      </c>
      <c r="J239" s="65">
        <f>500-100</f>
        <v>400</v>
      </c>
      <c r="K239" s="65">
        <v>400</v>
      </c>
      <c r="L239" s="65">
        <v>400</v>
      </c>
      <c r="M239" s="65">
        <v>400</v>
      </c>
      <c r="N239" s="2382" t="s">
        <v>434</v>
      </c>
      <c r="O239" s="372" t="s">
        <v>433</v>
      </c>
      <c r="P239" s="372" t="s">
        <v>433</v>
      </c>
      <c r="Q239" s="1276" t="s">
        <v>433</v>
      </c>
      <c r="R239" s="472" t="s">
        <v>433</v>
      </c>
    </row>
    <row r="240" spans="1:18" ht="18" customHeight="1" x14ac:dyDescent="0.2">
      <c r="A240" s="2029"/>
      <c r="B240" s="2030"/>
      <c r="C240" s="2475"/>
      <c r="D240" s="98"/>
      <c r="E240" s="2033"/>
      <c r="F240" s="149"/>
      <c r="G240" s="437"/>
      <c r="H240" s="443"/>
      <c r="I240" s="1068"/>
      <c r="J240" s="1615"/>
      <c r="K240" s="1068"/>
      <c r="L240" s="1068"/>
      <c r="M240" s="1661"/>
      <c r="N240" s="2435"/>
      <c r="O240" s="43"/>
      <c r="P240" s="43"/>
      <c r="Q240" s="155"/>
      <c r="R240" s="44"/>
    </row>
    <row r="241" spans="1:22" ht="15.75" customHeight="1" x14ac:dyDescent="0.2">
      <c r="A241" s="2029"/>
      <c r="B241" s="2030"/>
      <c r="C241" s="2475"/>
      <c r="D241" s="2484" t="s">
        <v>33</v>
      </c>
      <c r="E241" s="2204" t="s">
        <v>399</v>
      </c>
      <c r="F241" s="2143"/>
      <c r="G241" s="2031"/>
      <c r="H241" s="316"/>
      <c r="I241" s="1402" t="s">
        <v>25</v>
      </c>
      <c r="J241" s="65">
        <f>1684-300-200-114</f>
        <v>1070</v>
      </c>
      <c r="K241" s="1660"/>
      <c r="L241" s="1660"/>
      <c r="M241" s="1660"/>
      <c r="N241" s="1845"/>
      <c r="O241" s="1548"/>
      <c r="P241" s="1548"/>
      <c r="Q241" s="595"/>
      <c r="R241" s="1549"/>
    </row>
    <row r="242" spans="1:22" ht="12" customHeight="1" x14ac:dyDescent="0.2">
      <c r="A242" s="2029"/>
      <c r="B242" s="2030"/>
      <c r="C242" s="2475"/>
      <c r="D242" s="2138"/>
      <c r="E242" s="2493"/>
      <c r="F242" s="2188"/>
      <c r="G242" s="2031"/>
      <c r="H242" s="316"/>
      <c r="I242" s="65" t="s">
        <v>70</v>
      </c>
      <c r="J242" s="65"/>
      <c r="K242" s="65">
        <f>268-48-30+5</f>
        <v>195</v>
      </c>
      <c r="L242" s="65">
        <f>447-30+34.1</f>
        <v>451.1</v>
      </c>
      <c r="M242" s="65">
        <f>417+98.4</f>
        <v>515.4</v>
      </c>
      <c r="N242" s="2430"/>
      <c r="O242" s="38"/>
      <c r="P242" s="38"/>
      <c r="Q242" s="554"/>
      <c r="R242" s="362"/>
    </row>
    <row r="243" spans="1:22" ht="15" customHeight="1" x14ac:dyDescent="0.2">
      <c r="A243" s="2029"/>
      <c r="B243" s="2030"/>
      <c r="C243" s="2475"/>
      <c r="D243" s="2138"/>
      <c r="E243" s="2048"/>
      <c r="F243" s="2188"/>
      <c r="G243" s="2031"/>
      <c r="H243" s="316"/>
      <c r="I243" s="65" t="s">
        <v>77</v>
      </c>
      <c r="J243" s="65">
        <v>300</v>
      </c>
      <c r="K243" s="65">
        <f>270+17.9</f>
        <v>287.89999999999998</v>
      </c>
      <c r="L243" s="65"/>
      <c r="M243" s="65"/>
      <c r="N243" s="2409"/>
      <c r="O243" s="38"/>
      <c r="P243" s="38"/>
      <c r="Q243" s="554"/>
      <c r="R243" s="362"/>
    </row>
    <row r="244" spans="1:22" ht="15" customHeight="1" x14ac:dyDescent="0.2">
      <c r="A244" s="2029"/>
      <c r="B244" s="2030"/>
      <c r="C244" s="2475"/>
      <c r="D244" s="2138"/>
      <c r="E244" s="2048"/>
      <c r="F244" s="2188"/>
      <c r="G244" s="2031"/>
      <c r="H244" s="316"/>
      <c r="I244" s="65" t="s">
        <v>105</v>
      </c>
      <c r="J244" s="65">
        <v>120</v>
      </c>
      <c r="K244" s="65">
        <v>120</v>
      </c>
      <c r="L244" s="65">
        <v>120</v>
      </c>
      <c r="M244" s="65">
        <v>120</v>
      </c>
      <c r="N244" s="1821"/>
      <c r="O244" s="1134"/>
      <c r="P244" s="1134"/>
      <c r="Q244" s="1550"/>
      <c r="R244" s="1551"/>
    </row>
    <row r="245" spans="1:22" ht="17.25" customHeight="1" x14ac:dyDescent="0.2">
      <c r="A245" s="2029"/>
      <c r="B245" s="2030"/>
      <c r="C245" s="2475"/>
      <c r="D245" s="2138"/>
      <c r="E245" s="1552"/>
      <c r="F245" s="2188"/>
      <c r="G245" s="2031"/>
      <c r="H245" s="316"/>
      <c r="I245" s="65"/>
      <c r="J245" s="65"/>
      <c r="K245" s="541"/>
      <c r="L245" s="65"/>
      <c r="M245" s="65"/>
      <c r="N245" s="1872" t="s">
        <v>440</v>
      </c>
      <c r="O245" s="1278" t="s">
        <v>431</v>
      </c>
      <c r="P245" s="1278" t="s">
        <v>444</v>
      </c>
      <c r="Q245" s="822" t="s">
        <v>444</v>
      </c>
      <c r="R245" s="583" t="s">
        <v>444</v>
      </c>
      <c r="V245" s="1" t="s">
        <v>472</v>
      </c>
    </row>
    <row r="246" spans="1:22" ht="18" customHeight="1" x14ac:dyDescent="0.2">
      <c r="A246" s="2029"/>
      <c r="B246" s="2030"/>
      <c r="C246" s="2475"/>
      <c r="D246" s="2138"/>
      <c r="E246" s="593"/>
      <c r="F246" s="2188"/>
      <c r="G246" s="2031"/>
      <c r="H246" s="316"/>
      <c r="I246" s="65"/>
      <c r="J246" s="65"/>
      <c r="K246" s="65"/>
      <c r="L246" s="65"/>
      <c r="M246" s="65"/>
      <c r="N246" s="1821" t="s">
        <v>435</v>
      </c>
      <c r="O246" s="38"/>
      <c r="P246" s="38" t="s">
        <v>463</v>
      </c>
      <c r="Q246" s="38" t="s">
        <v>463</v>
      </c>
      <c r="R246" s="362" t="s">
        <v>463</v>
      </c>
    </row>
    <row r="247" spans="1:22" ht="21.75" customHeight="1" x14ac:dyDescent="0.2">
      <c r="A247" s="2029"/>
      <c r="B247" s="2030"/>
      <c r="C247" s="2475"/>
      <c r="D247" s="2138"/>
      <c r="E247" s="1552"/>
      <c r="F247" s="2188"/>
      <c r="G247" s="2031"/>
      <c r="H247" s="316"/>
      <c r="I247" s="65"/>
      <c r="J247" s="65"/>
      <c r="K247" s="65"/>
      <c r="L247" s="65"/>
      <c r="M247" s="65"/>
      <c r="N247" s="2337" t="s">
        <v>441</v>
      </c>
      <c r="O247" s="399"/>
      <c r="P247" s="399" t="s">
        <v>429</v>
      </c>
      <c r="Q247" s="1530"/>
      <c r="R247" s="474"/>
    </row>
    <row r="248" spans="1:22" ht="11.25" customHeight="1" x14ac:dyDescent="0.2">
      <c r="A248" s="2029"/>
      <c r="B248" s="2030"/>
      <c r="C248" s="2475"/>
      <c r="D248" s="2138"/>
      <c r="E248" s="1552"/>
      <c r="F248" s="2188"/>
      <c r="G248" s="2031"/>
      <c r="H248" s="316"/>
      <c r="I248" s="65"/>
      <c r="J248" s="65"/>
      <c r="K248" s="65"/>
      <c r="L248" s="65"/>
      <c r="M248" s="65"/>
      <c r="N248" s="2432"/>
      <c r="O248" s="1278"/>
      <c r="P248" s="1278"/>
      <c r="Q248" s="1279"/>
      <c r="R248" s="583"/>
    </row>
    <row r="249" spans="1:22" ht="43.5" customHeight="1" x14ac:dyDescent="0.2">
      <c r="A249" s="2029"/>
      <c r="B249" s="2030"/>
      <c r="C249" s="2475"/>
      <c r="D249" s="2138"/>
      <c r="E249" s="593"/>
      <c r="F249" s="2188"/>
      <c r="G249" s="2031"/>
      <c r="H249" s="316"/>
      <c r="I249" s="70"/>
      <c r="J249" s="70"/>
      <c r="K249" s="70"/>
      <c r="L249" s="70"/>
      <c r="M249" s="70"/>
      <c r="N249" s="1872" t="s">
        <v>442</v>
      </c>
      <c r="O249" s="1278"/>
      <c r="P249" s="1278" t="s">
        <v>430</v>
      </c>
      <c r="Q249" s="1279"/>
      <c r="R249" s="583"/>
    </row>
    <row r="250" spans="1:22" ht="21.75" customHeight="1" x14ac:dyDescent="0.2">
      <c r="A250" s="2029"/>
      <c r="B250" s="2030"/>
      <c r="C250" s="2475"/>
      <c r="D250" s="2138"/>
      <c r="E250" s="440"/>
      <c r="F250" s="2188"/>
      <c r="G250" s="2031"/>
      <c r="H250" s="316"/>
      <c r="I250" s="65" t="s">
        <v>25</v>
      </c>
      <c r="J250" s="65">
        <v>227.9</v>
      </c>
      <c r="K250" s="65"/>
      <c r="L250" s="65"/>
      <c r="M250" s="65"/>
      <c r="N250" s="2430" t="s">
        <v>179</v>
      </c>
      <c r="O250" s="2205">
        <v>100</v>
      </c>
      <c r="P250" s="2207"/>
      <c r="Q250" s="2257"/>
      <c r="R250" s="2208"/>
    </row>
    <row r="251" spans="1:22" ht="19.5" customHeight="1" x14ac:dyDescent="0.2">
      <c r="A251" s="2029"/>
      <c r="B251" s="2030"/>
      <c r="C251" s="2475"/>
      <c r="D251" s="2485"/>
      <c r="E251" s="150"/>
      <c r="F251" s="2486"/>
      <c r="G251" s="2031"/>
      <c r="H251" s="316"/>
      <c r="I251" s="64" t="s">
        <v>62</v>
      </c>
      <c r="J251" s="1661">
        <v>67</v>
      </c>
      <c r="K251" s="1661"/>
      <c r="L251" s="1661"/>
      <c r="M251" s="1661"/>
      <c r="N251" s="2506"/>
      <c r="O251" s="2206"/>
      <c r="P251" s="2206"/>
      <c r="Q251" s="2258"/>
      <c r="R251" s="2494"/>
    </row>
    <row r="252" spans="1:22" ht="22.5" customHeight="1" x14ac:dyDescent="0.2">
      <c r="A252" s="432"/>
      <c r="B252" s="433"/>
      <c r="C252" s="435"/>
      <c r="D252" s="441" t="s">
        <v>34</v>
      </c>
      <c r="E252" s="2129" t="s">
        <v>109</v>
      </c>
      <c r="F252" s="439"/>
      <c r="G252" s="437"/>
      <c r="H252" s="434"/>
      <c r="I252" s="65" t="s">
        <v>25</v>
      </c>
      <c r="J252" s="65">
        <f>1000-300+383</f>
        <v>1083</v>
      </c>
      <c r="K252" s="65">
        <f>631-100</f>
        <v>531</v>
      </c>
      <c r="L252" s="65">
        <v>543.70000000000005</v>
      </c>
      <c r="M252" s="65">
        <v>300</v>
      </c>
      <c r="N252" s="2430" t="s">
        <v>170</v>
      </c>
      <c r="O252" s="339">
        <v>20</v>
      </c>
      <c r="P252" s="1529">
        <v>14</v>
      </c>
      <c r="Q252" s="463">
        <v>12</v>
      </c>
      <c r="R252" s="1528">
        <v>6</v>
      </c>
    </row>
    <row r="253" spans="1:22" ht="16.5" customHeight="1" x14ac:dyDescent="0.2">
      <c r="A253" s="251"/>
      <c r="B253" s="253"/>
      <c r="C253" s="383"/>
      <c r="D253" s="311"/>
      <c r="E253" s="2210"/>
      <c r="F253" s="149"/>
      <c r="G253" s="1005"/>
      <c r="H253" s="1014"/>
      <c r="I253" s="64" t="s">
        <v>62</v>
      </c>
      <c r="J253" s="1661"/>
      <c r="K253" s="1661">
        <v>61.7</v>
      </c>
      <c r="L253" s="1661"/>
      <c r="M253" s="1661"/>
      <c r="N253" s="2431"/>
      <c r="O253" s="20"/>
      <c r="P253" s="20"/>
      <c r="Q253" s="322"/>
      <c r="R253" s="21"/>
    </row>
    <row r="254" spans="1:22" ht="15.75" customHeight="1" x14ac:dyDescent="0.2">
      <c r="A254" s="258"/>
      <c r="B254" s="253"/>
      <c r="C254" s="394"/>
      <c r="D254" s="1257" t="s">
        <v>35</v>
      </c>
      <c r="E254" s="2032" t="s">
        <v>39</v>
      </c>
      <c r="F254" s="1247"/>
      <c r="G254" s="296"/>
      <c r="H254" s="314"/>
      <c r="I254" s="61" t="s">
        <v>105</v>
      </c>
      <c r="J254" s="65">
        <v>20</v>
      </c>
      <c r="K254" s="65">
        <v>70</v>
      </c>
      <c r="L254" s="65">
        <v>70</v>
      </c>
      <c r="M254" s="65">
        <v>70</v>
      </c>
      <c r="N254" s="1596" t="s">
        <v>398</v>
      </c>
      <c r="O254" s="1383">
        <v>14</v>
      </c>
      <c r="P254" s="252">
        <v>14</v>
      </c>
      <c r="Q254" s="1012">
        <v>14</v>
      </c>
      <c r="R254" s="1030">
        <v>14</v>
      </c>
    </row>
    <row r="255" spans="1:22" ht="13.5" customHeight="1" x14ac:dyDescent="0.2">
      <c r="A255" s="445"/>
      <c r="B255" s="433"/>
      <c r="C255" s="436"/>
      <c r="D255" s="225"/>
      <c r="E255" s="2141"/>
      <c r="F255" s="1248"/>
      <c r="G255" s="437"/>
      <c r="H255" s="545"/>
      <c r="I255" s="65" t="s">
        <v>25</v>
      </c>
      <c r="J255" s="65">
        <f>14+42.7+50-24</f>
        <v>82.7</v>
      </c>
      <c r="K255" s="65">
        <f>50+43</f>
        <v>93</v>
      </c>
      <c r="L255" s="65">
        <v>80</v>
      </c>
      <c r="M255" s="87">
        <v>80</v>
      </c>
      <c r="N255" s="1589"/>
      <c r="O255" s="1398"/>
      <c r="P255" s="1398"/>
      <c r="Q255" s="321"/>
      <c r="R255" s="1010"/>
    </row>
    <row r="256" spans="1:22" ht="16.5" customHeight="1" x14ac:dyDescent="0.2">
      <c r="A256" s="258"/>
      <c r="B256" s="253"/>
      <c r="C256" s="394"/>
      <c r="D256" s="98"/>
      <c r="E256" s="2033"/>
      <c r="F256" s="1251"/>
      <c r="G256" s="296"/>
      <c r="H256" s="308"/>
      <c r="I256" s="64" t="s">
        <v>62</v>
      </c>
      <c r="J256" s="1661">
        <v>6</v>
      </c>
      <c r="K256" s="1661">
        <f>30+5</f>
        <v>35</v>
      </c>
      <c r="L256" s="1661"/>
      <c r="M256" s="90"/>
      <c r="N256" s="1821"/>
      <c r="O256" s="1873"/>
      <c r="P256" s="20"/>
      <c r="Q256" s="322"/>
      <c r="R256" s="21"/>
    </row>
    <row r="257" spans="1:20" ht="15" customHeight="1" x14ac:dyDescent="0.2">
      <c r="A257" s="1387"/>
      <c r="B257" s="1385"/>
      <c r="C257" s="436"/>
      <c r="D257" s="2484" t="s">
        <v>36</v>
      </c>
      <c r="E257" s="2202" t="s">
        <v>353</v>
      </c>
      <c r="F257" s="1393"/>
      <c r="G257" s="1386"/>
      <c r="H257" s="1397"/>
      <c r="I257" s="1656" t="s">
        <v>25</v>
      </c>
      <c r="J257" s="1660"/>
      <c r="K257" s="1660"/>
      <c r="L257" s="1660"/>
      <c r="M257" s="1660"/>
      <c r="N257" s="1346" t="s">
        <v>97</v>
      </c>
      <c r="O257" s="27"/>
      <c r="P257" s="926">
        <v>1</v>
      </c>
      <c r="Q257" s="321"/>
      <c r="R257" s="1853"/>
    </row>
    <row r="258" spans="1:20" ht="27.75" customHeight="1" x14ac:dyDescent="0.2">
      <c r="A258" s="1387"/>
      <c r="B258" s="1385"/>
      <c r="C258" s="1395"/>
      <c r="D258" s="2485"/>
      <c r="E258" s="2495"/>
      <c r="F258" s="1393"/>
      <c r="G258" s="1386"/>
      <c r="H258" s="1417"/>
      <c r="I258" s="1657" t="s">
        <v>105</v>
      </c>
      <c r="J258" s="1661"/>
      <c r="K258" s="1661">
        <v>15</v>
      </c>
      <c r="L258" s="1661">
        <v>63</v>
      </c>
      <c r="M258" s="1661"/>
      <c r="N258" s="520" t="s">
        <v>372</v>
      </c>
      <c r="O258" s="1352"/>
      <c r="P258" s="1353"/>
      <c r="Q258" s="1354">
        <v>100</v>
      </c>
      <c r="R258" s="1356"/>
    </row>
    <row r="259" spans="1:20" ht="17.25" customHeight="1" x14ac:dyDescent="0.2">
      <c r="A259" s="1422"/>
      <c r="B259" s="1420"/>
      <c r="C259" s="1428"/>
      <c r="D259" s="1425" t="s">
        <v>225</v>
      </c>
      <c r="E259" s="1423" t="s">
        <v>397</v>
      </c>
      <c r="F259" s="143"/>
      <c r="G259" s="1421"/>
      <c r="H259" s="1427"/>
      <c r="I259" s="1434" t="s">
        <v>105</v>
      </c>
      <c r="J259" s="1170"/>
      <c r="K259" s="79"/>
      <c r="L259" s="1435">
        <v>5</v>
      </c>
      <c r="M259" s="1660">
        <v>10</v>
      </c>
      <c r="N259" s="1436" t="s">
        <v>46</v>
      </c>
      <c r="O259" s="1437"/>
      <c r="P259" s="560"/>
      <c r="Q259" s="560">
        <v>1</v>
      </c>
      <c r="R259" s="211">
        <v>2</v>
      </c>
    </row>
    <row r="260" spans="1:20" ht="26.25" customHeight="1" x14ac:dyDescent="0.2">
      <c r="A260" s="1415"/>
      <c r="B260" s="1416"/>
      <c r="C260" s="1418"/>
      <c r="D260" s="391"/>
      <c r="E260" s="1439" t="s">
        <v>395</v>
      </c>
      <c r="F260" s="2446"/>
      <c r="G260" s="2194"/>
      <c r="H260" s="1432"/>
      <c r="I260" s="1430"/>
      <c r="J260" s="350"/>
      <c r="K260" s="67"/>
      <c r="L260" s="103"/>
      <c r="M260" s="65"/>
      <c r="N260" s="518" t="s">
        <v>393</v>
      </c>
      <c r="O260" s="1191"/>
      <c r="P260" s="1191"/>
      <c r="Q260" s="1191"/>
      <c r="R260" s="342"/>
    </row>
    <row r="261" spans="1:20" ht="17.25" customHeight="1" x14ac:dyDescent="0.2">
      <c r="A261" s="1424"/>
      <c r="B261" s="1426"/>
      <c r="C261" s="1429"/>
      <c r="D261" s="391"/>
      <c r="E261" s="1439" t="s">
        <v>394</v>
      </c>
      <c r="F261" s="2446"/>
      <c r="G261" s="2194"/>
      <c r="H261" s="1432"/>
      <c r="I261" s="1430"/>
      <c r="J261" s="2001"/>
      <c r="K261" s="67"/>
      <c r="L261" s="103"/>
      <c r="M261" s="65"/>
      <c r="N261" s="518"/>
      <c r="O261" s="1191"/>
      <c r="P261" s="1191"/>
      <c r="Q261" s="1191"/>
      <c r="R261" s="342"/>
    </row>
    <row r="262" spans="1:20" ht="15.75" customHeight="1" x14ac:dyDescent="0.2">
      <c r="A262" s="1424"/>
      <c r="B262" s="1426"/>
      <c r="C262" s="1429"/>
      <c r="D262" s="391"/>
      <c r="E262" s="1419" t="s">
        <v>396</v>
      </c>
      <c r="F262" s="2447"/>
      <c r="G262" s="2448"/>
      <c r="H262" s="1433"/>
      <c r="I262" s="1431"/>
      <c r="J262" s="132"/>
      <c r="K262" s="1657"/>
      <c r="L262" s="155"/>
      <c r="M262" s="1661"/>
      <c r="N262" s="520"/>
      <c r="O262" s="1851"/>
      <c r="P262" s="1191"/>
      <c r="Q262" s="413"/>
      <c r="R262" s="342"/>
    </row>
    <row r="263" spans="1:20" ht="13.5" customHeight="1" x14ac:dyDescent="0.2">
      <c r="A263" s="1795"/>
      <c r="B263" s="1793"/>
      <c r="C263" s="389"/>
      <c r="D263" s="2484" t="s">
        <v>462</v>
      </c>
      <c r="E263" s="2032" t="s">
        <v>447</v>
      </c>
      <c r="F263" s="1557" t="s">
        <v>47</v>
      </c>
      <c r="G263" s="1792"/>
      <c r="H263" s="1797"/>
      <c r="I263" s="1663" t="s">
        <v>105</v>
      </c>
      <c r="J263" s="1660"/>
      <c r="K263" s="1660">
        <v>20</v>
      </c>
      <c r="L263" s="1660">
        <v>100</v>
      </c>
      <c r="M263" s="1660">
        <v>200</v>
      </c>
      <c r="N263" s="1346" t="s">
        <v>97</v>
      </c>
      <c r="O263" s="1347"/>
      <c r="P263" s="1348">
        <v>1</v>
      </c>
      <c r="Q263" s="1349"/>
      <c r="R263" s="1350"/>
    </row>
    <row r="264" spans="1:20" ht="25.5" customHeight="1" x14ac:dyDescent="0.2">
      <c r="A264" s="1795"/>
      <c r="B264" s="1793"/>
      <c r="C264" s="389"/>
      <c r="D264" s="2485"/>
      <c r="E264" s="2033"/>
      <c r="F264" s="558"/>
      <c r="G264" s="1798"/>
      <c r="H264" s="1401"/>
      <c r="I264" s="1664"/>
      <c r="J264" s="1661"/>
      <c r="K264" s="1661"/>
      <c r="L264" s="1661"/>
      <c r="M264" s="1661"/>
      <c r="N264" s="520" t="s">
        <v>425</v>
      </c>
      <c r="O264" s="1352"/>
      <c r="P264" s="1353"/>
      <c r="Q264" s="1558">
        <v>20</v>
      </c>
      <c r="R264" s="1355">
        <v>100</v>
      </c>
      <c r="T264" s="52"/>
    </row>
    <row r="265" spans="1:20" ht="14.25" customHeight="1" thickBot="1" x14ac:dyDescent="0.25">
      <c r="A265" s="72"/>
      <c r="B265" s="257"/>
      <c r="C265" s="189"/>
      <c r="D265" s="283"/>
      <c r="E265" s="396"/>
      <c r="F265" s="397"/>
      <c r="G265" s="189"/>
      <c r="H265" s="367"/>
      <c r="I265" s="141" t="s">
        <v>6</v>
      </c>
      <c r="J265" s="212">
        <f>SUM(J212:J264)</f>
        <v>6031.3</v>
      </c>
      <c r="K265" s="212">
        <f>SUM(K212:K264)</f>
        <v>3683.8</v>
      </c>
      <c r="L265" s="212">
        <f t="shared" ref="L265:M265" si="3">SUM(L212:L264)</f>
        <v>3635.8</v>
      </c>
      <c r="M265" s="212">
        <f t="shared" si="3"/>
        <v>3748.4</v>
      </c>
      <c r="N265" s="398"/>
      <c r="O265" s="1438"/>
      <c r="P265" s="387"/>
      <c r="Q265" s="387"/>
      <c r="R265" s="388"/>
    </row>
    <row r="266" spans="1:20" ht="26.25" customHeight="1" x14ac:dyDescent="0.2">
      <c r="A266" s="258" t="s">
        <v>5</v>
      </c>
      <c r="B266" s="253" t="s">
        <v>33</v>
      </c>
      <c r="C266" s="226" t="s">
        <v>7</v>
      </c>
      <c r="D266" s="2031"/>
      <c r="E266" s="2140" t="s">
        <v>152</v>
      </c>
      <c r="F266" s="2123" t="s">
        <v>47</v>
      </c>
      <c r="G266" s="2215" t="s">
        <v>43</v>
      </c>
      <c r="H266" s="2503" t="s">
        <v>124</v>
      </c>
      <c r="I266" s="65" t="s">
        <v>25</v>
      </c>
      <c r="J266" s="87">
        <f>100-30-34-10.2</f>
        <v>25.8</v>
      </c>
      <c r="K266" s="65"/>
      <c r="L266" s="65">
        <v>111</v>
      </c>
      <c r="M266" s="65">
        <v>199.3</v>
      </c>
      <c r="N266" s="548" t="s">
        <v>162</v>
      </c>
      <c r="O266" s="206"/>
      <c r="P266" s="206"/>
      <c r="Q266" s="504">
        <v>1</v>
      </c>
      <c r="R266" s="505"/>
    </row>
    <row r="267" spans="1:20" ht="26.25" customHeight="1" x14ac:dyDescent="0.2">
      <c r="A267" s="547"/>
      <c r="B267" s="546"/>
      <c r="C267" s="226"/>
      <c r="D267" s="2031"/>
      <c r="E267" s="2141"/>
      <c r="F267" s="2123"/>
      <c r="G267" s="2215"/>
      <c r="H267" s="2504"/>
      <c r="I267" s="65" t="s">
        <v>62</v>
      </c>
      <c r="J267" s="87">
        <v>64</v>
      </c>
      <c r="K267" s="65">
        <v>83.9</v>
      </c>
      <c r="L267" s="65"/>
      <c r="M267" s="65"/>
      <c r="N267" s="89" t="s">
        <v>264</v>
      </c>
      <c r="O267" s="25">
        <v>50</v>
      </c>
      <c r="P267" s="25">
        <v>100</v>
      </c>
      <c r="Q267" s="330"/>
      <c r="R267" s="26"/>
    </row>
    <row r="268" spans="1:20" ht="26.25" customHeight="1" x14ac:dyDescent="0.2">
      <c r="A268" s="1586"/>
      <c r="B268" s="1584"/>
      <c r="C268" s="226"/>
      <c r="D268" s="1585"/>
      <c r="E268" s="2141"/>
      <c r="F268" s="2123"/>
      <c r="G268" s="2436"/>
      <c r="H268" s="2504"/>
      <c r="I268" s="1615"/>
      <c r="J268" s="90"/>
      <c r="K268" s="1615"/>
      <c r="L268" s="1615"/>
      <c r="M268" s="1615"/>
      <c r="N268" s="1604" t="s">
        <v>157</v>
      </c>
      <c r="O268" s="399"/>
      <c r="P268" s="399"/>
      <c r="Q268" s="1643">
        <v>30</v>
      </c>
      <c r="R268" s="211">
        <v>100</v>
      </c>
    </row>
    <row r="269" spans="1:20" ht="17.25" customHeight="1" thickBot="1" x14ac:dyDescent="0.25">
      <c r="A269" s="72"/>
      <c r="B269" s="257"/>
      <c r="C269" s="99"/>
      <c r="D269" s="104"/>
      <c r="E269" s="2213"/>
      <c r="F269" s="2214"/>
      <c r="G269" s="2217"/>
      <c r="H269" s="2505"/>
      <c r="I269" s="141" t="s">
        <v>6</v>
      </c>
      <c r="J269" s="212">
        <f>SUM(J266:J267)</f>
        <v>89.8</v>
      </c>
      <c r="K269" s="141">
        <f>SUM(K266:K267)</f>
        <v>83.9</v>
      </c>
      <c r="L269" s="141">
        <f>SUM(L266:L267)</f>
        <v>111</v>
      </c>
      <c r="M269" s="141">
        <f>SUM(M266:M267)</f>
        <v>199.3</v>
      </c>
      <c r="N269" s="1275"/>
      <c r="O269" s="205"/>
      <c r="P269" s="205"/>
      <c r="Q269" s="815"/>
      <c r="R269" s="892"/>
    </row>
    <row r="270" spans="1:20" ht="14.25" customHeight="1" thickBot="1" x14ac:dyDescent="0.25">
      <c r="A270" s="72" t="s">
        <v>5</v>
      </c>
      <c r="B270" s="257" t="s">
        <v>33</v>
      </c>
      <c r="C270" s="2235" t="s">
        <v>8</v>
      </c>
      <c r="D270" s="2235"/>
      <c r="E270" s="2235"/>
      <c r="F270" s="2235"/>
      <c r="G270" s="2235"/>
      <c r="H270" s="2235"/>
      <c r="I270" s="2437"/>
      <c r="J270" s="878">
        <f>J269+J265</f>
        <v>6121.1</v>
      </c>
      <c r="K270" s="705">
        <f>K269+K265</f>
        <v>3767.7</v>
      </c>
      <c r="L270" s="705">
        <f>L269+L265</f>
        <v>3746.8</v>
      </c>
      <c r="M270" s="705">
        <f>M269+M265</f>
        <v>3947.7</v>
      </c>
      <c r="N270" s="2433"/>
      <c r="O270" s="2433"/>
      <c r="P270" s="2433"/>
      <c r="Q270" s="2433"/>
      <c r="R270" s="2434"/>
    </row>
    <row r="271" spans="1:20" ht="14.25" customHeight="1" thickBot="1" x14ac:dyDescent="0.25">
      <c r="A271" s="94" t="s">
        <v>5</v>
      </c>
      <c r="B271" s="2237" t="s">
        <v>9</v>
      </c>
      <c r="C271" s="2238"/>
      <c r="D271" s="2238"/>
      <c r="E271" s="2238"/>
      <c r="F271" s="2238"/>
      <c r="G271" s="2238"/>
      <c r="H271" s="2238"/>
      <c r="I271" s="2239"/>
      <c r="J271" s="72">
        <f>J270+J209+J158+J111</f>
        <v>28292.799999999999</v>
      </c>
      <c r="K271" s="145">
        <f>K270+K209+K158+K111</f>
        <v>27558.6</v>
      </c>
      <c r="L271" s="145">
        <f>L270+L209+L158+L111</f>
        <v>33927.599999999999</v>
      </c>
      <c r="M271" s="145">
        <f>M270+M209+M158+M111</f>
        <v>27569.599999999999</v>
      </c>
      <c r="N271" s="2241"/>
      <c r="O271" s="2241"/>
      <c r="P271" s="2241"/>
      <c r="Q271" s="2241"/>
      <c r="R271" s="2242"/>
    </row>
    <row r="272" spans="1:20" ht="14.25" customHeight="1" thickBot="1" x14ac:dyDescent="0.25">
      <c r="A272" s="105" t="s">
        <v>35</v>
      </c>
      <c r="B272" s="2243" t="s">
        <v>58</v>
      </c>
      <c r="C272" s="2244"/>
      <c r="D272" s="2244"/>
      <c r="E272" s="2244"/>
      <c r="F272" s="2244"/>
      <c r="G272" s="2244"/>
      <c r="H272" s="2244"/>
      <c r="I272" s="2245"/>
      <c r="J272" s="886">
        <f t="shared" ref="J272:M272" si="4">SUM(J271)</f>
        <v>28292.799999999999</v>
      </c>
      <c r="K272" s="146">
        <f>SUM(K271)</f>
        <v>27558.6</v>
      </c>
      <c r="L272" s="146">
        <f>SUM(L271)</f>
        <v>33927.599999999999</v>
      </c>
      <c r="M272" s="146">
        <f t="shared" si="4"/>
        <v>27569.599999999999</v>
      </c>
      <c r="N272" s="2247"/>
      <c r="O272" s="2247"/>
      <c r="P272" s="2247"/>
      <c r="Q272" s="2247"/>
      <c r="R272" s="2248"/>
    </row>
    <row r="273" spans="1:18" s="5" customFormat="1" ht="17.25" customHeight="1" x14ac:dyDescent="0.2">
      <c r="A273" s="2507" t="s">
        <v>410</v>
      </c>
      <c r="B273" s="2508"/>
      <c r="C273" s="2508"/>
      <c r="D273" s="2508"/>
      <c r="E273" s="2508"/>
      <c r="F273" s="2508"/>
      <c r="G273" s="2508"/>
      <c r="H273" s="2508"/>
      <c r="I273" s="2508"/>
      <c r="J273" s="2508"/>
      <c r="K273" s="2508"/>
      <c r="L273" s="2508"/>
      <c r="M273" s="2508"/>
      <c r="N273" s="1135"/>
      <c r="O273" s="1135"/>
      <c r="P273" s="1135"/>
      <c r="Q273" s="1135"/>
      <c r="R273" s="1135"/>
    </row>
    <row r="274" spans="1:18" s="4" customFormat="1" ht="12" customHeight="1" x14ac:dyDescent="0.2">
      <c r="A274" s="1135"/>
      <c r="B274" s="988"/>
      <c r="C274" s="988"/>
      <c r="D274" s="988"/>
      <c r="E274" s="988"/>
      <c r="F274" s="988"/>
      <c r="G274" s="988"/>
      <c r="H274" s="988"/>
      <c r="I274" s="988"/>
      <c r="J274" s="988"/>
      <c r="K274" s="988"/>
      <c r="L274" s="988"/>
      <c r="M274" s="988"/>
      <c r="N274" s="988"/>
      <c r="O274" s="1135"/>
      <c r="P274" s="1135"/>
      <c r="Q274" s="1135"/>
      <c r="R274" s="1135"/>
    </row>
    <row r="275" spans="1:18" s="5" customFormat="1" ht="15" customHeight="1" thickBot="1" x14ac:dyDescent="0.25">
      <c r="A275" s="2284" t="s">
        <v>13</v>
      </c>
      <c r="B275" s="2284"/>
      <c r="C275" s="2284"/>
      <c r="D275" s="2284"/>
      <c r="E275" s="2284"/>
      <c r="F275" s="2284"/>
      <c r="G275" s="2284"/>
      <c r="H275" s="2284"/>
      <c r="I275" s="2284"/>
      <c r="J275" s="156"/>
      <c r="K275" s="156"/>
      <c r="L275" s="156"/>
      <c r="M275" s="156"/>
      <c r="N275" s="106"/>
      <c r="O275" s="106"/>
      <c r="P275" s="106"/>
      <c r="Q275" s="106"/>
      <c r="R275" s="106"/>
    </row>
    <row r="276" spans="1:18" ht="62.25" customHeight="1" thickBot="1" x14ac:dyDescent="0.25">
      <c r="A276" s="2451" t="s">
        <v>10</v>
      </c>
      <c r="B276" s="2452"/>
      <c r="C276" s="2452"/>
      <c r="D276" s="2452"/>
      <c r="E276" s="2452"/>
      <c r="F276" s="2452"/>
      <c r="G276" s="2452"/>
      <c r="H276" s="2452"/>
      <c r="I276" s="2453"/>
      <c r="J276" s="1023" t="s">
        <v>298</v>
      </c>
      <c r="K276" s="1023" t="s">
        <v>322</v>
      </c>
      <c r="L276" s="1047" t="s">
        <v>186</v>
      </c>
      <c r="M276" s="1047" t="s">
        <v>311</v>
      </c>
      <c r="N276" s="14"/>
      <c r="O276" s="14"/>
      <c r="P276" s="14"/>
      <c r="Q276" s="14"/>
      <c r="R276" s="14"/>
    </row>
    <row r="277" spans="1:18" ht="14.25" customHeight="1" x14ac:dyDescent="0.2">
      <c r="A277" s="2288" t="s">
        <v>14</v>
      </c>
      <c r="B277" s="2289"/>
      <c r="C277" s="2289"/>
      <c r="D277" s="2289"/>
      <c r="E277" s="2289"/>
      <c r="F277" s="2289"/>
      <c r="G277" s="2289"/>
      <c r="H277" s="2289"/>
      <c r="I277" s="2290"/>
      <c r="J277" s="1024">
        <f>J278+J286+J287+J288+J285</f>
        <v>26015.5</v>
      </c>
      <c r="K277" s="1024">
        <f t="shared" ref="K277" si="5">K278+K286+K287+K288+K285</f>
        <v>24850.7</v>
      </c>
      <c r="L277" s="1024">
        <f t="shared" ref="L277" si="6">L278+L286+L287+L288+L285</f>
        <v>15639.6</v>
      </c>
      <c r="M277" s="1650">
        <f t="shared" ref="M277" si="7">M278+M286+M287+M288+M285</f>
        <v>16160.8</v>
      </c>
      <c r="N277" s="14"/>
      <c r="O277" s="14"/>
      <c r="P277" s="14"/>
      <c r="Q277" s="14"/>
      <c r="R277" s="14"/>
    </row>
    <row r="278" spans="1:18" ht="14.25" customHeight="1" x14ac:dyDescent="0.2">
      <c r="A278" s="2223" t="s">
        <v>96</v>
      </c>
      <c r="B278" s="2224"/>
      <c r="C278" s="2224"/>
      <c r="D278" s="2224"/>
      <c r="E278" s="2224"/>
      <c r="F278" s="2224"/>
      <c r="G278" s="2224"/>
      <c r="H278" s="2224"/>
      <c r="I278" s="2225"/>
      <c r="J278" s="1025">
        <f>SUM(J279:J284)</f>
        <v>18063.2</v>
      </c>
      <c r="K278" s="1025">
        <f>SUM(K279:K284)</f>
        <v>17657.5</v>
      </c>
      <c r="L278" s="1025">
        <f t="shared" ref="L278:M278" si="8">SUM(L279:L284)</f>
        <v>11023.1</v>
      </c>
      <c r="M278" s="1649">
        <f t="shared" si="8"/>
        <v>11414.1</v>
      </c>
      <c r="N278" s="14"/>
      <c r="O278" s="14"/>
      <c r="P278" s="14"/>
      <c r="Q278" s="14"/>
      <c r="R278" s="14"/>
    </row>
    <row r="279" spans="1:18" ht="14.25" customHeight="1" x14ac:dyDescent="0.2">
      <c r="A279" s="2226" t="s">
        <v>19</v>
      </c>
      <c r="B279" s="2227"/>
      <c r="C279" s="2227"/>
      <c r="D279" s="2227"/>
      <c r="E279" s="2227"/>
      <c r="F279" s="2227"/>
      <c r="G279" s="2227"/>
      <c r="H279" s="2227"/>
      <c r="I279" s="2228"/>
      <c r="J279" s="1026">
        <f>SUMIF(I13:I272,"SB",J13:J272)</f>
        <v>10933.2</v>
      </c>
      <c r="K279" s="1626">
        <f>SUMIF(I13:I272,"SB",K13:K272)</f>
        <v>10056.9</v>
      </c>
      <c r="L279" s="1626">
        <f>SUMIF(I12:I272,"SB",L12:L272)</f>
        <v>9129.7000000000007</v>
      </c>
      <c r="M279" s="1626">
        <f>SUMIF(I12:I272,"SB",M12:M272)</f>
        <v>9598.7999999999993</v>
      </c>
      <c r="N279" s="14"/>
      <c r="O279" s="14"/>
      <c r="P279" s="14"/>
      <c r="Q279" s="14"/>
      <c r="R279" s="14"/>
    </row>
    <row r="280" spans="1:18" ht="14.25" customHeight="1" x14ac:dyDescent="0.2">
      <c r="A280" s="2229" t="s">
        <v>20</v>
      </c>
      <c r="B280" s="2230"/>
      <c r="C280" s="2230"/>
      <c r="D280" s="2230"/>
      <c r="E280" s="2230"/>
      <c r="F280" s="2230"/>
      <c r="G280" s="2230"/>
      <c r="H280" s="2230"/>
      <c r="I280" s="2231"/>
      <c r="J280" s="1027">
        <f>SUMIF(I18:I272,"SB(P)",J18:J272)</f>
        <v>0</v>
      </c>
      <c r="K280" s="58">
        <f>SUMIF(I18:I272,"SB(P)",K18:K272)</f>
        <v>0</v>
      </c>
      <c r="L280" s="58">
        <f>SUMIF(I18:I272,"SB(P)",L18:L272)</f>
        <v>0</v>
      </c>
      <c r="M280" s="58">
        <f>SUMIF(I18:I272,"SB(P)",M18:M272)</f>
        <v>0</v>
      </c>
      <c r="N280" s="14"/>
      <c r="O280" s="14"/>
      <c r="P280" s="14"/>
      <c r="Q280" s="14"/>
      <c r="R280" s="14"/>
    </row>
    <row r="281" spans="1:18" ht="14.25" customHeight="1" x14ac:dyDescent="0.2">
      <c r="A281" s="2229" t="s">
        <v>71</v>
      </c>
      <c r="B281" s="2230"/>
      <c r="C281" s="2230"/>
      <c r="D281" s="2230"/>
      <c r="E281" s="2230"/>
      <c r="F281" s="2230"/>
      <c r="G281" s="2230"/>
      <c r="H281" s="2230"/>
      <c r="I281" s="2231"/>
      <c r="J281" s="1026">
        <f>SUMIF(I18:I272,"SB(VR)",J18:J272)</f>
        <v>1506.4</v>
      </c>
      <c r="K281" s="1626">
        <f>SUMIF(I18:I272,"SB(VR)",K18:K272)</f>
        <v>1770.6</v>
      </c>
      <c r="L281" s="1661">
        <f>SUMIF(I18:I272,"SB(VR)",L18:L272)</f>
        <v>1770.6</v>
      </c>
      <c r="M281" s="1661">
        <f>SUMIF(I18:I272,"SB(VR)",M18:M272)</f>
        <v>1770.6</v>
      </c>
      <c r="N281" s="14"/>
      <c r="O281" s="14"/>
      <c r="P281" s="14"/>
      <c r="Q281" s="14"/>
      <c r="R281" s="14"/>
    </row>
    <row r="282" spans="1:18" ht="14.25" customHeight="1" x14ac:dyDescent="0.2">
      <c r="A282" s="2232" t="s">
        <v>177</v>
      </c>
      <c r="B282" s="2233"/>
      <c r="C282" s="2233"/>
      <c r="D282" s="2233"/>
      <c r="E282" s="2233"/>
      <c r="F282" s="2233"/>
      <c r="G282" s="2233"/>
      <c r="H282" s="2233"/>
      <c r="I282" s="2234"/>
      <c r="J282" s="1027">
        <f>SUMIF(I13:I266,"SB(ES)",J13:J266)</f>
        <v>1624.5</v>
      </c>
      <c r="K282" s="58">
        <f>SUMIF(I13:I266,"SB(ES)",K13:K266)</f>
        <v>5830</v>
      </c>
      <c r="L282" s="58">
        <f>SUMIF(I13:I267,"SB(ES)",L13:L267)</f>
        <v>122.8</v>
      </c>
      <c r="M282" s="58">
        <f>SUMIF(I13:I266,"SB(ES)",M13:M266)</f>
        <v>0</v>
      </c>
      <c r="N282" s="14"/>
      <c r="O282" s="14"/>
      <c r="P282" s="14"/>
      <c r="Q282" s="14"/>
      <c r="R282" s="14"/>
    </row>
    <row r="283" spans="1:18" ht="14.25" customHeight="1" x14ac:dyDescent="0.2">
      <c r="A283" s="2232" t="s">
        <v>369</v>
      </c>
      <c r="B283" s="2233"/>
      <c r="C283" s="2233"/>
      <c r="D283" s="2233"/>
      <c r="E283" s="2233"/>
      <c r="F283" s="2233"/>
      <c r="G283" s="2233"/>
      <c r="H283" s="2233"/>
      <c r="I283" s="2234"/>
      <c r="J283" s="1026">
        <f>SUMIF(I12:I272,"SB(VB)",J1:J272)</f>
        <v>0</v>
      </c>
      <c r="K283" s="58">
        <f>SUMIF(I18:I267,"SB(VB)",K18:K267)</f>
        <v>0</v>
      </c>
      <c r="L283" s="58">
        <f>SUMIF(I18:I268,"SB(VB)",L18:L268)</f>
        <v>0</v>
      </c>
      <c r="M283" s="58">
        <f>SUMIF(I18:I267,"SB(VB)",M18:M267)</f>
        <v>44.7</v>
      </c>
      <c r="N283" s="14"/>
      <c r="O283" s="14"/>
      <c r="P283" s="14"/>
      <c r="Q283" s="14"/>
      <c r="R283" s="14"/>
    </row>
    <row r="284" spans="1:18" ht="15.75" customHeight="1" x14ac:dyDescent="0.2">
      <c r="A284" s="2274" t="s">
        <v>452</v>
      </c>
      <c r="B284" s="2275"/>
      <c r="C284" s="2275"/>
      <c r="D284" s="2275"/>
      <c r="E284" s="2275"/>
      <c r="F284" s="2275"/>
      <c r="G284" s="2275"/>
      <c r="H284" s="2275"/>
      <c r="I284" s="2276"/>
      <c r="J284" s="1026">
        <f>SUMIF(I21:I273,"SB(KPP)",J21:J273)</f>
        <v>3999.1</v>
      </c>
      <c r="K284" s="58">
        <f>SUMIF(I15:I273,"SB(KP)",K15:K273)</f>
        <v>0</v>
      </c>
      <c r="L284" s="58">
        <f>SUMIF(I15:I273,"SB(KP)",L15:L273)</f>
        <v>0</v>
      </c>
      <c r="M284" s="58">
        <f>SUMIF(I15:I273,"SB(KP)",M15:M273)</f>
        <v>0</v>
      </c>
      <c r="N284" s="14"/>
      <c r="O284" s="14"/>
      <c r="P284" s="14"/>
      <c r="Q284" s="14"/>
      <c r="R284" s="14"/>
    </row>
    <row r="285" spans="1:18" ht="15.75" customHeight="1" x14ac:dyDescent="0.2">
      <c r="A285" s="2280" t="s">
        <v>453</v>
      </c>
      <c r="B285" s="2449"/>
      <c r="C285" s="2449"/>
      <c r="D285" s="2449"/>
      <c r="E285" s="2449"/>
      <c r="F285" s="2449"/>
      <c r="G285" s="2449"/>
      <c r="H285" s="2449"/>
      <c r="I285" s="2450"/>
      <c r="J285" s="1028">
        <v>0</v>
      </c>
      <c r="K285" s="286">
        <f>SUMIF(I12:I273,"SB(KPP)",K12:K273)</f>
        <v>4877.8</v>
      </c>
      <c r="L285" s="286">
        <f>SUMIF(I10:I272,"SB(KPP)",L10:L272)</f>
        <v>4616.5</v>
      </c>
      <c r="M285" s="286">
        <f>SUMIF(I12:I272,"SB(KPP)",M12:M272)</f>
        <v>4746.7</v>
      </c>
      <c r="N285" s="14"/>
      <c r="O285" s="14"/>
      <c r="P285" s="14"/>
      <c r="Q285" s="14"/>
      <c r="R285" s="14"/>
    </row>
    <row r="286" spans="1:18" ht="14.25" customHeight="1" x14ac:dyDescent="0.2">
      <c r="A286" s="2277" t="s">
        <v>101</v>
      </c>
      <c r="B286" s="2278"/>
      <c r="C286" s="2278"/>
      <c r="D286" s="2278"/>
      <c r="E286" s="2278"/>
      <c r="F286" s="2278"/>
      <c r="G286" s="2278"/>
      <c r="H286" s="2278"/>
      <c r="I286" s="2279"/>
      <c r="J286" s="1028">
        <f>SUMIF(I18:I271,"SB(VRL)",J18:J271)</f>
        <v>768.9</v>
      </c>
      <c r="K286" s="286">
        <f>SUMIF(I18:I271,"SB(VRL)",K18:K271)</f>
        <v>761.9</v>
      </c>
      <c r="L286" s="286">
        <f>SUMIF(I18:I271,"SB(VRL)",L18:L271)</f>
        <v>0</v>
      </c>
      <c r="M286" s="286">
        <f>SUMIF(I18:I271,"SB(VRL)",M18:M271)</f>
        <v>0</v>
      </c>
      <c r="N286" s="14"/>
      <c r="O286" s="14"/>
      <c r="P286" s="14"/>
      <c r="Q286" s="14"/>
      <c r="R286" s="14"/>
    </row>
    <row r="287" spans="1:18" ht="14.25" customHeight="1" x14ac:dyDescent="0.2">
      <c r="A287" s="2280" t="s">
        <v>102</v>
      </c>
      <c r="B287" s="2278"/>
      <c r="C287" s="2278"/>
      <c r="D287" s="2278"/>
      <c r="E287" s="2278"/>
      <c r="F287" s="2278"/>
      <c r="G287" s="2278"/>
      <c r="H287" s="2278"/>
      <c r="I287" s="2279"/>
      <c r="J287" s="1028">
        <f>SUMIF(I10:I272,"SB(ŽPL)",J10:J272)</f>
        <v>1527.4</v>
      </c>
      <c r="K287" s="286">
        <f>SUMIF(I18:I272,"SB(ŽPL)",K18:K272)</f>
        <v>480.6</v>
      </c>
      <c r="L287" s="286">
        <f>SUMIF(I18:I272,"SB(ŽPL)",L18:L272)</f>
        <v>0</v>
      </c>
      <c r="M287" s="286">
        <f>SUMIF(I18:I272,"SB(ŽPL)",M18:M272)</f>
        <v>0</v>
      </c>
      <c r="N287" s="14"/>
      <c r="O287" s="14"/>
      <c r="P287" s="14"/>
      <c r="Q287" s="14"/>
      <c r="R287" s="14"/>
    </row>
    <row r="288" spans="1:18" ht="14.25" customHeight="1" x14ac:dyDescent="0.2">
      <c r="A288" s="2281" t="s">
        <v>191</v>
      </c>
      <c r="B288" s="2282"/>
      <c r="C288" s="2282"/>
      <c r="D288" s="2282"/>
      <c r="E288" s="2282"/>
      <c r="F288" s="2282"/>
      <c r="G288" s="2282"/>
      <c r="H288" s="2282"/>
      <c r="I288" s="2283"/>
      <c r="J288" s="1028">
        <f>SUMIF(I18:I272,"SB(L)",J18:J272)</f>
        <v>5656</v>
      </c>
      <c r="K288" s="286">
        <f>SUMIF(I18:I272,"SB(L)",K18:K272)</f>
        <v>1072.9000000000001</v>
      </c>
      <c r="L288" s="286">
        <f>SUMIF(I18:I272,"SB(L)",L18:L272)</f>
        <v>0</v>
      </c>
      <c r="M288" s="286">
        <f>SUMIF(I18:I270,"SB(L)",M18:M272)</f>
        <v>0</v>
      </c>
      <c r="N288" s="14"/>
      <c r="O288" s="14"/>
      <c r="P288" s="14"/>
      <c r="Q288" s="14"/>
      <c r="R288" s="14"/>
    </row>
    <row r="289" spans="1:18" ht="14.25" customHeight="1" x14ac:dyDescent="0.2">
      <c r="A289" s="2262" t="s">
        <v>15</v>
      </c>
      <c r="B289" s="2263"/>
      <c r="C289" s="2263"/>
      <c r="D289" s="2263"/>
      <c r="E289" s="2263"/>
      <c r="F289" s="2263"/>
      <c r="G289" s="2263"/>
      <c r="H289" s="2263"/>
      <c r="I289" s="2264"/>
      <c r="J289" s="1029">
        <f>SUM(J290:J294)</f>
        <v>2277.3000000000002</v>
      </c>
      <c r="K289" s="287">
        <f>K292+K293+K294+K290+K291</f>
        <v>2707.9</v>
      </c>
      <c r="L289" s="287">
        <f>L292+L293+L294+L290+L291</f>
        <v>18288</v>
      </c>
      <c r="M289" s="287">
        <f t="shared" ref="M289" si="9">M292+M293+M294+M290+M291</f>
        <v>11408.8</v>
      </c>
      <c r="N289" s="14"/>
      <c r="O289" s="14"/>
      <c r="P289" s="14"/>
      <c r="Q289" s="14"/>
      <c r="R289" s="14"/>
    </row>
    <row r="290" spans="1:18" ht="14.25" customHeight="1" x14ac:dyDescent="0.2">
      <c r="A290" s="2232" t="s">
        <v>21</v>
      </c>
      <c r="B290" s="2233"/>
      <c r="C290" s="2233"/>
      <c r="D290" s="2233"/>
      <c r="E290" s="2233"/>
      <c r="F290" s="2233"/>
      <c r="G290" s="2233"/>
      <c r="H290" s="2233"/>
      <c r="I290" s="2234"/>
      <c r="J290" s="1027">
        <f>SUMIF(I13:I272,"ES",J13:J272)</f>
        <v>579.5</v>
      </c>
      <c r="K290" s="58">
        <f>SUMIF(I13:I272,"ES",K13:K272)</f>
        <v>919.1</v>
      </c>
      <c r="L290" s="58">
        <f>SUMIF(I13:I272,"ES",L13:L272)</f>
        <v>1653</v>
      </c>
      <c r="M290" s="58">
        <f>SUMIF(I13:I272,"ES",M13:M272)</f>
        <v>1799.7</v>
      </c>
      <c r="N290" s="14"/>
      <c r="O290" s="14"/>
      <c r="P290" s="14"/>
      <c r="Q290" s="14"/>
      <c r="R290" s="14"/>
    </row>
    <row r="291" spans="1:18" ht="14.25" customHeight="1" x14ac:dyDescent="0.2">
      <c r="A291" s="2265" t="s">
        <v>451</v>
      </c>
      <c r="B291" s="2266"/>
      <c r="C291" s="2266"/>
      <c r="D291" s="2266"/>
      <c r="E291" s="2266"/>
      <c r="F291" s="2266"/>
      <c r="G291" s="2266"/>
      <c r="H291" s="2266"/>
      <c r="I291" s="2267"/>
      <c r="J291" s="1027">
        <f>SUMIF(I12:I271,"KPP(VIP)",J12:J271)</f>
        <v>0</v>
      </c>
      <c r="K291" s="1027">
        <f>SUMIF(I12:I271,"KPP(VIP)",K12:K271)</f>
        <v>0</v>
      </c>
      <c r="L291" s="1027">
        <f>SUMIF(I12:I271,"KPP(VIP)",L12:L271)</f>
        <v>10000</v>
      </c>
      <c r="M291" s="1648">
        <f>SUMIF(I12:I271,"KPP(VIP)",M12:M271)</f>
        <v>0</v>
      </c>
      <c r="N291" s="14"/>
      <c r="O291" s="14"/>
      <c r="P291" s="14"/>
      <c r="Q291" s="14"/>
      <c r="R291" s="14"/>
    </row>
    <row r="292" spans="1:18" ht="14.25" customHeight="1" x14ac:dyDescent="0.2">
      <c r="A292" s="2265" t="s">
        <v>22</v>
      </c>
      <c r="B292" s="2266"/>
      <c r="C292" s="2266"/>
      <c r="D292" s="2266"/>
      <c r="E292" s="2266"/>
      <c r="F292" s="2266"/>
      <c r="G292" s="2266"/>
      <c r="H292" s="2266"/>
      <c r="I292" s="2267"/>
      <c r="J292" s="1027">
        <f>SUMIF(I18:I272,"KVJUD",J18:J272)</f>
        <v>1593.4</v>
      </c>
      <c r="K292" s="58">
        <f>SUMIF(I18:I272,"KVJUD",K18:K272)</f>
        <v>1662.4</v>
      </c>
      <c r="L292" s="58">
        <f>SUMIF(I18:I272,"KVJUD",L18:L272)</f>
        <v>1500</v>
      </c>
      <c r="M292" s="58">
        <f>SUMIF(I18:I272,"KVJUD",M18:M272)</f>
        <v>1000</v>
      </c>
      <c r="N292" s="52"/>
      <c r="O292" s="52"/>
      <c r="P292" s="52"/>
      <c r="Q292" s="52"/>
      <c r="R292" s="52"/>
    </row>
    <row r="293" spans="1:18" ht="14.25" customHeight="1" x14ac:dyDescent="0.2">
      <c r="A293" s="2229" t="s">
        <v>23</v>
      </c>
      <c r="B293" s="2230"/>
      <c r="C293" s="2230"/>
      <c r="D293" s="2230"/>
      <c r="E293" s="2230"/>
      <c r="F293" s="2230"/>
      <c r="G293" s="2230"/>
      <c r="H293" s="2230"/>
      <c r="I293" s="2231"/>
      <c r="J293" s="1027">
        <f>SUMIF(I18:I272,"LRVB",J18:J272)</f>
        <v>0</v>
      </c>
      <c r="K293" s="58">
        <f>SUMIF(I18:I272,"LRVB",K18:K272)</f>
        <v>0</v>
      </c>
      <c r="L293" s="58">
        <f>SUMIF(I18:I272,"LRVB",L18:L272)</f>
        <v>5000</v>
      </c>
      <c r="M293" s="58">
        <f>SUMIF(I18:I272,"LRVB",M18:M272)</f>
        <v>8609.1</v>
      </c>
      <c r="N293" s="52"/>
      <c r="O293" s="52"/>
      <c r="P293" s="52"/>
      <c r="Q293" s="52"/>
      <c r="R293" s="52"/>
    </row>
    <row r="294" spans="1:18" ht="14.25" customHeight="1" x14ac:dyDescent="0.2">
      <c r="A294" s="2268" t="s">
        <v>24</v>
      </c>
      <c r="B294" s="2269"/>
      <c r="C294" s="2269"/>
      <c r="D294" s="2269"/>
      <c r="E294" s="2269"/>
      <c r="F294" s="2269"/>
      <c r="G294" s="2269"/>
      <c r="H294" s="2269"/>
      <c r="I294" s="2270"/>
      <c r="J294" s="1027">
        <f>SUMIF(I18:I272,"Kt",J18:J272)</f>
        <v>104.4</v>
      </c>
      <c r="K294" s="58">
        <f>SUMIF(I18:I272,"Kt",K18:K272)</f>
        <v>126.4</v>
      </c>
      <c r="L294" s="58">
        <f>SUMIF(I18:I272,"Kt",L18:L272)</f>
        <v>135</v>
      </c>
      <c r="M294" s="58">
        <f>SUMIF(I18:I272,"Kt",M18:M272)</f>
        <v>0</v>
      </c>
      <c r="N294" s="52"/>
      <c r="O294" s="52"/>
      <c r="P294" s="52"/>
      <c r="Q294" s="52"/>
      <c r="R294" s="52"/>
    </row>
    <row r="295" spans="1:18" ht="14.25" customHeight="1" thickBot="1" x14ac:dyDescent="0.25">
      <c r="A295" s="2271" t="s">
        <v>16</v>
      </c>
      <c r="B295" s="2272"/>
      <c r="C295" s="2272"/>
      <c r="D295" s="2272"/>
      <c r="E295" s="2272"/>
      <c r="F295" s="2272"/>
      <c r="G295" s="2272"/>
      <c r="H295" s="2272"/>
      <c r="I295" s="2273"/>
      <c r="J295" s="1022">
        <f>SUM(J277,J289)</f>
        <v>28292.799999999999</v>
      </c>
      <c r="K295" s="288">
        <f>SUM(K277,K289)</f>
        <v>27558.6</v>
      </c>
      <c r="L295" s="288">
        <f>SUM(L277,L289)</f>
        <v>33927.599999999999</v>
      </c>
      <c r="M295" s="288">
        <f>SUM(M277,M289)</f>
        <v>27569.599999999999</v>
      </c>
      <c r="N295" s="52"/>
      <c r="O295" s="52"/>
      <c r="P295" s="52"/>
      <c r="Q295" s="52"/>
      <c r="R295" s="52"/>
    </row>
    <row r="296" spans="1:18" x14ac:dyDescent="0.2">
      <c r="I296" s="921"/>
      <c r="J296" s="922"/>
      <c r="K296" s="922"/>
      <c r="L296" s="922"/>
      <c r="M296" s="922"/>
      <c r="N296" s="4"/>
    </row>
  </sheetData>
  <mergeCells count="325">
    <mergeCell ref="E87:E89"/>
    <mergeCell ref="H92:H93"/>
    <mergeCell ref="N120:N122"/>
    <mergeCell ref="Q177:Q178"/>
    <mergeCell ref="F96:F98"/>
    <mergeCell ref="F87:F89"/>
    <mergeCell ref="N81:N82"/>
    <mergeCell ref="F82:F84"/>
    <mergeCell ref="E85:E86"/>
    <mergeCell ref="H85:H86"/>
    <mergeCell ref="H87:H89"/>
    <mergeCell ref="N97:N98"/>
    <mergeCell ref="N168:N169"/>
    <mergeCell ref="E125:E126"/>
    <mergeCell ref="N125:N126"/>
    <mergeCell ref="G127:G128"/>
    <mergeCell ref="H129:H131"/>
    <mergeCell ref="G129:G131"/>
    <mergeCell ref="N107:N109"/>
    <mergeCell ref="E81:E84"/>
    <mergeCell ref="H81:H84"/>
    <mergeCell ref="E96:E101"/>
    <mergeCell ref="E120:E122"/>
    <mergeCell ref="D76:D78"/>
    <mergeCell ref="E76:E78"/>
    <mergeCell ref="F76:F78"/>
    <mergeCell ref="G76:G78"/>
    <mergeCell ref="H76:H78"/>
    <mergeCell ref="N77:N78"/>
    <mergeCell ref="F66:F67"/>
    <mergeCell ref="G66:G67"/>
    <mergeCell ref="N66:N67"/>
    <mergeCell ref="N70:N71"/>
    <mergeCell ref="F70:F75"/>
    <mergeCell ref="G70:G75"/>
    <mergeCell ref="E70:E75"/>
    <mergeCell ref="E66:E67"/>
    <mergeCell ref="E36:E37"/>
    <mergeCell ref="N45:N46"/>
    <mergeCell ref="G40:G44"/>
    <mergeCell ref="G36:G37"/>
    <mergeCell ref="E45:E47"/>
    <mergeCell ref="H62:H65"/>
    <mergeCell ref="E48:E49"/>
    <mergeCell ref="F48:F49"/>
    <mergeCell ref="G62:G65"/>
    <mergeCell ref="N54:N55"/>
    <mergeCell ref="F54:F61"/>
    <mergeCell ref="G54:G61"/>
    <mergeCell ref="H54:H60"/>
    <mergeCell ref="E62:E65"/>
    <mergeCell ref="E54:E56"/>
    <mergeCell ref="E50:E51"/>
    <mergeCell ref="F50:F51"/>
    <mergeCell ref="G50:G51"/>
    <mergeCell ref="H50:H51"/>
    <mergeCell ref="D36:D37"/>
    <mergeCell ref="G48:G49"/>
    <mergeCell ref="H48:H49"/>
    <mergeCell ref="D45:D47"/>
    <mergeCell ref="H40:H44"/>
    <mergeCell ref="E40:E44"/>
    <mergeCell ref="N40:N41"/>
    <mergeCell ref="H200:H202"/>
    <mergeCell ref="N204:N205"/>
    <mergeCell ref="F200:F202"/>
    <mergeCell ref="H187:H189"/>
    <mergeCell ref="E154:E156"/>
    <mergeCell ref="C158:I158"/>
    <mergeCell ref="F129:F131"/>
    <mergeCell ref="D129:D131"/>
    <mergeCell ref="E127:E128"/>
    <mergeCell ref="H192:H196"/>
    <mergeCell ref="H114:H117"/>
    <mergeCell ref="C111:I111"/>
    <mergeCell ref="C129:C131"/>
    <mergeCell ref="E102:E104"/>
    <mergeCell ref="E115:E117"/>
    <mergeCell ref="E90:E91"/>
    <mergeCell ref="N74:N75"/>
    <mergeCell ref="A277:I277"/>
    <mergeCell ref="A281:I281"/>
    <mergeCell ref="A275:I275"/>
    <mergeCell ref="D241:D251"/>
    <mergeCell ref="A279:I279"/>
    <mergeCell ref="A278:I278"/>
    <mergeCell ref="N239:N240"/>
    <mergeCell ref="A241:A251"/>
    <mergeCell ref="B272:I272"/>
    <mergeCell ref="H266:H269"/>
    <mergeCell ref="E266:E269"/>
    <mergeCell ref="N250:N251"/>
    <mergeCell ref="C270:I270"/>
    <mergeCell ref="G266:G269"/>
    <mergeCell ref="A276:I276"/>
    <mergeCell ref="B241:B251"/>
    <mergeCell ref="E254:E256"/>
    <mergeCell ref="N252:N253"/>
    <mergeCell ref="A273:M273"/>
    <mergeCell ref="N242:N243"/>
    <mergeCell ref="N272:R272"/>
    <mergeCell ref="N270:R270"/>
    <mergeCell ref="A295:I295"/>
    <mergeCell ref="A294:I294"/>
    <mergeCell ref="A280:I280"/>
    <mergeCell ref="A293:I293"/>
    <mergeCell ref="A288:I288"/>
    <mergeCell ref="A286:I286"/>
    <mergeCell ref="A292:I292"/>
    <mergeCell ref="A289:I289"/>
    <mergeCell ref="A290:I290"/>
    <mergeCell ref="A287:I287"/>
    <mergeCell ref="A282:I282"/>
    <mergeCell ref="A283:I283"/>
    <mergeCell ref="A291:I291"/>
    <mergeCell ref="A285:I285"/>
    <mergeCell ref="A284:I284"/>
    <mergeCell ref="C200:C202"/>
    <mergeCell ref="B239:B240"/>
    <mergeCell ref="B200:B202"/>
    <mergeCell ref="C210:R210"/>
    <mergeCell ref="C239:C240"/>
    <mergeCell ref="D228:D235"/>
    <mergeCell ref="D213:D219"/>
    <mergeCell ref="D200:D202"/>
    <mergeCell ref="C23:C27"/>
    <mergeCell ref="D23:D27"/>
    <mergeCell ref="E23:E27"/>
    <mergeCell ref="G23:G27"/>
    <mergeCell ref="G33:G35"/>
    <mergeCell ref="N33:N34"/>
    <mergeCell ref="F34:F35"/>
    <mergeCell ref="E31:E32"/>
    <mergeCell ref="N198:N199"/>
    <mergeCell ref="C33:C35"/>
    <mergeCell ref="D33:D35"/>
    <mergeCell ref="H147:H150"/>
    <mergeCell ref="Q90:Q91"/>
    <mergeCell ref="N177:N178"/>
    <mergeCell ref="D50:D51"/>
    <mergeCell ref="C187:C189"/>
    <mergeCell ref="A10:R10"/>
    <mergeCell ref="B11:R11"/>
    <mergeCell ref="C12:R12"/>
    <mergeCell ref="N28:N29"/>
    <mergeCell ref="E28:E30"/>
    <mergeCell ref="B18:B22"/>
    <mergeCell ref="H28:H30"/>
    <mergeCell ref="A18:A22"/>
    <mergeCell ref="D18:D22"/>
    <mergeCell ref="E18:E22"/>
    <mergeCell ref="C18:C22"/>
    <mergeCell ref="A23:A27"/>
    <mergeCell ref="B23:B27"/>
    <mergeCell ref="E14:E17"/>
    <mergeCell ref="H14:H17"/>
    <mergeCell ref="N14:N15"/>
    <mergeCell ref="F15:F17"/>
    <mergeCell ref="F19:F22"/>
    <mergeCell ref="H18:H22"/>
    <mergeCell ref="G18:G22"/>
    <mergeCell ref="N20:N21"/>
    <mergeCell ref="F29:F30"/>
    <mergeCell ref="N1:R1"/>
    <mergeCell ref="A2:R2"/>
    <mergeCell ref="A6:A8"/>
    <mergeCell ref="B6:B8"/>
    <mergeCell ref="C6:C8"/>
    <mergeCell ref="D6:D8"/>
    <mergeCell ref="E6:E8"/>
    <mergeCell ref="F6:F8"/>
    <mergeCell ref="G6:G8"/>
    <mergeCell ref="H6:H8"/>
    <mergeCell ref="I6:I8"/>
    <mergeCell ref="K6:K8"/>
    <mergeCell ref="M6:M8"/>
    <mergeCell ref="N6:R6"/>
    <mergeCell ref="A3:R3"/>
    <mergeCell ref="N5:R5"/>
    <mergeCell ref="J6:J8"/>
    <mergeCell ref="N7:N8"/>
    <mergeCell ref="A4:R4"/>
    <mergeCell ref="L6:L8"/>
    <mergeCell ref="O7:R7"/>
    <mergeCell ref="D221:D225"/>
    <mergeCell ref="D226:D227"/>
    <mergeCell ref="E226:E227"/>
    <mergeCell ref="C209:I209"/>
    <mergeCell ref="G204:G207"/>
    <mergeCell ref="H204:H207"/>
    <mergeCell ref="A239:A240"/>
    <mergeCell ref="N271:R271"/>
    <mergeCell ref="E241:E244"/>
    <mergeCell ref="R250:R251"/>
    <mergeCell ref="Q250:Q251"/>
    <mergeCell ref="P250:P251"/>
    <mergeCell ref="B271:I271"/>
    <mergeCell ref="N247:N248"/>
    <mergeCell ref="C241:C251"/>
    <mergeCell ref="O250:O251"/>
    <mergeCell ref="E257:E258"/>
    <mergeCell ref="G241:G251"/>
    <mergeCell ref="D263:D264"/>
    <mergeCell ref="E263:E264"/>
    <mergeCell ref="D266:D267"/>
    <mergeCell ref="D257:D258"/>
    <mergeCell ref="N209:R209"/>
    <mergeCell ref="A76:A78"/>
    <mergeCell ref="E177:E179"/>
    <mergeCell ref="E161:E172"/>
    <mergeCell ref="F266:F269"/>
    <mergeCell ref="F260:F262"/>
    <mergeCell ref="G260:G262"/>
    <mergeCell ref="F241:F251"/>
    <mergeCell ref="E252:E253"/>
    <mergeCell ref="H197:H198"/>
    <mergeCell ref="E200:E202"/>
    <mergeCell ref="G200:G202"/>
    <mergeCell ref="H177:H178"/>
    <mergeCell ref="E190:E191"/>
    <mergeCell ref="F197:F199"/>
    <mergeCell ref="E192:E196"/>
    <mergeCell ref="A204:A207"/>
    <mergeCell ref="B204:B207"/>
    <mergeCell ref="C204:C207"/>
    <mergeCell ref="D204:D207"/>
    <mergeCell ref="E204:E207"/>
    <mergeCell ref="F204:F207"/>
    <mergeCell ref="E236:E238"/>
    <mergeCell ref="E239:E240"/>
    <mergeCell ref="A200:A202"/>
    <mergeCell ref="A9:R9"/>
    <mergeCell ref="B45:B47"/>
    <mergeCell ref="A54:A61"/>
    <mergeCell ref="N127:N128"/>
    <mergeCell ref="F127:F128"/>
    <mergeCell ref="A45:A47"/>
    <mergeCell ref="G45:G47"/>
    <mergeCell ref="A40:A44"/>
    <mergeCell ref="C45:C47"/>
    <mergeCell ref="H70:H75"/>
    <mergeCell ref="B54:B61"/>
    <mergeCell ref="A33:A35"/>
    <mergeCell ref="B33:B35"/>
    <mergeCell ref="B40:B44"/>
    <mergeCell ref="C40:C44"/>
    <mergeCell ref="C54:C61"/>
    <mergeCell ref="D54:D61"/>
    <mergeCell ref="D70:D75"/>
    <mergeCell ref="D66:D67"/>
    <mergeCell ref="D48:D49"/>
    <mergeCell ref="D62:D65"/>
    <mergeCell ref="E33:E35"/>
    <mergeCell ref="B76:B78"/>
    <mergeCell ref="C76:C78"/>
    <mergeCell ref="C127:C128"/>
    <mergeCell ref="D127:D128"/>
    <mergeCell ref="C154:C157"/>
    <mergeCell ref="E184:E185"/>
    <mergeCell ref="E92:E93"/>
    <mergeCell ref="C112:R112"/>
    <mergeCell ref="R177:R178"/>
    <mergeCell ref="R127:R128"/>
    <mergeCell ref="P127:P128"/>
    <mergeCell ref="O127:O128"/>
    <mergeCell ref="Q127:Q128"/>
    <mergeCell ref="E129:E131"/>
    <mergeCell ref="E139:E140"/>
    <mergeCell ref="H184:H185"/>
    <mergeCell ref="N184:N185"/>
    <mergeCell ref="G137:G138"/>
    <mergeCell ref="H180:H181"/>
    <mergeCell ref="H96:H101"/>
    <mergeCell ref="C137:C138"/>
    <mergeCell ref="F137:F138"/>
    <mergeCell ref="E143:E145"/>
    <mergeCell ref="F143:F145"/>
    <mergeCell ref="D154:D157"/>
    <mergeCell ref="H106:H107"/>
    <mergeCell ref="A137:A138"/>
    <mergeCell ref="A154:A157"/>
    <mergeCell ref="A192:A196"/>
    <mergeCell ref="B192:B196"/>
    <mergeCell ref="A187:A189"/>
    <mergeCell ref="B187:B189"/>
    <mergeCell ref="Q180:Q181"/>
    <mergeCell ref="G187:G189"/>
    <mergeCell ref="N180:N181"/>
    <mergeCell ref="O180:O181"/>
    <mergeCell ref="N171:N172"/>
    <mergeCell ref="H154:H157"/>
    <mergeCell ref="C159:R159"/>
    <mergeCell ref="H161:H172"/>
    <mergeCell ref="F161:F163"/>
    <mergeCell ref="N154:N156"/>
    <mergeCell ref="N158:R158"/>
    <mergeCell ref="P177:P178"/>
    <mergeCell ref="O177:O178"/>
    <mergeCell ref="R180:R181"/>
    <mergeCell ref="P180:P181"/>
    <mergeCell ref="H143:H145"/>
    <mergeCell ref="A127:A128"/>
    <mergeCell ref="B127:B128"/>
    <mergeCell ref="A129:A131"/>
    <mergeCell ref="B129:B131"/>
    <mergeCell ref="B137:B138"/>
    <mergeCell ref="D137:D138"/>
    <mergeCell ref="H139:H140"/>
    <mergeCell ref="G154:G157"/>
    <mergeCell ref="H212:H215"/>
    <mergeCell ref="A197:A198"/>
    <mergeCell ref="F187:F189"/>
    <mergeCell ref="E137:E138"/>
    <mergeCell ref="B197:B198"/>
    <mergeCell ref="F190:F191"/>
    <mergeCell ref="E197:E199"/>
    <mergeCell ref="F192:F196"/>
    <mergeCell ref="C192:C196"/>
    <mergeCell ref="E187:E189"/>
    <mergeCell ref="C197:C198"/>
    <mergeCell ref="B154:B157"/>
    <mergeCell ref="E147:E149"/>
    <mergeCell ref="E151:E152"/>
    <mergeCell ref="D187:D189"/>
    <mergeCell ref="E180:E181"/>
  </mergeCells>
  <phoneticPr fontId="12" type="noConversion"/>
  <printOptions horizontalCentered="1"/>
  <pageMargins left="0.59055118110236227" right="0.19685039370078741" top="0.59055118110236227" bottom="0.39370078740157483" header="0" footer="0"/>
  <pageSetup paperSize="9" scale="58" orientation="portrait" r:id="rId1"/>
  <headerFooter alignWithMargins="0"/>
  <rowBreaks count="4" manualBreakCount="4">
    <brk id="65" max="17" man="1"/>
    <brk id="134" max="17" man="1"/>
    <brk id="199" max="17" man="1"/>
    <brk id="265" max="17"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312"/>
  <sheetViews>
    <sheetView view="pageBreakPreview" topLeftCell="A232" zoomScaleNormal="100" zoomScaleSheetLayoutView="100" workbookViewId="0">
      <selection activeCell="V249" sqref="V249"/>
    </sheetView>
  </sheetViews>
  <sheetFormatPr defaultRowHeight="12.75" x14ac:dyDescent="0.2"/>
  <cols>
    <col min="1" max="3" width="2.7109375" style="2" customWidth="1"/>
    <col min="4" max="4" width="3.140625" style="2" customWidth="1"/>
    <col min="5" max="5" width="36.28515625" style="2" customWidth="1"/>
    <col min="6" max="6" width="3.28515625" style="8" customWidth="1"/>
    <col min="7" max="7" width="3" style="11" customWidth="1"/>
    <col min="8" max="8" width="10.85546875" style="11" customWidth="1"/>
    <col min="9" max="9" width="7.85546875" style="3" customWidth="1"/>
    <col min="10" max="10" width="9" style="2" customWidth="1"/>
    <col min="11" max="11" width="8.85546875" style="2" customWidth="1"/>
    <col min="12" max="13" width="9" style="2" customWidth="1"/>
    <col min="14" max="14" width="39.85546875" style="2" customWidth="1"/>
    <col min="15" max="18" width="4.7109375" style="2" customWidth="1"/>
    <col min="19" max="19" width="19" style="929" customWidth="1"/>
    <col min="20" max="16384" width="9.140625" style="1"/>
  </cols>
  <sheetData>
    <row r="1" spans="1:21" s="158" customFormat="1" ht="15.75" customHeight="1" x14ac:dyDescent="0.25">
      <c r="N1" s="2496" t="s">
        <v>126</v>
      </c>
      <c r="O1" s="2497"/>
      <c r="P1" s="2497"/>
      <c r="Q1" s="2497"/>
      <c r="R1" s="2497"/>
      <c r="S1" s="579"/>
      <c r="U1" s="1"/>
    </row>
    <row r="2" spans="1:21" s="39" customFormat="1" ht="15" x14ac:dyDescent="0.2">
      <c r="A2" s="2076" t="s">
        <v>310</v>
      </c>
      <c r="B2" s="2076"/>
      <c r="C2" s="2076"/>
      <c r="D2" s="2076"/>
      <c r="E2" s="2076"/>
      <c r="F2" s="2076"/>
      <c r="G2" s="2076"/>
      <c r="H2" s="2076"/>
      <c r="I2" s="2076"/>
      <c r="J2" s="2076"/>
      <c r="K2" s="2076"/>
      <c r="L2" s="2076"/>
      <c r="M2" s="2076"/>
      <c r="N2" s="2076"/>
      <c r="O2" s="2076"/>
      <c r="P2" s="2076"/>
      <c r="Q2" s="2076"/>
      <c r="R2" s="2076"/>
      <c r="S2" s="989"/>
      <c r="U2" s="1"/>
    </row>
    <row r="3" spans="1:21" ht="15.75" customHeight="1" x14ac:dyDescent="0.2">
      <c r="A3" s="2077" t="s">
        <v>29</v>
      </c>
      <c r="B3" s="2077"/>
      <c r="C3" s="2077"/>
      <c r="D3" s="2077"/>
      <c r="E3" s="2077"/>
      <c r="F3" s="2077"/>
      <c r="G3" s="2077"/>
      <c r="H3" s="2077"/>
      <c r="I3" s="2077"/>
      <c r="J3" s="2077"/>
      <c r="K3" s="2077"/>
      <c r="L3" s="2077"/>
      <c r="M3" s="2077"/>
      <c r="N3" s="2077"/>
      <c r="O3" s="2077"/>
      <c r="P3" s="2077"/>
      <c r="Q3" s="2077"/>
      <c r="R3" s="2077"/>
    </row>
    <row r="4" spans="1:21" ht="15" customHeight="1" x14ac:dyDescent="0.2">
      <c r="A4" s="2078" t="s">
        <v>17</v>
      </c>
      <c r="B4" s="2078"/>
      <c r="C4" s="2078"/>
      <c r="D4" s="2078"/>
      <c r="E4" s="2078"/>
      <c r="F4" s="2078"/>
      <c r="G4" s="2078"/>
      <c r="H4" s="2078"/>
      <c r="I4" s="2078"/>
      <c r="J4" s="2078"/>
      <c r="K4" s="2078"/>
      <c r="L4" s="2078"/>
      <c r="M4" s="2078"/>
      <c r="N4" s="2078"/>
      <c r="O4" s="2078"/>
      <c r="P4" s="2078"/>
      <c r="Q4" s="2078"/>
      <c r="R4" s="2078"/>
    </row>
    <row r="5" spans="1:21" ht="15" customHeight="1" thickBot="1" x14ac:dyDescent="0.25">
      <c r="A5" s="15"/>
      <c r="B5" s="15"/>
      <c r="C5" s="15"/>
      <c r="D5" s="15"/>
      <c r="E5" s="15"/>
      <c r="F5" s="16"/>
      <c r="G5" s="17"/>
      <c r="H5" s="17"/>
      <c r="I5" s="250"/>
      <c r="J5" s="15"/>
      <c r="K5" s="15"/>
      <c r="L5" s="15"/>
      <c r="M5" s="15"/>
      <c r="N5" s="2079" t="s">
        <v>117</v>
      </c>
      <c r="O5" s="2079"/>
      <c r="P5" s="2079"/>
      <c r="Q5" s="2079"/>
      <c r="R5" s="2080"/>
    </row>
    <row r="6" spans="1:21" s="39" customFormat="1" ht="30" customHeight="1" x14ac:dyDescent="0.2">
      <c r="A6" s="2373" t="s">
        <v>18</v>
      </c>
      <c r="B6" s="2376" t="s">
        <v>0</v>
      </c>
      <c r="C6" s="2376" t="s">
        <v>1</v>
      </c>
      <c r="D6" s="2376" t="s">
        <v>27</v>
      </c>
      <c r="E6" s="2379" t="s">
        <v>12</v>
      </c>
      <c r="F6" s="2364" t="s">
        <v>2</v>
      </c>
      <c r="G6" s="2367" t="s">
        <v>3</v>
      </c>
      <c r="H6" s="2498" t="s">
        <v>64</v>
      </c>
      <c r="I6" s="2370" t="s">
        <v>4</v>
      </c>
      <c r="J6" s="2542" t="s">
        <v>298</v>
      </c>
      <c r="K6" s="2542" t="s">
        <v>322</v>
      </c>
      <c r="L6" s="2542" t="s">
        <v>186</v>
      </c>
      <c r="M6" s="2542" t="s">
        <v>311</v>
      </c>
      <c r="N6" s="2259" t="s">
        <v>11</v>
      </c>
      <c r="O6" s="2260"/>
      <c r="P6" s="2260"/>
      <c r="Q6" s="2260"/>
      <c r="R6" s="2362"/>
      <c r="S6" s="989"/>
      <c r="U6" s="1"/>
    </row>
    <row r="7" spans="1:21" s="39" customFormat="1" ht="18.75" customHeight="1" x14ac:dyDescent="0.2">
      <c r="A7" s="2374"/>
      <c r="B7" s="2377"/>
      <c r="C7" s="2377"/>
      <c r="D7" s="2377"/>
      <c r="E7" s="2380"/>
      <c r="F7" s="2365"/>
      <c r="G7" s="2368"/>
      <c r="H7" s="2499"/>
      <c r="I7" s="2371"/>
      <c r="J7" s="2543"/>
      <c r="K7" s="2543"/>
      <c r="L7" s="2543"/>
      <c r="M7" s="2543"/>
      <c r="N7" s="2090" t="s">
        <v>12</v>
      </c>
      <c r="O7" s="2261"/>
      <c r="P7" s="2261"/>
      <c r="Q7" s="2261"/>
      <c r="R7" s="2363"/>
      <c r="S7" s="989"/>
      <c r="U7" s="1"/>
    </row>
    <row r="8" spans="1:21" s="39" customFormat="1" ht="63" customHeight="1" thickBot="1" x14ac:dyDescent="0.25">
      <c r="A8" s="2375"/>
      <c r="B8" s="2378"/>
      <c r="C8" s="2378"/>
      <c r="D8" s="2378"/>
      <c r="E8" s="2381"/>
      <c r="F8" s="2366"/>
      <c r="G8" s="2369"/>
      <c r="H8" s="2500"/>
      <c r="I8" s="2372"/>
      <c r="J8" s="2544"/>
      <c r="K8" s="2544"/>
      <c r="L8" s="2544"/>
      <c r="M8" s="2544"/>
      <c r="N8" s="2091"/>
      <c r="O8" s="160" t="s">
        <v>106</v>
      </c>
      <c r="P8" s="160" t="s">
        <v>128</v>
      </c>
      <c r="Q8" s="160" t="s">
        <v>187</v>
      </c>
      <c r="R8" s="161" t="s">
        <v>312</v>
      </c>
      <c r="S8" s="989"/>
      <c r="U8" s="1"/>
    </row>
    <row r="9" spans="1:21" s="10" customFormat="1" ht="14.25" customHeight="1" x14ac:dyDescent="0.2">
      <c r="A9" s="2064" t="s">
        <v>63</v>
      </c>
      <c r="B9" s="2065"/>
      <c r="C9" s="2065"/>
      <c r="D9" s="2065"/>
      <c r="E9" s="2065"/>
      <c r="F9" s="2065"/>
      <c r="G9" s="2065"/>
      <c r="H9" s="2065"/>
      <c r="I9" s="2065"/>
      <c r="J9" s="2065"/>
      <c r="K9" s="2065"/>
      <c r="L9" s="2065"/>
      <c r="M9" s="2065"/>
      <c r="N9" s="2065"/>
      <c r="O9" s="2065"/>
      <c r="P9" s="2065"/>
      <c r="Q9" s="2065"/>
      <c r="R9" s="2066"/>
      <c r="S9" s="990"/>
      <c r="U9" s="1"/>
    </row>
    <row r="10" spans="1:21" s="10" customFormat="1" ht="14.25" customHeight="1" x14ac:dyDescent="0.2">
      <c r="A10" s="2067" t="s">
        <v>26</v>
      </c>
      <c r="B10" s="2068"/>
      <c r="C10" s="2068"/>
      <c r="D10" s="2068"/>
      <c r="E10" s="2068"/>
      <c r="F10" s="2068"/>
      <c r="G10" s="2068"/>
      <c r="H10" s="2068"/>
      <c r="I10" s="2068"/>
      <c r="J10" s="2068"/>
      <c r="K10" s="2068"/>
      <c r="L10" s="2068"/>
      <c r="M10" s="2068"/>
      <c r="N10" s="2068"/>
      <c r="O10" s="2068"/>
      <c r="P10" s="2068"/>
      <c r="Q10" s="2068"/>
      <c r="R10" s="2069"/>
      <c r="S10" s="990"/>
      <c r="U10" s="1"/>
    </row>
    <row r="11" spans="1:21" ht="16.5" customHeight="1" x14ac:dyDescent="0.2">
      <c r="A11" s="18" t="s">
        <v>5</v>
      </c>
      <c r="B11" s="2070" t="s">
        <v>30</v>
      </c>
      <c r="C11" s="2071"/>
      <c r="D11" s="2071"/>
      <c r="E11" s="2071"/>
      <c r="F11" s="2071"/>
      <c r="G11" s="2071"/>
      <c r="H11" s="2071"/>
      <c r="I11" s="2071"/>
      <c r="J11" s="2071"/>
      <c r="K11" s="2071"/>
      <c r="L11" s="2071"/>
      <c r="M11" s="2071"/>
      <c r="N11" s="2071"/>
      <c r="O11" s="2071"/>
      <c r="P11" s="2071"/>
      <c r="Q11" s="2071"/>
      <c r="R11" s="2072"/>
    </row>
    <row r="12" spans="1:21" ht="15" customHeight="1" x14ac:dyDescent="0.2">
      <c r="A12" s="249" t="s">
        <v>5</v>
      </c>
      <c r="B12" s="13" t="s">
        <v>5</v>
      </c>
      <c r="C12" s="2073" t="s">
        <v>31</v>
      </c>
      <c r="D12" s="2074"/>
      <c r="E12" s="2074"/>
      <c r="F12" s="2074"/>
      <c r="G12" s="2074"/>
      <c r="H12" s="2074"/>
      <c r="I12" s="2074"/>
      <c r="J12" s="2074"/>
      <c r="K12" s="2074"/>
      <c r="L12" s="2074"/>
      <c r="M12" s="2074"/>
      <c r="N12" s="2074"/>
      <c r="O12" s="2074"/>
      <c r="P12" s="2074"/>
      <c r="Q12" s="2074"/>
      <c r="R12" s="2075"/>
    </row>
    <row r="13" spans="1:21" ht="35.25" customHeight="1" x14ac:dyDescent="0.2">
      <c r="A13" s="1674" t="s">
        <v>5</v>
      </c>
      <c r="B13" s="1675" t="s">
        <v>5</v>
      </c>
      <c r="C13" s="1751" t="s">
        <v>5</v>
      </c>
      <c r="D13" s="225"/>
      <c r="E13" s="56" t="s">
        <v>49</v>
      </c>
      <c r="F13" s="1732" t="s">
        <v>90</v>
      </c>
      <c r="G13" s="1691" t="s">
        <v>43</v>
      </c>
      <c r="H13" s="1779"/>
      <c r="I13" s="170"/>
      <c r="J13" s="487"/>
      <c r="K13" s="487"/>
      <c r="L13" s="488"/>
      <c r="M13" s="1629"/>
      <c r="N13" s="22"/>
      <c r="O13" s="12"/>
      <c r="P13" s="12"/>
      <c r="Q13" s="1032"/>
      <c r="R13" s="1043"/>
    </row>
    <row r="14" spans="1:21" ht="18.75" customHeight="1" x14ac:dyDescent="0.2">
      <c r="A14" s="1674"/>
      <c r="B14" s="1675"/>
      <c r="C14" s="1751"/>
      <c r="D14" s="1749" t="s">
        <v>5</v>
      </c>
      <c r="E14" s="2101" t="s">
        <v>266</v>
      </c>
      <c r="F14" s="1308" t="s">
        <v>47</v>
      </c>
      <c r="G14" s="1676"/>
      <c r="H14" s="2455"/>
      <c r="I14" s="1660" t="s">
        <v>25</v>
      </c>
      <c r="J14" s="91">
        <v>4</v>
      </c>
      <c r="K14" s="1660">
        <v>100</v>
      </c>
      <c r="L14" s="91">
        <v>181</v>
      </c>
      <c r="M14" s="1660">
        <v>165.8</v>
      </c>
      <c r="N14" s="2343" t="s">
        <v>424</v>
      </c>
      <c r="O14" s="471"/>
      <c r="P14" s="372" t="s">
        <v>56</v>
      </c>
      <c r="Q14" s="1276" t="s">
        <v>56</v>
      </c>
      <c r="R14" s="472"/>
    </row>
    <row r="15" spans="1:21" ht="33" customHeight="1" x14ac:dyDescent="0.2">
      <c r="A15" s="1674"/>
      <c r="B15" s="1675"/>
      <c r="C15" s="1751"/>
      <c r="D15" s="1676"/>
      <c r="E15" s="2108"/>
      <c r="F15" s="2195" t="s">
        <v>329</v>
      </c>
      <c r="G15" s="1691"/>
      <c r="H15" s="2455"/>
      <c r="I15" s="65" t="s">
        <v>44</v>
      </c>
      <c r="J15" s="87"/>
      <c r="K15" s="65"/>
      <c r="L15" s="87">
        <v>850</v>
      </c>
      <c r="M15" s="65">
        <v>639.4</v>
      </c>
      <c r="N15" s="2384"/>
      <c r="O15" s="822"/>
      <c r="P15" s="1278"/>
      <c r="Q15" s="1279"/>
      <c r="R15" s="583"/>
    </row>
    <row r="16" spans="1:21" ht="30.75" customHeight="1" x14ac:dyDescent="0.2">
      <c r="A16" s="1674"/>
      <c r="B16" s="1675"/>
      <c r="C16" s="1751"/>
      <c r="D16" s="1676"/>
      <c r="E16" s="2108"/>
      <c r="F16" s="2385"/>
      <c r="G16" s="1691"/>
      <c r="H16" s="2455"/>
      <c r="I16" s="65"/>
      <c r="J16" s="87"/>
      <c r="K16" s="65"/>
      <c r="L16" s="87"/>
      <c r="M16" s="65"/>
      <c r="N16" s="237" t="s">
        <v>363</v>
      </c>
      <c r="O16" s="822"/>
      <c r="P16" s="1278"/>
      <c r="Q16" s="1279" t="s">
        <v>359</v>
      </c>
      <c r="R16" s="583" t="s">
        <v>360</v>
      </c>
    </row>
    <row r="17" spans="1:19" ht="27" customHeight="1" x14ac:dyDescent="0.2">
      <c r="A17" s="1674"/>
      <c r="B17" s="1675"/>
      <c r="C17" s="1751"/>
      <c r="D17" s="1752"/>
      <c r="E17" s="2190"/>
      <c r="F17" s="2501"/>
      <c r="G17" s="1676"/>
      <c r="H17" s="2492"/>
      <c r="I17" s="1661"/>
      <c r="J17" s="90"/>
      <c r="K17" s="1661"/>
      <c r="L17" s="90"/>
      <c r="M17" s="1052"/>
      <c r="N17" s="262" t="s">
        <v>268</v>
      </c>
      <c r="O17" s="1277" t="s">
        <v>56</v>
      </c>
      <c r="P17" s="325"/>
      <c r="Q17" s="555"/>
      <c r="R17" s="475"/>
    </row>
    <row r="18" spans="1:19" ht="27.75" customHeight="1" x14ac:dyDescent="0.2">
      <c r="A18" s="2029"/>
      <c r="B18" s="2030"/>
      <c r="C18" s="2475"/>
      <c r="D18" s="2484" t="s">
        <v>7</v>
      </c>
      <c r="E18" s="2037" t="s">
        <v>362</v>
      </c>
      <c r="F18" s="312" t="s">
        <v>47</v>
      </c>
      <c r="G18" s="2031"/>
      <c r="H18" s="2482" t="s">
        <v>73</v>
      </c>
      <c r="I18" s="317" t="s">
        <v>104</v>
      </c>
      <c r="J18" s="1656">
        <v>557.70000000000005</v>
      </c>
      <c r="K18" s="1656">
        <v>328.7</v>
      </c>
      <c r="L18" s="128"/>
      <c r="M18" s="1660"/>
      <c r="N18" s="1768" t="s">
        <v>159</v>
      </c>
      <c r="O18" s="1273" t="s">
        <v>215</v>
      </c>
      <c r="P18" s="1730">
        <v>2</v>
      </c>
      <c r="Q18" s="471"/>
      <c r="R18" s="472"/>
    </row>
    <row r="19" spans="1:19" ht="27.75" customHeight="1" x14ac:dyDescent="0.2">
      <c r="A19" s="2029"/>
      <c r="B19" s="2030"/>
      <c r="C19" s="2475"/>
      <c r="D19" s="2138"/>
      <c r="E19" s="2038"/>
      <c r="F19" s="2040" t="s">
        <v>116</v>
      </c>
      <c r="G19" s="2031"/>
      <c r="H19" s="2483"/>
      <c r="I19" s="1281" t="s">
        <v>25</v>
      </c>
      <c r="J19" s="1261"/>
      <c r="K19" s="1261"/>
      <c r="L19" s="129"/>
      <c r="M19" s="70">
        <v>322.8</v>
      </c>
      <c r="N19" s="45" t="s">
        <v>317</v>
      </c>
      <c r="O19" s="1282" t="s">
        <v>56</v>
      </c>
      <c r="P19" s="368">
        <v>1</v>
      </c>
      <c r="Q19" s="822"/>
      <c r="R19" s="583"/>
      <c r="S19" s="1575"/>
    </row>
    <row r="20" spans="1:19" ht="13.5" customHeight="1" x14ac:dyDescent="0.2">
      <c r="A20" s="2029"/>
      <c r="B20" s="2030"/>
      <c r="C20" s="2475"/>
      <c r="D20" s="2138"/>
      <c r="E20" s="2038"/>
      <c r="F20" s="2386"/>
      <c r="G20" s="2031"/>
      <c r="H20" s="2483"/>
      <c r="I20" s="48" t="s">
        <v>105</v>
      </c>
      <c r="J20" s="67"/>
      <c r="K20" s="67"/>
      <c r="L20" s="103"/>
      <c r="M20" s="65">
        <v>96.4</v>
      </c>
      <c r="N20" s="2337" t="s">
        <v>370</v>
      </c>
      <c r="O20" s="1280"/>
      <c r="P20" s="1783"/>
      <c r="Q20" s="204"/>
      <c r="R20" s="362" t="s">
        <v>43</v>
      </c>
      <c r="S20" s="1575"/>
    </row>
    <row r="21" spans="1:19" ht="14.25" customHeight="1" x14ac:dyDescent="0.2">
      <c r="A21" s="2029"/>
      <c r="B21" s="2030"/>
      <c r="C21" s="2475"/>
      <c r="D21" s="2138"/>
      <c r="E21" s="2038"/>
      <c r="F21" s="2386"/>
      <c r="G21" s="2031"/>
      <c r="H21" s="2483"/>
      <c r="I21" s="48" t="s">
        <v>361</v>
      </c>
      <c r="J21" s="67"/>
      <c r="K21" s="67"/>
      <c r="L21" s="87"/>
      <c r="M21" s="65">
        <v>44.7</v>
      </c>
      <c r="N21" s="2383"/>
      <c r="O21" s="1280"/>
      <c r="P21" s="1783"/>
      <c r="Q21" s="204"/>
      <c r="R21" s="362"/>
      <c r="S21" s="1575"/>
    </row>
    <row r="22" spans="1:19" ht="16.5" customHeight="1" x14ac:dyDescent="0.2">
      <c r="A22" s="2029"/>
      <c r="B22" s="2030"/>
      <c r="C22" s="2475"/>
      <c r="D22" s="2138"/>
      <c r="E22" s="2387"/>
      <c r="F22" s="2041"/>
      <c r="G22" s="2031"/>
      <c r="H22" s="2483"/>
      <c r="I22" s="47" t="s">
        <v>44</v>
      </c>
      <c r="J22" s="1657"/>
      <c r="K22" s="1657"/>
      <c r="L22" s="155"/>
      <c r="M22" s="1661">
        <v>690.3</v>
      </c>
      <c r="N22" s="525"/>
      <c r="O22" s="325"/>
      <c r="P22" s="49"/>
      <c r="Q22" s="326"/>
      <c r="R22" s="475"/>
    </row>
    <row r="23" spans="1:19" ht="15.75" customHeight="1" x14ac:dyDescent="0.2">
      <c r="A23" s="2029"/>
      <c r="B23" s="2030"/>
      <c r="C23" s="2475"/>
      <c r="D23" s="2484" t="s">
        <v>28</v>
      </c>
      <c r="E23" s="2032" t="s">
        <v>240</v>
      </c>
      <c r="F23" s="1717" t="s">
        <v>47</v>
      </c>
      <c r="G23" s="2034"/>
      <c r="H23" s="1262"/>
      <c r="I23" s="91" t="s">
        <v>25</v>
      </c>
      <c r="J23" s="1660">
        <f>700-300-100</f>
        <v>300</v>
      </c>
      <c r="K23" s="1660">
        <v>966.7</v>
      </c>
      <c r="L23" s="128"/>
      <c r="M23" s="1660"/>
      <c r="N23" s="1696" t="s">
        <v>188</v>
      </c>
      <c r="O23" s="502">
        <v>20</v>
      </c>
      <c r="P23" s="522">
        <v>100</v>
      </c>
      <c r="Q23" s="824"/>
      <c r="R23" s="523"/>
    </row>
    <row r="24" spans="1:19" ht="15" customHeight="1" x14ac:dyDescent="0.2">
      <c r="A24" s="2029"/>
      <c r="B24" s="2030"/>
      <c r="C24" s="2475"/>
      <c r="D24" s="2138"/>
      <c r="E24" s="2141"/>
      <c r="F24" s="549"/>
      <c r="G24" s="2034"/>
      <c r="H24" s="1262"/>
      <c r="I24" s="87" t="s">
        <v>105</v>
      </c>
      <c r="J24" s="65"/>
      <c r="K24" s="65">
        <v>1100</v>
      </c>
      <c r="L24" s="103"/>
      <c r="M24" s="65"/>
      <c r="N24" s="1696"/>
      <c r="O24" s="502"/>
      <c r="P24" s="522"/>
      <c r="Q24" s="199"/>
      <c r="R24" s="213"/>
    </row>
    <row r="25" spans="1:19" ht="15" customHeight="1" x14ac:dyDescent="0.2">
      <c r="A25" s="2029"/>
      <c r="B25" s="2030"/>
      <c r="C25" s="2475"/>
      <c r="D25" s="2138"/>
      <c r="E25" s="2141"/>
      <c r="F25" s="549"/>
      <c r="G25" s="2034"/>
      <c r="H25" s="1262"/>
      <c r="I25" s="87" t="s">
        <v>48</v>
      </c>
      <c r="J25" s="65"/>
      <c r="K25" s="65">
        <v>162.4</v>
      </c>
      <c r="L25" s="103"/>
      <c r="M25" s="65"/>
      <c r="N25" s="1696"/>
      <c r="O25" s="502"/>
      <c r="P25" s="522"/>
      <c r="Q25" s="199"/>
      <c r="R25" s="213"/>
    </row>
    <row r="26" spans="1:19" ht="16.5" customHeight="1" x14ac:dyDescent="0.2">
      <c r="A26" s="2029"/>
      <c r="B26" s="2030"/>
      <c r="C26" s="2475"/>
      <c r="D26" s="2485"/>
      <c r="E26" s="2033"/>
      <c r="F26" s="544"/>
      <c r="G26" s="2034"/>
      <c r="H26" s="1262"/>
      <c r="I26" s="132" t="s">
        <v>62</v>
      </c>
      <c r="J26" s="1661"/>
      <c r="K26" s="1661">
        <v>100</v>
      </c>
      <c r="L26" s="155"/>
      <c r="M26" s="1661"/>
      <c r="N26" s="449"/>
      <c r="O26" s="169"/>
      <c r="P26" s="318"/>
      <c r="Q26" s="825"/>
      <c r="R26" s="319"/>
    </row>
    <row r="27" spans="1:19" ht="18.75" customHeight="1" x14ac:dyDescent="0.2">
      <c r="A27" s="1689"/>
      <c r="B27" s="1686"/>
      <c r="C27" s="390"/>
      <c r="D27" s="1749" t="s">
        <v>33</v>
      </c>
      <c r="E27" s="2045" t="s">
        <v>239</v>
      </c>
      <c r="F27" s="312" t="s">
        <v>47</v>
      </c>
      <c r="G27" s="92"/>
      <c r="H27" s="2455" t="s">
        <v>72</v>
      </c>
      <c r="I27" s="87" t="s">
        <v>25</v>
      </c>
      <c r="J27" s="65">
        <v>1</v>
      </c>
      <c r="K27" s="65"/>
      <c r="L27" s="103">
        <v>52</v>
      </c>
      <c r="M27" s="65"/>
      <c r="N27" s="2388" t="s">
        <v>163</v>
      </c>
      <c r="O27" s="1289">
        <v>1</v>
      </c>
      <c r="P27" s="1730">
        <v>1</v>
      </c>
      <c r="Q27" s="1757"/>
      <c r="R27" s="1756"/>
    </row>
    <row r="28" spans="1:19" ht="21" customHeight="1" x14ac:dyDescent="0.2">
      <c r="A28" s="1689"/>
      <c r="B28" s="1686"/>
      <c r="C28" s="390"/>
      <c r="D28" s="1676"/>
      <c r="E28" s="2100"/>
      <c r="F28" s="2105" t="s">
        <v>116</v>
      </c>
      <c r="G28" s="92"/>
      <c r="H28" s="2455"/>
      <c r="I28" s="87" t="s">
        <v>62</v>
      </c>
      <c r="J28" s="65">
        <v>1.5</v>
      </c>
      <c r="K28" s="65">
        <v>1.5</v>
      </c>
      <c r="L28" s="103"/>
      <c r="M28" s="65"/>
      <c r="N28" s="2389"/>
      <c r="O28" s="1274"/>
      <c r="P28" s="1783"/>
      <c r="Q28" s="413"/>
      <c r="R28" s="342"/>
    </row>
    <row r="29" spans="1:19" ht="29.25" customHeight="1" x14ac:dyDescent="0.2">
      <c r="A29" s="1689"/>
      <c r="B29" s="1686"/>
      <c r="C29" s="390"/>
      <c r="D29" s="1752"/>
      <c r="E29" s="2046"/>
      <c r="F29" s="2107"/>
      <c r="G29" s="92"/>
      <c r="H29" s="2455"/>
      <c r="I29" s="90"/>
      <c r="J29" s="1661"/>
      <c r="K29" s="1661"/>
      <c r="L29" s="155"/>
      <c r="M29" s="1661"/>
      <c r="N29" s="1637" t="s">
        <v>164</v>
      </c>
      <c r="O29" s="1638"/>
      <c r="P29" s="1639"/>
      <c r="Q29" s="1639">
        <v>1</v>
      </c>
      <c r="R29" s="1640"/>
    </row>
    <row r="30" spans="1:19" ht="17.25" customHeight="1" x14ac:dyDescent="0.2">
      <c r="A30" s="1689"/>
      <c r="B30" s="1686"/>
      <c r="C30" s="390"/>
      <c r="D30" s="1676" t="s">
        <v>34</v>
      </c>
      <c r="E30" s="2108" t="s">
        <v>249</v>
      </c>
      <c r="F30" s="1150" t="s">
        <v>47</v>
      </c>
      <c r="G30" s="1705"/>
      <c r="H30" s="1262"/>
      <c r="I30" s="87" t="s">
        <v>45</v>
      </c>
      <c r="J30" s="65">
        <v>31.2</v>
      </c>
      <c r="K30" s="65">
        <v>21.5</v>
      </c>
      <c r="L30" s="567"/>
      <c r="M30" s="174"/>
      <c r="N30" s="1696" t="s">
        <v>46</v>
      </c>
      <c r="O30" s="339"/>
      <c r="P30" s="1783">
        <v>1</v>
      </c>
      <c r="Q30" s="1783"/>
      <c r="R30" s="1734"/>
      <c r="S30" s="1576"/>
    </row>
    <row r="31" spans="1:19" ht="18" customHeight="1" x14ac:dyDescent="0.2">
      <c r="A31" s="1689"/>
      <c r="B31" s="1686"/>
      <c r="C31" s="389"/>
      <c r="D31" s="1752"/>
      <c r="E31" s="2102"/>
      <c r="F31" s="1152" t="s">
        <v>327</v>
      </c>
      <c r="G31" s="1705"/>
      <c r="H31" s="1262"/>
      <c r="I31" s="90"/>
      <c r="J31" s="492"/>
      <c r="K31" s="53"/>
      <c r="L31" s="568"/>
      <c r="M31" s="53"/>
      <c r="N31" s="216"/>
      <c r="O31" s="20"/>
      <c r="P31" s="49"/>
      <c r="Q31" s="49"/>
      <c r="R31" s="21"/>
    </row>
    <row r="32" spans="1:19" ht="15" customHeight="1" x14ac:dyDescent="0.2">
      <c r="A32" s="2029"/>
      <c r="B32" s="2030"/>
      <c r="C32" s="2475"/>
      <c r="D32" s="2484" t="s">
        <v>35</v>
      </c>
      <c r="E32" s="2045" t="s">
        <v>171</v>
      </c>
      <c r="F32" s="312" t="s">
        <v>47</v>
      </c>
      <c r="G32" s="2034"/>
      <c r="H32" s="1262"/>
      <c r="I32" s="87" t="s">
        <v>25</v>
      </c>
      <c r="J32" s="65"/>
      <c r="K32" s="65"/>
      <c r="L32" s="103"/>
      <c r="M32" s="65">
        <v>25</v>
      </c>
      <c r="N32" s="2382" t="s">
        <v>358</v>
      </c>
      <c r="O32" s="562"/>
      <c r="P32" s="563"/>
      <c r="Q32" s="1205"/>
      <c r="R32" s="564"/>
    </row>
    <row r="33" spans="1:19" ht="18.75" customHeight="1" x14ac:dyDescent="0.2">
      <c r="A33" s="2029"/>
      <c r="B33" s="2030"/>
      <c r="C33" s="2475"/>
      <c r="D33" s="2138"/>
      <c r="E33" s="2100"/>
      <c r="F33" s="2040" t="s">
        <v>116</v>
      </c>
      <c r="G33" s="2034"/>
      <c r="H33" s="1262"/>
      <c r="I33" s="87"/>
      <c r="J33" s="65"/>
      <c r="K33" s="65"/>
      <c r="L33" s="103"/>
      <c r="M33" s="65"/>
      <c r="N33" s="2383"/>
      <c r="O33" s="647"/>
      <c r="P33" s="648"/>
      <c r="Q33" s="648"/>
      <c r="R33" s="649"/>
    </row>
    <row r="34" spans="1:19" ht="18" customHeight="1" x14ac:dyDescent="0.2">
      <c r="A34" s="2029"/>
      <c r="B34" s="2030"/>
      <c r="C34" s="2475"/>
      <c r="D34" s="2485"/>
      <c r="E34" s="2046"/>
      <c r="F34" s="2041"/>
      <c r="G34" s="2034"/>
      <c r="H34" s="1262"/>
      <c r="I34" s="90"/>
      <c r="J34" s="1661"/>
      <c r="K34" s="492"/>
      <c r="L34" s="494"/>
      <c r="M34" s="492"/>
      <c r="N34" s="1778"/>
      <c r="O34" s="20"/>
      <c r="P34" s="49"/>
      <c r="Q34" s="167"/>
      <c r="R34" s="31"/>
    </row>
    <row r="35" spans="1:19" ht="13.5" customHeight="1" x14ac:dyDescent="0.2">
      <c r="A35" s="1689"/>
      <c r="B35" s="1686"/>
      <c r="C35" s="1750"/>
      <c r="D35" s="2484" t="s">
        <v>36</v>
      </c>
      <c r="E35" s="2101" t="s">
        <v>241</v>
      </c>
      <c r="F35" s="1717" t="s">
        <v>47</v>
      </c>
      <c r="G35" s="2034"/>
      <c r="H35" s="1262"/>
      <c r="I35" s="87" t="s">
        <v>25</v>
      </c>
      <c r="J35" s="489"/>
      <c r="K35" s="65"/>
      <c r="L35" s="103"/>
      <c r="M35" s="65">
        <v>50</v>
      </c>
      <c r="N35" s="1696" t="s">
        <v>166</v>
      </c>
      <c r="O35" s="1755"/>
      <c r="P35" s="1755"/>
      <c r="Q35" s="321"/>
      <c r="R35" s="1734">
        <v>1</v>
      </c>
    </row>
    <row r="36" spans="1:19" ht="9.75" customHeight="1" x14ac:dyDescent="0.2">
      <c r="A36" s="1689"/>
      <c r="B36" s="1686"/>
      <c r="C36" s="1750"/>
      <c r="D36" s="2485"/>
      <c r="E36" s="2102"/>
      <c r="F36" s="1718"/>
      <c r="G36" s="2514"/>
      <c r="H36" s="1556"/>
      <c r="I36" s="90"/>
      <c r="J36" s="492"/>
      <c r="K36" s="1661"/>
      <c r="L36" s="155"/>
      <c r="M36" s="1661"/>
      <c r="N36" s="1771"/>
      <c r="O36" s="20"/>
      <c r="P36" s="20"/>
      <c r="Q36" s="322"/>
      <c r="R36" s="21"/>
    </row>
    <row r="37" spans="1:19" ht="17.25" customHeight="1" thickBot="1" x14ac:dyDescent="0.25">
      <c r="A37" s="72"/>
      <c r="B37" s="1702"/>
      <c r="C37" s="189"/>
      <c r="D37" s="283"/>
      <c r="E37" s="396"/>
      <c r="F37" s="397"/>
      <c r="G37" s="189"/>
      <c r="H37" s="367"/>
      <c r="I37" s="212" t="s">
        <v>6</v>
      </c>
      <c r="J37" s="141">
        <f>SUM(J13:J36)</f>
        <v>895.4</v>
      </c>
      <c r="K37" s="141">
        <f t="shared" ref="K37:M37" si="0">SUM(K13:K36)</f>
        <v>2780.8</v>
      </c>
      <c r="L37" s="141">
        <f t="shared" si="0"/>
        <v>1083</v>
      </c>
      <c r="M37" s="141">
        <f t="shared" si="0"/>
        <v>2034.4</v>
      </c>
      <c r="N37" s="398"/>
      <c r="O37" s="386"/>
      <c r="P37" s="387"/>
      <c r="Q37" s="387"/>
      <c r="R37" s="388"/>
    </row>
    <row r="38" spans="1:19" ht="32.25" customHeight="1" x14ac:dyDescent="0.2">
      <c r="A38" s="1699" t="s">
        <v>5</v>
      </c>
      <c r="B38" s="1701" t="s">
        <v>5</v>
      </c>
      <c r="C38" s="384" t="s">
        <v>7</v>
      </c>
      <c r="D38" s="195"/>
      <c r="E38" s="108" t="s">
        <v>50</v>
      </c>
      <c r="F38" s="111" t="s">
        <v>92</v>
      </c>
      <c r="G38" s="121" t="s">
        <v>43</v>
      </c>
      <c r="H38" s="214"/>
      <c r="I38" s="75"/>
      <c r="J38" s="496"/>
      <c r="K38" s="496"/>
      <c r="L38" s="495"/>
      <c r="M38" s="496"/>
      <c r="N38" s="69"/>
      <c r="O38" s="28"/>
      <c r="P38" s="28"/>
      <c r="Q38" s="799"/>
      <c r="R38" s="1044"/>
    </row>
    <row r="39" spans="1:19" ht="16.5" customHeight="1" x14ac:dyDescent="0.2">
      <c r="A39" s="2044"/>
      <c r="B39" s="2030"/>
      <c r="C39" s="2475"/>
      <c r="D39" s="1676" t="s">
        <v>5</v>
      </c>
      <c r="E39" s="2100" t="s">
        <v>237</v>
      </c>
      <c r="F39" s="1715" t="s">
        <v>47</v>
      </c>
      <c r="G39" s="2031"/>
      <c r="H39" s="2455" t="s">
        <v>72</v>
      </c>
      <c r="I39" s="91" t="s">
        <v>105</v>
      </c>
      <c r="J39" s="1660">
        <v>100</v>
      </c>
      <c r="K39" s="1660">
        <v>200</v>
      </c>
      <c r="L39" s="128">
        <v>696.4</v>
      </c>
      <c r="M39" s="1660">
        <v>600</v>
      </c>
      <c r="N39" s="2388" t="s">
        <v>174</v>
      </c>
      <c r="O39" s="1631"/>
      <c r="P39" s="1631">
        <v>1</v>
      </c>
      <c r="Q39" s="1632"/>
      <c r="R39" s="1633"/>
    </row>
    <row r="40" spans="1:19" ht="23.25" customHeight="1" x14ac:dyDescent="0.2">
      <c r="A40" s="2044"/>
      <c r="B40" s="2030"/>
      <c r="C40" s="2475"/>
      <c r="D40" s="1676"/>
      <c r="E40" s="2100"/>
      <c r="F40" s="1715"/>
      <c r="G40" s="2031"/>
      <c r="H40" s="2455"/>
      <c r="I40" s="87" t="s">
        <v>25</v>
      </c>
      <c r="J40" s="65">
        <f>1000-366.6</f>
        <v>633.4</v>
      </c>
      <c r="K40" s="65">
        <v>500</v>
      </c>
      <c r="L40" s="103">
        <v>103.6</v>
      </c>
      <c r="M40" s="65">
        <v>200</v>
      </c>
      <c r="N40" s="2390"/>
      <c r="O40" s="758"/>
      <c r="P40" s="758"/>
      <c r="Q40" s="792"/>
      <c r="R40" s="1148"/>
    </row>
    <row r="41" spans="1:19" ht="39.75" customHeight="1" x14ac:dyDescent="0.2">
      <c r="A41" s="2044"/>
      <c r="B41" s="2030"/>
      <c r="C41" s="2475"/>
      <c r="D41" s="1687"/>
      <c r="E41" s="2100"/>
      <c r="F41" s="1715"/>
      <c r="G41" s="2031"/>
      <c r="H41" s="2455"/>
      <c r="I41" s="87" t="s">
        <v>104</v>
      </c>
      <c r="J41" s="65">
        <v>366.6</v>
      </c>
      <c r="K41" s="65"/>
      <c r="L41" s="103"/>
      <c r="M41" s="65"/>
      <c r="N41" s="30" t="s">
        <v>217</v>
      </c>
      <c r="O41" s="50">
        <v>85</v>
      </c>
      <c r="P41" s="50">
        <v>100</v>
      </c>
      <c r="Q41" s="793"/>
      <c r="R41" s="107"/>
    </row>
    <row r="42" spans="1:19" ht="28.5" customHeight="1" x14ac:dyDescent="0.2">
      <c r="A42" s="2044"/>
      <c r="B42" s="2030"/>
      <c r="C42" s="2475"/>
      <c r="D42" s="1687"/>
      <c r="E42" s="2100"/>
      <c r="F42" s="1715"/>
      <c r="G42" s="2031"/>
      <c r="H42" s="2455"/>
      <c r="I42" s="1"/>
      <c r="J42" s="1630"/>
      <c r="K42" s="65"/>
      <c r="L42" s="103"/>
      <c r="M42" s="65"/>
      <c r="N42" s="30" t="s">
        <v>218</v>
      </c>
      <c r="O42" s="50"/>
      <c r="P42" s="50">
        <v>80</v>
      </c>
      <c r="Q42" s="793">
        <v>100</v>
      </c>
      <c r="R42" s="107"/>
    </row>
    <row r="43" spans="1:19" ht="54" customHeight="1" x14ac:dyDescent="0.2">
      <c r="A43" s="2044"/>
      <c r="B43" s="2030"/>
      <c r="C43" s="2475"/>
      <c r="D43" s="1687"/>
      <c r="E43" s="2100"/>
      <c r="F43" s="1718"/>
      <c r="G43" s="2031"/>
      <c r="H43" s="2455"/>
      <c r="I43" s="87"/>
      <c r="J43" s="65"/>
      <c r="K43" s="65"/>
      <c r="L43" s="103"/>
      <c r="M43" s="65"/>
      <c r="N43" s="30" t="s">
        <v>219</v>
      </c>
      <c r="O43" s="50"/>
      <c r="P43" s="50"/>
      <c r="Q43" s="793"/>
      <c r="R43" s="107">
        <v>50</v>
      </c>
    </row>
    <row r="44" spans="1:19" ht="18.75" customHeight="1" x14ac:dyDescent="0.2">
      <c r="A44" s="2044"/>
      <c r="B44" s="2030"/>
      <c r="C44" s="2475"/>
      <c r="D44" s="2484" t="s">
        <v>7</v>
      </c>
      <c r="E44" s="2045" t="s">
        <v>59</v>
      </c>
      <c r="F44" s="1763" t="s">
        <v>47</v>
      </c>
      <c r="G44" s="2034"/>
      <c r="H44" s="124"/>
      <c r="I44" s="91" t="s">
        <v>450</v>
      </c>
      <c r="J44" s="1660">
        <v>0</v>
      </c>
      <c r="K44" s="1660"/>
      <c r="L44" s="128">
        <v>1200</v>
      </c>
      <c r="M44" s="1660">
        <v>1400</v>
      </c>
      <c r="N44" s="2382" t="s">
        <v>168</v>
      </c>
      <c r="O44" s="1744"/>
      <c r="P44" s="1739">
        <v>30</v>
      </c>
      <c r="Q44" s="794">
        <v>60</v>
      </c>
      <c r="R44" s="1756">
        <v>80</v>
      </c>
    </row>
    <row r="45" spans="1:19" ht="12.75" customHeight="1" x14ac:dyDescent="0.2">
      <c r="A45" s="2044"/>
      <c r="B45" s="2030"/>
      <c r="C45" s="2475"/>
      <c r="D45" s="2138"/>
      <c r="E45" s="2100"/>
      <c r="F45" s="1687"/>
      <c r="G45" s="2034"/>
      <c r="H45" s="124"/>
      <c r="I45" s="87" t="s">
        <v>25</v>
      </c>
      <c r="J45" s="65">
        <f>100-87.4</f>
        <v>12.6</v>
      </c>
      <c r="K45" s="65">
        <v>50</v>
      </c>
      <c r="L45" s="103">
        <v>1161.3</v>
      </c>
      <c r="M45" s="65">
        <v>1100</v>
      </c>
      <c r="N45" s="2389"/>
      <c r="O45" s="1191"/>
      <c r="P45" s="1191"/>
      <c r="Q45" s="801"/>
      <c r="R45" s="342"/>
    </row>
    <row r="46" spans="1:19" ht="9.75" customHeight="1" x14ac:dyDescent="0.2">
      <c r="A46" s="2044"/>
      <c r="B46" s="2030"/>
      <c r="C46" s="2475"/>
      <c r="D46" s="2485"/>
      <c r="E46" s="2046"/>
      <c r="F46" s="1777"/>
      <c r="G46" s="2034"/>
      <c r="H46" s="124"/>
      <c r="I46" s="132"/>
      <c r="J46" s="1661"/>
      <c r="K46" s="1661"/>
      <c r="L46" s="155"/>
      <c r="M46" s="1661"/>
      <c r="N46" s="262"/>
      <c r="O46" s="1740"/>
      <c r="P46" s="1740"/>
      <c r="Q46" s="795"/>
      <c r="R46" s="31"/>
    </row>
    <row r="47" spans="1:19" ht="17.25" customHeight="1" x14ac:dyDescent="0.2">
      <c r="A47" s="1689"/>
      <c r="B47" s="1686"/>
      <c r="C47" s="393"/>
      <c r="D47" s="1676" t="s">
        <v>28</v>
      </c>
      <c r="E47" s="2032" t="s">
        <v>232</v>
      </c>
      <c r="F47" s="1725" t="s">
        <v>47</v>
      </c>
      <c r="G47" s="1726"/>
      <c r="H47" s="1776"/>
      <c r="I47" s="407" t="s">
        <v>25</v>
      </c>
      <c r="J47" s="1660"/>
      <c r="K47" s="1668">
        <v>30</v>
      </c>
      <c r="L47" s="1669">
        <v>70</v>
      </c>
      <c r="M47" s="1660"/>
      <c r="N47" s="1782" t="s">
        <v>46</v>
      </c>
      <c r="O47" s="1287"/>
      <c r="P47" s="478"/>
      <c r="Q47" s="321">
        <v>1</v>
      </c>
      <c r="R47" s="1761"/>
      <c r="S47" s="929" t="s">
        <v>459</v>
      </c>
    </row>
    <row r="48" spans="1:19" ht="17.25" customHeight="1" x14ac:dyDescent="0.2">
      <c r="A48" s="1689"/>
      <c r="B48" s="1686"/>
      <c r="C48" s="393"/>
      <c r="D48" s="1676"/>
      <c r="E48" s="2114"/>
      <c r="F48" s="1725"/>
      <c r="G48" s="1726"/>
      <c r="H48" s="1776"/>
      <c r="I48" s="1039"/>
      <c r="J48" s="1661"/>
      <c r="K48" s="1661"/>
      <c r="L48" s="155"/>
      <c r="M48" s="1661"/>
      <c r="N48" s="1778" t="s">
        <v>255</v>
      </c>
      <c r="O48" s="1288">
        <v>1</v>
      </c>
      <c r="P48" s="484"/>
      <c r="Q48" s="322"/>
      <c r="R48" s="21"/>
    </row>
    <row r="49" spans="1:19" ht="16.5" customHeight="1" x14ac:dyDescent="0.2">
      <c r="A49" s="1689"/>
      <c r="B49" s="1686"/>
      <c r="C49" s="393"/>
      <c r="D49" s="2484" t="s">
        <v>33</v>
      </c>
      <c r="E49" s="2045" t="s">
        <v>426</v>
      </c>
      <c r="F49" s="2115"/>
      <c r="G49" s="2291"/>
      <c r="H49" s="2483"/>
      <c r="I49" s="87" t="s">
        <v>25</v>
      </c>
      <c r="J49" s="67"/>
      <c r="K49" s="67">
        <v>10</v>
      </c>
      <c r="L49" s="355"/>
      <c r="M49" s="67"/>
      <c r="N49" s="1259" t="s">
        <v>356</v>
      </c>
      <c r="O49" s="483"/>
      <c r="P49" s="465">
        <v>1</v>
      </c>
      <c r="Q49" s="1738"/>
      <c r="R49" s="1761"/>
      <c r="S49" s="929" t="s">
        <v>371</v>
      </c>
    </row>
    <row r="50" spans="1:19" ht="27" customHeight="1" x14ac:dyDescent="0.2">
      <c r="A50" s="1689"/>
      <c r="B50" s="1686"/>
      <c r="C50" s="393"/>
      <c r="D50" s="2138"/>
      <c r="E50" s="2100"/>
      <c r="F50" s="2116"/>
      <c r="G50" s="2291"/>
      <c r="H50" s="2517"/>
      <c r="I50" s="1039"/>
      <c r="J50" s="1661"/>
      <c r="K50" s="1661"/>
      <c r="L50" s="155"/>
      <c r="M50" s="1661"/>
      <c r="N50" s="19"/>
      <c r="O50" s="1272"/>
      <c r="P50" s="484"/>
      <c r="Q50" s="322"/>
      <c r="R50" s="21"/>
    </row>
    <row r="51" spans="1:19" ht="17.25" customHeight="1" x14ac:dyDescent="0.2">
      <c r="A51" s="1689"/>
      <c r="B51" s="1686"/>
      <c r="C51" s="393"/>
      <c r="D51" s="2484" t="s">
        <v>34</v>
      </c>
      <c r="E51" s="2045" t="s">
        <v>242</v>
      </c>
      <c r="F51" s="2115" t="s">
        <v>47</v>
      </c>
      <c r="G51" s="2291"/>
      <c r="H51" s="2483"/>
      <c r="I51" s="91" t="s">
        <v>62</v>
      </c>
      <c r="J51" s="1656">
        <v>5.9</v>
      </c>
      <c r="K51" s="1656">
        <v>0.8</v>
      </c>
      <c r="L51" s="400"/>
      <c r="M51" s="1656"/>
      <c r="N51" s="1745" t="s">
        <v>97</v>
      </c>
      <c r="O51" s="1286">
        <v>1</v>
      </c>
      <c r="P51" s="465">
        <v>1</v>
      </c>
      <c r="Q51" s="1738"/>
      <c r="R51" s="1761"/>
    </row>
    <row r="52" spans="1:19" ht="21.75" customHeight="1" x14ac:dyDescent="0.2">
      <c r="A52" s="1689"/>
      <c r="B52" s="1686"/>
      <c r="C52" s="393"/>
      <c r="D52" s="2485"/>
      <c r="E52" s="2100"/>
      <c r="F52" s="2313"/>
      <c r="G52" s="2291"/>
      <c r="H52" s="2483"/>
      <c r="I52" s="90" t="s">
        <v>25</v>
      </c>
      <c r="J52" s="1657">
        <v>6.2</v>
      </c>
      <c r="K52" s="1634"/>
      <c r="L52" s="971"/>
      <c r="M52" s="1634"/>
      <c r="N52" s="19"/>
      <c r="O52" s="521"/>
      <c r="P52" s="484"/>
      <c r="Q52" s="322"/>
      <c r="R52" s="21"/>
    </row>
    <row r="53" spans="1:19" ht="16.5" customHeight="1" x14ac:dyDescent="0.2">
      <c r="A53" s="1689"/>
      <c r="B53" s="1686"/>
      <c r="C53" s="393"/>
      <c r="D53" s="2484" t="s">
        <v>35</v>
      </c>
      <c r="E53" s="2045" t="s">
        <v>226</v>
      </c>
      <c r="F53" s="2115" t="s">
        <v>47</v>
      </c>
      <c r="G53" s="2291"/>
      <c r="H53" s="2483"/>
      <c r="I53" s="87" t="s">
        <v>45</v>
      </c>
      <c r="J53" s="67"/>
      <c r="K53" s="67"/>
      <c r="L53" s="355">
        <v>95</v>
      </c>
      <c r="M53" s="67"/>
      <c r="N53" s="1258" t="s">
        <v>97</v>
      </c>
      <c r="O53" s="476"/>
      <c r="P53" s="478"/>
      <c r="Q53" s="321">
        <v>1</v>
      </c>
      <c r="R53" s="1734"/>
    </row>
    <row r="54" spans="1:19" ht="17.25" customHeight="1" x14ac:dyDescent="0.2">
      <c r="A54" s="1689"/>
      <c r="B54" s="1686"/>
      <c r="C54" s="393"/>
      <c r="D54" s="2138"/>
      <c r="E54" s="2100"/>
      <c r="F54" s="2116"/>
      <c r="G54" s="2291"/>
      <c r="H54" s="2517"/>
      <c r="I54" s="1039"/>
      <c r="J54" s="1661"/>
      <c r="K54" s="1661"/>
      <c r="L54" s="155"/>
      <c r="M54" s="1661"/>
      <c r="N54" s="19"/>
      <c r="O54" s="1272"/>
      <c r="P54" s="484"/>
      <c r="Q54" s="322"/>
      <c r="R54" s="21"/>
    </row>
    <row r="55" spans="1:19" ht="16.5" customHeight="1" thickBot="1" x14ac:dyDescent="0.25">
      <c r="A55" s="72"/>
      <c r="B55" s="1702"/>
      <c r="C55" s="189"/>
      <c r="D55" s="283"/>
      <c r="E55" s="381"/>
      <c r="F55" s="382"/>
      <c r="G55" s="283"/>
      <c r="H55" s="220"/>
      <c r="I55" s="186" t="s">
        <v>6</v>
      </c>
      <c r="J55" s="93">
        <f>SUM(J39:J52)</f>
        <v>1124.7</v>
      </c>
      <c r="K55" s="93">
        <f>SUM(K39:K52)</f>
        <v>790.8</v>
      </c>
      <c r="L55" s="93">
        <f>SUM(L39:L54)</f>
        <v>3326.3</v>
      </c>
      <c r="M55" s="93">
        <f>SUM(M39:M54)</f>
        <v>3300</v>
      </c>
      <c r="N55" s="385"/>
      <c r="O55" s="386"/>
      <c r="P55" s="387"/>
      <c r="Q55" s="387"/>
      <c r="R55" s="388"/>
    </row>
    <row r="56" spans="1:19" ht="36" customHeight="1" x14ac:dyDescent="0.2">
      <c r="A56" s="1689" t="s">
        <v>5</v>
      </c>
      <c r="B56" s="1712" t="s">
        <v>5</v>
      </c>
      <c r="C56" s="1750" t="s">
        <v>28</v>
      </c>
      <c r="D56" s="232"/>
      <c r="E56" s="234" t="s">
        <v>100</v>
      </c>
      <c r="F56" s="1723" t="s">
        <v>94</v>
      </c>
      <c r="G56" s="1678" t="s">
        <v>43</v>
      </c>
      <c r="H56" s="235"/>
      <c r="I56" s="528"/>
      <c r="J56" s="527"/>
      <c r="K56" s="565"/>
      <c r="L56" s="233"/>
      <c r="M56" s="527"/>
      <c r="N56" s="1697"/>
      <c r="O56" s="7"/>
      <c r="P56" s="55"/>
      <c r="Q56" s="168"/>
      <c r="R56" s="320"/>
    </row>
    <row r="57" spans="1:19" ht="14.1" customHeight="1" x14ac:dyDescent="0.2">
      <c r="A57" s="2029"/>
      <c r="B57" s="2111"/>
      <c r="C57" s="2475"/>
      <c r="D57" s="2396" t="s">
        <v>5</v>
      </c>
      <c r="E57" s="2032" t="s">
        <v>427</v>
      </c>
      <c r="F57" s="2112" t="s">
        <v>47</v>
      </c>
      <c r="G57" s="2396"/>
      <c r="H57" s="2482" t="s">
        <v>73</v>
      </c>
      <c r="I57" s="91" t="s">
        <v>105</v>
      </c>
      <c r="J57" s="1656">
        <f>860-300-300</f>
        <v>260</v>
      </c>
      <c r="K57" s="1656">
        <v>755.4</v>
      </c>
      <c r="L57" s="128">
        <v>211.8</v>
      </c>
      <c r="M57" s="1660"/>
      <c r="N57" s="2382"/>
      <c r="O57" s="1731"/>
      <c r="P57" s="1730"/>
      <c r="Q57" s="1730"/>
      <c r="R57" s="1761"/>
    </row>
    <row r="58" spans="1:19" ht="14.1" customHeight="1" x14ac:dyDescent="0.2">
      <c r="A58" s="2029"/>
      <c r="B58" s="2111"/>
      <c r="C58" s="2475"/>
      <c r="D58" s="2031"/>
      <c r="E58" s="2039"/>
      <c r="F58" s="2109"/>
      <c r="G58" s="2031"/>
      <c r="H58" s="2516"/>
      <c r="I58" s="87" t="s">
        <v>25</v>
      </c>
      <c r="J58" s="67">
        <f>618.4-420</f>
        <v>198.4</v>
      </c>
      <c r="K58" s="67">
        <v>875.5</v>
      </c>
      <c r="L58" s="355">
        <v>374</v>
      </c>
      <c r="M58" s="67"/>
      <c r="N58" s="2389"/>
      <c r="O58" s="1783"/>
      <c r="P58" s="1783"/>
      <c r="Q58" s="1783"/>
      <c r="R58" s="1734"/>
    </row>
    <row r="59" spans="1:19" ht="14.1" customHeight="1" x14ac:dyDescent="0.2">
      <c r="A59" s="2029"/>
      <c r="B59" s="2111"/>
      <c r="C59" s="2475"/>
      <c r="D59" s="2031"/>
      <c r="E59" s="2098"/>
      <c r="F59" s="2109"/>
      <c r="G59" s="2031"/>
      <c r="H59" s="2516"/>
      <c r="I59" s="87" t="s">
        <v>309</v>
      </c>
      <c r="J59" s="65">
        <v>984.5</v>
      </c>
      <c r="K59" s="65">
        <v>873.3</v>
      </c>
      <c r="L59" s="103">
        <v>122.8</v>
      </c>
      <c r="M59" s="65"/>
      <c r="N59" s="1722"/>
      <c r="O59" s="1783"/>
      <c r="P59" s="1783"/>
      <c r="Q59" s="1783"/>
      <c r="R59" s="1734"/>
    </row>
    <row r="60" spans="1:19" ht="14.1" customHeight="1" x14ac:dyDescent="0.2">
      <c r="A60" s="2029"/>
      <c r="B60" s="2111"/>
      <c r="C60" s="2475"/>
      <c r="D60" s="2031"/>
      <c r="E60" s="1724"/>
      <c r="F60" s="2109"/>
      <c r="G60" s="2031"/>
      <c r="H60" s="2516"/>
      <c r="I60" s="87" t="s">
        <v>48</v>
      </c>
      <c r="J60" s="65">
        <f>300-182.4</f>
        <v>117.6</v>
      </c>
      <c r="K60" s="65">
        <v>200</v>
      </c>
      <c r="L60" s="103"/>
      <c r="M60" s="65"/>
      <c r="N60" s="1722"/>
      <c r="O60" s="1783"/>
      <c r="P60" s="1783"/>
      <c r="Q60" s="1783"/>
      <c r="R60" s="1734"/>
    </row>
    <row r="61" spans="1:19" ht="14.1" customHeight="1" x14ac:dyDescent="0.2">
      <c r="A61" s="2029"/>
      <c r="B61" s="2111"/>
      <c r="C61" s="2475"/>
      <c r="D61" s="2031"/>
      <c r="E61" s="1724"/>
      <c r="F61" s="2109"/>
      <c r="G61" s="2031"/>
      <c r="H61" s="2516"/>
      <c r="I61" s="87" t="s">
        <v>45</v>
      </c>
      <c r="J61" s="65"/>
      <c r="K61" s="65">
        <v>104.9</v>
      </c>
      <c r="L61" s="103"/>
      <c r="M61" s="65"/>
      <c r="N61" s="1722"/>
      <c r="O61" s="1783"/>
      <c r="P61" s="1783"/>
      <c r="Q61" s="1783"/>
      <c r="R61" s="1734"/>
    </row>
    <row r="62" spans="1:19" ht="14.1" customHeight="1" x14ac:dyDescent="0.2">
      <c r="A62" s="2029"/>
      <c r="B62" s="2111"/>
      <c r="C62" s="2475"/>
      <c r="D62" s="2031"/>
      <c r="E62" s="1724"/>
      <c r="F62" s="2109"/>
      <c r="G62" s="2031"/>
      <c r="H62" s="2516"/>
      <c r="I62" s="87" t="s">
        <v>62</v>
      </c>
      <c r="J62" s="65">
        <f>420-260</f>
        <v>160</v>
      </c>
      <c r="K62" s="65">
        <v>148.4</v>
      </c>
      <c r="L62" s="103"/>
      <c r="M62" s="65"/>
      <c r="N62" s="1722"/>
      <c r="O62" s="1783"/>
      <c r="P62" s="1783"/>
      <c r="Q62" s="1783"/>
      <c r="R62" s="1734"/>
    </row>
    <row r="63" spans="1:19" ht="25.5" customHeight="1" x14ac:dyDescent="0.2">
      <c r="A63" s="2029"/>
      <c r="B63" s="2111"/>
      <c r="C63" s="2475"/>
      <c r="D63" s="2031"/>
      <c r="E63" s="524" t="s">
        <v>172</v>
      </c>
      <c r="F63" s="2109"/>
      <c r="G63" s="2031"/>
      <c r="H63" s="2516"/>
      <c r="I63" s="140"/>
      <c r="J63" s="62"/>
      <c r="K63" s="62"/>
      <c r="L63" s="196"/>
      <c r="M63" s="62"/>
      <c r="N63" s="89" t="s">
        <v>220</v>
      </c>
      <c r="O63" s="25">
        <v>80</v>
      </c>
      <c r="P63" s="171">
        <v>100</v>
      </c>
      <c r="Q63" s="171"/>
      <c r="R63" s="26"/>
    </row>
    <row r="64" spans="1:19" ht="40.5" customHeight="1" x14ac:dyDescent="0.2">
      <c r="A64" s="2029"/>
      <c r="B64" s="2111"/>
      <c r="C64" s="2475"/>
      <c r="D64" s="2031"/>
      <c r="E64" s="1685" t="s">
        <v>136</v>
      </c>
      <c r="F64" s="2110"/>
      <c r="G64" s="2397"/>
      <c r="H64" s="313"/>
      <c r="I64" s="90"/>
      <c r="J64" s="1661"/>
      <c r="K64" s="1661"/>
      <c r="L64" s="155"/>
      <c r="M64" s="1661"/>
      <c r="N64" s="525" t="s">
        <v>221</v>
      </c>
      <c r="O64" s="20"/>
      <c r="P64" s="49">
        <v>80</v>
      </c>
      <c r="Q64" s="49">
        <v>100</v>
      </c>
      <c r="R64" s="21"/>
    </row>
    <row r="65" spans="1:18" ht="15" customHeight="1" x14ac:dyDescent="0.2">
      <c r="A65" s="1689"/>
      <c r="B65" s="1712"/>
      <c r="C65" s="436"/>
      <c r="D65" s="2484" t="s">
        <v>7</v>
      </c>
      <c r="E65" s="2032" t="s">
        <v>428</v>
      </c>
      <c r="F65" s="1742" t="s">
        <v>47</v>
      </c>
      <c r="G65" s="2291"/>
      <c r="H65" s="2515" t="s">
        <v>412</v>
      </c>
      <c r="I65" s="87" t="s">
        <v>105</v>
      </c>
      <c r="J65" s="65"/>
      <c r="K65" s="65"/>
      <c r="L65" s="103">
        <v>500</v>
      </c>
      <c r="M65" s="1660">
        <v>400</v>
      </c>
      <c r="N65" s="1684" t="s">
        <v>46</v>
      </c>
      <c r="O65" s="465">
        <v>1</v>
      </c>
      <c r="P65" s="465">
        <v>1</v>
      </c>
      <c r="Q65" s="796"/>
      <c r="R65" s="1045"/>
    </row>
    <row r="66" spans="1:18" ht="15" customHeight="1" x14ac:dyDescent="0.2">
      <c r="A66" s="1689"/>
      <c r="B66" s="1712"/>
      <c r="C66" s="436"/>
      <c r="D66" s="2138"/>
      <c r="E66" s="2141"/>
      <c r="F66" s="574"/>
      <c r="G66" s="2291"/>
      <c r="H66" s="2300"/>
      <c r="I66" s="87" t="s">
        <v>62</v>
      </c>
      <c r="J66" s="65"/>
      <c r="K66" s="65">
        <v>11.8</v>
      </c>
      <c r="L66" s="103"/>
      <c r="M66" s="65"/>
      <c r="N66" s="1696" t="s">
        <v>167</v>
      </c>
      <c r="O66" s="478"/>
      <c r="P66" s="478"/>
      <c r="Q66" s="485">
        <v>30</v>
      </c>
      <c r="R66" s="652">
        <v>60</v>
      </c>
    </row>
    <row r="67" spans="1:18" ht="15" customHeight="1" x14ac:dyDescent="0.2">
      <c r="A67" s="1689"/>
      <c r="B67" s="1712"/>
      <c r="C67" s="436"/>
      <c r="D67" s="2138"/>
      <c r="E67" s="2141"/>
      <c r="F67" s="574"/>
      <c r="G67" s="2291"/>
      <c r="H67" s="2300"/>
      <c r="I67" s="87" t="s">
        <v>25</v>
      </c>
      <c r="J67" s="65">
        <v>26</v>
      </c>
      <c r="K67" s="65"/>
      <c r="L67" s="103"/>
      <c r="M67" s="65">
        <v>100</v>
      </c>
      <c r="N67" s="1696"/>
      <c r="O67" s="478"/>
      <c r="P67" s="478"/>
      <c r="Q67" s="485"/>
      <c r="R67" s="652"/>
    </row>
    <row r="68" spans="1:18" ht="21" customHeight="1" x14ac:dyDescent="0.2">
      <c r="A68" s="1689"/>
      <c r="B68" s="1712"/>
      <c r="C68" s="436"/>
      <c r="D68" s="2138"/>
      <c r="E68" s="2387"/>
      <c r="F68" s="1741"/>
      <c r="G68" s="2291"/>
      <c r="H68" s="2300"/>
      <c r="I68" s="132" t="s">
        <v>45</v>
      </c>
      <c r="J68" s="1661">
        <v>40</v>
      </c>
      <c r="K68" s="1661"/>
      <c r="L68" s="155">
        <v>40</v>
      </c>
      <c r="M68" s="1661"/>
      <c r="N68" s="1771"/>
      <c r="O68" s="484"/>
      <c r="P68" s="484"/>
      <c r="Q68" s="570"/>
      <c r="R68" s="501"/>
    </row>
    <row r="69" spans="1:18" ht="21.75" customHeight="1" x14ac:dyDescent="0.2">
      <c r="A69" s="1689"/>
      <c r="B69" s="1712"/>
      <c r="C69" s="436"/>
      <c r="D69" s="2484" t="s">
        <v>28</v>
      </c>
      <c r="E69" s="2045" t="s">
        <v>414</v>
      </c>
      <c r="F69" s="2116" t="s">
        <v>47</v>
      </c>
      <c r="G69" s="2291"/>
      <c r="H69" s="1635"/>
      <c r="I69" s="350" t="s">
        <v>62</v>
      </c>
      <c r="J69" s="65">
        <v>263</v>
      </c>
      <c r="K69" s="65">
        <v>100</v>
      </c>
      <c r="L69" s="103"/>
      <c r="M69" s="65"/>
      <c r="N69" s="2382" t="s">
        <v>46</v>
      </c>
      <c r="O69" s="1371">
        <v>1</v>
      </c>
      <c r="P69" s="1755">
        <v>1</v>
      </c>
      <c r="Q69" s="321"/>
      <c r="R69" s="1734"/>
    </row>
    <row r="70" spans="1:18" ht="17.25" customHeight="1" x14ac:dyDescent="0.2">
      <c r="A70" s="1689"/>
      <c r="B70" s="1712"/>
      <c r="C70" s="436"/>
      <c r="D70" s="2485"/>
      <c r="E70" s="2046"/>
      <c r="F70" s="2313"/>
      <c r="G70" s="2291"/>
      <c r="H70" s="1636"/>
      <c r="I70" s="132"/>
      <c r="J70" s="1661"/>
      <c r="K70" s="1661"/>
      <c r="L70" s="155"/>
      <c r="M70" s="1661"/>
      <c r="N70" s="2407"/>
      <c r="O70" s="20"/>
      <c r="P70" s="20"/>
      <c r="Q70" s="322"/>
      <c r="R70" s="21"/>
    </row>
    <row r="71" spans="1:18" ht="18" customHeight="1" x14ac:dyDescent="0.2">
      <c r="A71" s="1689"/>
      <c r="B71" s="1712"/>
      <c r="C71" s="436"/>
      <c r="D71" s="2484"/>
      <c r="E71" s="2509" t="s">
        <v>60</v>
      </c>
      <c r="F71" s="2538" t="s">
        <v>47</v>
      </c>
      <c r="G71" s="2540"/>
      <c r="H71" s="2487"/>
      <c r="I71" s="1283" t="s">
        <v>25</v>
      </c>
      <c r="J71" s="1290"/>
      <c r="K71" s="1290"/>
      <c r="L71" s="1291"/>
      <c r="M71" s="1290"/>
      <c r="N71" s="1292" t="s">
        <v>46</v>
      </c>
      <c r="O71" s="1731"/>
      <c r="P71" s="1731"/>
      <c r="Q71" s="1738"/>
      <c r="R71" s="1761"/>
    </row>
    <row r="72" spans="1:18" ht="16.5" customHeight="1" x14ac:dyDescent="0.2">
      <c r="A72" s="1689"/>
      <c r="B72" s="1712"/>
      <c r="C72" s="436"/>
      <c r="D72" s="2485"/>
      <c r="E72" s="2537"/>
      <c r="F72" s="2539"/>
      <c r="G72" s="2540"/>
      <c r="H72" s="2541"/>
      <c r="I72" s="1293"/>
      <c r="J72" s="1294"/>
      <c r="K72" s="1294"/>
      <c r="L72" s="1295"/>
      <c r="M72" s="1294"/>
      <c r="N72" s="449"/>
      <c r="O72" s="1698"/>
      <c r="P72" s="1698"/>
      <c r="Q72" s="798"/>
      <c r="R72" s="1711"/>
    </row>
    <row r="73" spans="1:18" ht="16.5" customHeight="1" thickBot="1" x14ac:dyDescent="0.25">
      <c r="A73" s="72"/>
      <c r="B73" s="1702"/>
      <c r="C73" s="189"/>
      <c r="D73" s="283"/>
      <c r="E73" s="381"/>
      <c r="F73" s="382"/>
      <c r="G73" s="283"/>
      <c r="H73" s="220"/>
      <c r="I73" s="186" t="s">
        <v>6</v>
      </c>
      <c r="J73" s="141">
        <f>SUM(J57:J71)</f>
        <v>2049.5</v>
      </c>
      <c r="K73" s="93">
        <f>SUM(K57:K70)</f>
        <v>3069.3</v>
      </c>
      <c r="L73" s="93">
        <f>SUM(L57:L70)</f>
        <v>1248.5999999999999</v>
      </c>
      <c r="M73" s="93">
        <f>SUM(M57:M70)</f>
        <v>500</v>
      </c>
      <c r="N73" s="385"/>
      <c r="O73" s="386"/>
      <c r="P73" s="387"/>
      <c r="Q73" s="387"/>
      <c r="R73" s="388"/>
    </row>
    <row r="74" spans="1:18" ht="33" customHeight="1" x14ac:dyDescent="0.2">
      <c r="A74" s="1699" t="s">
        <v>5</v>
      </c>
      <c r="B74" s="279" t="s">
        <v>5</v>
      </c>
      <c r="C74" s="384" t="s">
        <v>33</v>
      </c>
      <c r="D74" s="101"/>
      <c r="E74" s="108" t="s">
        <v>51</v>
      </c>
      <c r="F74" s="112" t="s">
        <v>91</v>
      </c>
      <c r="G74" s="122" t="s">
        <v>43</v>
      </c>
      <c r="H74" s="236"/>
      <c r="I74" s="75"/>
      <c r="J74" s="73"/>
      <c r="K74" s="73"/>
      <c r="L74" s="405"/>
      <c r="M74" s="73"/>
      <c r="N74" s="76"/>
      <c r="O74" s="28"/>
      <c r="P74" s="28"/>
      <c r="Q74" s="799"/>
      <c r="R74" s="1044"/>
    </row>
    <row r="75" spans="1:18" ht="15" customHeight="1" x14ac:dyDescent="0.2">
      <c r="A75" s="1689"/>
      <c r="B75" s="1712"/>
      <c r="C75" s="1750"/>
      <c r="D75" s="2112" t="s">
        <v>5</v>
      </c>
      <c r="E75" s="2032" t="s">
        <v>61</v>
      </c>
      <c r="F75" s="2115" t="s">
        <v>47</v>
      </c>
      <c r="G75" s="2109"/>
      <c r="H75" s="2482" t="s">
        <v>413</v>
      </c>
      <c r="I75" s="1660" t="s">
        <v>105</v>
      </c>
      <c r="J75" s="401">
        <f>500+617.1</f>
        <v>1117.0999999999999</v>
      </c>
      <c r="K75" s="1660">
        <v>54.3</v>
      </c>
      <c r="L75" s="128"/>
      <c r="M75" s="1660"/>
      <c r="N75" s="2345" t="s">
        <v>222</v>
      </c>
      <c r="O75" s="1731">
        <v>60</v>
      </c>
      <c r="P75" s="1731">
        <v>100</v>
      </c>
      <c r="Q75" s="1738"/>
      <c r="R75" s="1761"/>
    </row>
    <row r="76" spans="1:18" ht="15" customHeight="1" x14ac:dyDescent="0.2">
      <c r="A76" s="1689"/>
      <c r="B76" s="1712"/>
      <c r="C76" s="1750"/>
      <c r="D76" s="2109"/>
      <c r="E76" s="2141"/>
      <c r="F76" s="2116"/>
      <c r="G76" s="2109"/>
      <c r="H76" s="2483"/>
      <c r="I76" s="65" t="s">
        <v>25</v>
      </c>
      <c r="J76" s="103">
        <f>400+1508.2</f>
        <v>1908.2</v>
      </c>
      <c r="K76" s="65"/>
      <c r="L76" s="103"/>
      <c r="M76" s="65"/>
      <c r="N76" s="2522"/>
      <c r="O76" s="1755"/>
      <c r="P76" s="1755"/>
      <c r="Q76" s="321"/>
      <c r="R76" s="1734"/>
    </row>
    <row r="77" spans="1:18" ht="15" customHeight="1" x14ac:dyDescent="0.2">
      <c r="A77" s="1689"/>
      <c r="B77" s="1712"/>
      <c r="C77" s="1750"/>
      <c r="D77" s="2109"/>
      <c r="E77" s="2141"/>
      <c r="F77" s="2116"/>
      <c r="G77" s="2109"/>
      <c r="H77" s="2483"/>
      <c r="I77" s="65" t="s">
        <v>104</v>
      </c>
      <c r="J77" s="103">
        <v>198.4</v>
      </c>
      <c r="K77" s="65"/>
      <c r="L77" s="103"/>
      <c r="M77" s="65"/>
      <c r="N77" s="1782"/>
      <c r="O77" s="1755"/>
      <c r="P77" s="1755"/>
      <c r="Q77" s="321"/>
      <c r="R77" s="1734"/>
    </row>
    <row r="78" spans="1:18" ht="15" customHeight="1" x14ac:dyDescent="0.2">
      <c r="A78" s="1689"/>
      <c r="B78" s="1712"/>
      <c r="C78" s="1750"/>
      <c r="D78" s="2109"/>
      <c r="E78" s="2141"/>
      <c r="F78" s="2116"/>
      <c r="G78" s="2109"/>
      <c r="H78" s="2483"/>
      <c r="I78" s="65" t="s">
        <v>62</v>
      </c>
      <c r="J78" s="103">
        <v>192.4</v>
      </c>
      <c r="K78" s="65"/>
      <c r="L78" s="103"/>
      <c r="M78" s="65"/>
      <c r="N78" s="1782"/>
      <c r="O78" s="1755"/>
      <c r="P78" s="1755"/>
      <c r="Q78" s="321"/>
      <c r="R78" s="1734"/>
    </row>
    <row r="79" spans="1:18" ht="15" customHeight="1" x14ac:dyDescent="0.2">
      <c r="A79" s="1689"/>
      <c r="B79" s="1712"/>
      <c r="C79" s="1750"/>
      <c r="D79" s="2109"/>
      <c r="E79" s="2141"/>
      <c r="F79" s="2116"/>
      <c r="G79" s="2109"/>
      <c r="H79" s="2483"/>
      <c r="I79" s="65" t="s">
        <v>48</v>
      </c>
      <c r="J79" s="103">
        <f>993.4+482.4</f>
        <v>1475.8</v>
      </c>
      <c r="K79" s="65">
        <v>1300</v>
      </c>
      <c r="L79" s="103"/>
      <c r="M79" s="65"/>
      <c r="N79" s="2512"/>
      <c r="O79" s="1755"/>
      <c r="P79" s="1755"/>
      <c r="Q79" s="321"/>
      <c r="R79" s="1734"/>
    </row>
    <row r="80" spans="1:18" ht="15" customHeight="1" x14ac:dyDescent="0.2">
      <c r="A80" s="1689"/>
      <c r="B80" s="1712"/>
      <c r="C80" s="1750"/>
      <c r="D80" s="2109"/>
      <c r="E80" s="2141"/>
      <c r="F80" s="2116"/>
      <c r="G80" s="2109"/>
      <c r="H80" s="2483"/>
      <c r="I80" s="1661" t="s">
        <v>45</v>
      </c>
      <c r="J80" s="155">
        <v>3.2</v>
      </c>
      <c r="K80" s="1661"/>
      <c r="L80" s="155"/>
      <c r="M80" s="1661"/>
      <c r="N80" s="2513"/>
      <c r="O80" s="20"/>
      <c r="P80" s="20"/>
      <c r="Q80" s="321"/>
      <c r="R80" s="1734"/>
    </row>
    <row r="81" spans="1:18" ht="14.25" customHeight="1" x14ac:dyDescent="0.2">
      <c r="A81" s="2029"/>
      <c r="B81" s="2111"/>
      <c r="C81" s="2475"/>
      <c r="D81" s="2484" t="s">
        <v>7</v>
      </c>
      <c r="E81" s="2045" t="s">
        <v>364</v>
      </c>
      <c r="F81" s="2122" t="s">
        <v>47</v>
      </c>
      <c r="G81" s="2519"/>
      <c r="H81" s="2455"/>
      <c r="I81" s="48" t="s">
        <v>25</v>
      </c>
      <c r="J81" s="65"/>
      <c r="K81" s="65">
        <v>10</v>
      </c>
      <c r="L81" s="103">
        <v>24.6</v>
      </c>
      <c r="M81" s="65">
        <v>22.5</v>
      </c>
      <c r="N81" s="1684" t="s">
        <v>46</v>
      </c>
      <c r="O81" s="1731"/>
      <c r="P81" s="1731">
        <v>1</v>
      </c>
      <c r="Q81" s="1738"/>
      <c r="R81" s="1761"/>
    </row>
    <row r="82" spans="1:18" ht="21" customHeight="1" x14ac:dyDescent="0.2">
      <c r="A82" s="2029"/>
      <c r="B82" s="2111"/>
      <c r="C82" s="2475"/>
      <c r="D82" s="2138"/>
      <c r="E82" s="2100"/>
      <c r="F82" s="2123"/>
      <c r="G82" s="2519"/>
      <c r="H82" s="2455"/>
      <c r="I82" s="87" t="s">
        <v>44</v>
      </c>
      <c r="J82" s="65"/>
      <c r="K82" s="65"/>
      <c r="L82" s="103">
        <v>425</v>
      </c>
      <c r="M82" s="65">
        <v>425</v>
      </c>
      <c r="N82" s="2404" t="s">
        <v>158</v>
      </c>
      <c r="O82" s="1755"/>
      <c r="P82" s="1755"/>
      <c r="Q82" s="321">
        <v>50</v>
      </c>
      <c r="R82" s="1734">
        <v>100</v>
      </c>
    </row>
    <row r="83" spans="1:18" ht="18.75" customHeight="1" x14ac:dyDescent="0.2">
      <c r="A83" s="2029"/>
      <c r="B83" s="2111"/>
      <c r="C83" s="2475"/>
      <c r="D83" s="2485"/>
      <c r="E83" s="2046"/>
      <c r="F83" s="2518"/>
      <c r="G83" s="2520"/>
      <c r="H83" s="2492"/>
      <c r="I83" s="132"/>
      <c r="J83" s="1661"/>
      <c r="K83" s="1661"/>
      <c r="L83" s="155"/>
      <c r="M83" s="1661"/>
      <c r="N83" s="2521"/>
      <c r="O83" s="20"/>
      <c r="P83" s="20"/>
      <c r="Q83" s="322"/>
      <c r="R83" s="21"/>
    </row>
    <row r="84" spans="1:18" ht="16.5" customHeight="1" thickBot="1" x14ac:dyDescent="0.25">
      <c r="A84" s="72"/>
      <c r="B84" s="1702"/>
      <c r="C84" s="189"/>
      <c r="D84" s="283"/>
      <c r="E84" s="381"/>
      <c r="F84" s="382"/>
      <c r="G84" s="283"/>
      <c r="H84" s="220"/>
      <c r="I84" s="186" t="s">
        <v>6</v>
      </c>
      <c r="J84" s="93">
        <f>SUM(J75:J83)</f>
        <v>4895.1000000000004</v>
      </c>
      <c r="K84" s="93">
        <f>SUM(K75:K83)</f>
        <v>1364.3</v>
      </c>
      <c r="L84" s="93">
        <f>SUM(L75:L83)</f>
        <v>449.6</v>
      </c>
      <c r="M84" s="93">
        <f>SUM(M75:M83)</f>
        <v>447.5</v>
      </c>
      <c r="N84" s="385"/>
      <c r="O84" s="386"/>
      <c r="P84" s="387"/>
      <c r="Q84" s="387"/>
      <c r="R84" s="388"/>
    </row>
    <row r="85" spans="1:18" ht="33" customHeight="1" x14ac:dyDescent="0.2">
      <c r="A85" s="1699" t="s">
        <v>5</v>
      </c>
      <c r="B85" s="279" t="s">
        <v>5</v>
      </c>
      <c r="C85" s="384" t="s">
        <v>34</v>
      </c>
      <c r="D85" s="101"/>
      <c r="E85" s="78" t="s">
        <v>99</v>
      </c>
      <c r="F85" s="112" t="s">
        <v>89</v>
      </c>
      <c r="G85" s="121" t="s">
        <v>43</v>
      </c>
      <c r="H85" s="123"/>
      <c r="I85" s="405"/>
      <c r="J85" s="73"/>
      <c r="K85" s="73"/>
      <c r="L85" s="405"/>
      <c r="M85" s="73"/>
      <c r="N85" s="176"/>
      <c r="O85" s="29"/>
      <c r="P85" s="29"/>
      <c r="Q85" s="1033"/>
      <c r="R85" s="320"/>
    </row>
    <row r="86" spans="1:18" ht="14.25" customHeight="1" x14ac:dyDescent="0.2">
      <c r="A86" s="1689"/>
      <c r="B86" s="1712"/>
      <c r="C86" s="1750"/>
      <c r="D86" s="1749" t="s">
        <v>5</v>
      </c>
      <c r="E86" s="2045" t="s">
        <v>238</v>
      </c>
      <c r="F86" s="113" t="s">
        <v>47</v>
      </c>
      <c r="G86" s="1705"/>
      <c r="H86" s="2455" t="s">
        <v>123</v>
      </c>
      <c r="I86" s="87" t="s">
        <v>105</v>
      </c>
      <c r="J86" s="65">
        <f>700+300</f>
        <v>1000</v>
      </c>
      <c r="K86" s="65">
        <v>845.7</v>
      </c>
      <c r="L86" s="103"/>
      <c r="M86" s="65"/>
      <c r="N86" s="2382" t="s">
        <v>223</v>
      </c>
      <c r="O86" s="1191">
        <v>80</v>
      </c>
      <c r="P86" s="1191">
        <v>100</v>
      </c>
      <c r="Q86" s="801"/>
      <c r="R86" s="342"/>
    </row>
    <row r="87" spans="1:18" ht="12.75" customHeight="1" x14ac:dyDescent="0.2">
      <c r="A87" s="1689"/>
      <c r="B87" s="1712"/>
      <c r="C87" s="1750"/>
      <c r="D87" s="1676"/>
      <c r="E87" s="2100"/>
      <c r="F87" s="2524"/>
      <c r="G87" s="1705"/>
      <c r="H87" s="2481"/>
      <c r="I87" s="716" t="s">
        <v>25</v>
      </c>
      <c r="J87" s="1042">
        <v>352.5</v>
      </c>
      <c r="K87" s="1511">
        <v>472.5</v>
      </c>
      <c r="L87" s="103"/>
      <c r="M87" s="65"/>
      <c r="N87" s="2389"/>
      <c r="O87" s="1191"/>
      <c r="P87" s="1191"/>
      <c r="Q87" s="801"/>
      <c r="R87" s="342"/>
    </row>
    <row r="88" spans="1:18" ht="15" customHeight="1" x14ac:dyDescent="0.2">
      <c r="A88" s="1689"/>
      <c r="B88" s="1712"/>
      <c r="C88" s="1750"/>
      <c r="D88" s="1687"/>
      <c r="E88" s="2100"/>
      <c r="F88" s="2524"/>
      <c r="G88" s="1705"/>
      <c r="H88" s="2481"/>
      <c r="I88" s="1051" t="s">
        <v>62</v>
      </c>
      <c r="J88" s="1042">
        <v>1533.9</v>
      </c>
      <c r="K88" s="609"/>
      <c r="L88" s="103"/>
      <c r="M88" s="65"/>
      <c r="N88" s="1722"/>
      <c r="O88" s="1191"/>
      <c r="P88" s="1191"/>
      <c r="Q88" s="801"/>
      <c r="R88" s="342"/>
    </row>
    <row r="89" spans="1:18" ht="16.5" customHeight="1" x14ac:dyDescent="0.2">
      <c r="A89" s="1689"/>
      <c r="B89" s="1712"/>
      <c r="C89" s="1750"/>
      <c r="D89" s="1687"/>
      <c r="E89" s="2100"/>
      <c r="F89" s="2524"/>
      <c r="G89" s="1705"/>
      <c r="H89" s="2481"/>
      <c r="I89" s="610" t="s">
        <v>104</v>
      </c>
      <c r="J89" s="608">
        <v>403.6</v>
      </c>
      <c r="K89" s="608"/>
      <c r="L89" s="155"/>
      <c r="M89" s="1661"/>
      <c r="N89" s="1780"/>
      <c r="O89" s="1740"/>
      <c r="P89" s="1740"/>
      <c r="Q89" s="801"/>
      <c r="R89" s="342"/>
    </row>
    <row r="90" spans="1:18" ht="15.75" customHeight="1" x14ac:dyDescent="0.2">
      <c r="A90" s="1689"/>
      <c r="B90" s="1712"/>
      <c r="C90" s="1750"/>
      <c r="D90" s="1749" t="s">
        <v>7</v>
      </c>
      <c r="E90" s="2045" t="s">
        <v>245</v>
      </c>
      <c r="F90" s="113" t="s">
        <v>47</v>
      </c>
      <c r="G90" s="1705"/>
      <c r="H90" s="2455"/>
      <c r="I90" s="87" t="s">
        <v>25</v>
      </c>
      <c r="J90" s="67"/>
      <c r="K90" s="65">
        <v>100</v>
      </c>
      <c r="L90" s="103"/>
      <c r="M90" s="65">
        <v>160.6</v>
      </c>
      <c r="N90" s="1696" t="s">
        <v>251</v>
      </c>
      <c r="O90" s="1049"/>
      <c r="P90" s="1050">
        <v>10</v>
      </c>
      <c r="Q90" s="1034">
        <v>40</v>
      </c>
      <c r="R90" s="1046">
        <v>80</v>
      </c>
    </row>
    <row r="91" spans="1:18" ht="19.5" customHeight="1" x14ac:dyDescent="0.2">
      <c r="A91" s="1689"/>
      <c r="B91" s="1712"/>
      <c r="C91" s="1750"/>
      <c r="D91" s="1752"/>
      <c r="E91" s="2405"/>
      <c r="F91" s="611"/>
      <c r="G91" s="1705"/>
      <c r="H91" s="2481"/>
      <c r="I91" s="1661" t="s">
        <v>105</v>
      </c>
      <c r="J91" s="1657"/>
      <c r="K91" s="1661"/>
      <c r="L91" s="155">
        <v>800</v>
      </c>
      <c r="M91" s="1661">
        <v>800</v>
      </c>
      <c r="N91" s="486"/>
      <c r="O91" s="1740"/>
      <c r="P91" s="1740"/>
      <c r="Q91" s="795"/>
      <c r="R91" s="31"/>
    </row>
    <row r="92" spans="1:18" ht="15" customHeight="1" x14ac:dyDescent="0.2">
      <c r="A92" s="1689"/>
      <c r="B92" s="1712"/>
      <c r="C92" s="1750"/>
      <c r="D92" s="1676" t="s">
        <v>28</v>
      </c>
      <c r="E92" s="2045" t="s">
        <v>147</v>
      </c>
      <c r="F92" s="2115" t="s">
        <v>456</v>
      </c>
      <c r="G92" s="1705"/>
      <c r="H92" s="2455"/>
      <c r="I92" s="87" t="s">
        <v>25</v>
      </c>
      <c r="J92" s="65">
        <f>326.1+123.9-430</f>
        <v>20</v>
      </c>
      <c r="K92" s="65"/>
      <c r="L92" s="128"/>
      <c r="M92" s="1660"/>
      <c r="N92" s="1733" t="s">
        <v>46</v>
      </c>
      <c r="O92" s="1296">
        <v>1</v>
      </c>
      <c r="P92" s="1739">
        <v>1</v>
      </c>
      <c r="Q92" s="794"/>
      <c r="R92" s="1756"/>
    </row>
    <row r="93" spans="1:18" ht="21" customHeight="1" x14ac:dyDescent="0.2">
      <c r="A93" s="1689"/>
      <c r="B93" s="1712"/>
      <c r="C93" s="436"/>
      <c r="D93" s="1676"/>
      <c r="E93" s="2100"/>
      <c r="F93" s="2408"/>
      <c r="G93" s="1705"/>
      <c r="H93" s="2455"/>
      <c r="I93" s="87" t="s">
        <v>62</v>
      </c>
      <c r="J93" s="65"/>
      <c r="K93" s="65">
        <v>18.2</v>
      </c>
      <c r="L93" s="103"/>
      <c r="M93" s="65"/>
      <c r="N93" s="1696"/>
      <c r="O93" s="1191"/>
      <c r="P93" s="1191"/>
      <c r="Q93" s="801"/>
      <c r="R93" s="342"/>
    </row>
    <row r="94" spans="1:18" ht="16.5" customHeight="1" x14ac:dyDescent="0.2">
      <c r="A94" s="1689"/>
      <c r="B94" s="1712"/>
      <c r="C94" s="436"/>
      <c r="D94" s="1752"/>
      <c r="E94" s="2311"/>
      <c r="F94" s="2408"/>
      <c r="G94" s="1705"/>
      <c r="H94" s="2455"/>
      <c r="I94" s="90"/>
      <c r="J94" s="1661"/>
      <c r="K94" s="1661"/>
      <c r="L94" s="155"/>
      <c r="M94" s="1661"/>
      <c r="N94" s="449"/>
      <c r="O94" s="20"/>
      <c r="P94" s="20"/>
      <c r="Q94" s="322"/>
      <c r="R94" s="21"/>
    </row>
    <row r="95" spans="1:18" ht="14.25" customHeight="1" x14ac:dyDescent="0.2">
      <c r="A95" s="1689"/>
      <c r="B95" s="1712"/>
      <c r="C95" s="1750"/>
      <c r="D95" s="1676" t="s">
        <v>33</v>
      </c>
      <c r="E95" s="2045" t="s">
        <v>307</v>
      </c>
      <c r="F95" s="113" t="s">
        <v>47</v>
      </c>
      <c r="G95" s="1705"/>
      <c r="H95" s="1748"/>
      <c r="I95" s="87" t="s">
        <v>25</v>
      </c>
      <c r="J95" s="67"/>
      <c r="K95" s="65"/>
      <c r="L95" s="103">
        <v>82</v>
      </c>
      <c r="M95" s="65"/>
      <c r="N95" s="1733" t="s">
        <v>46</v>
      </c>
      <c r="O95" s="612"/>
      <c r="P95" s="612"/>
      <c r="Q95" s="2294">
        <v>1</v>
      </c>
      <c r="R95" s="342"/>
    </row>
    <row r="96" spans="1:18" ht="12.75" customHeight="1" x14ac:dyDescent="0.2">
      <c r="A96" s="1689"/>
      <c r="B96" s="1712"/>
      <c r="C96" s="1750"/>
      <c r="D96" s="1676"/>
      <c r="E96" s="2302"/>
      <c r="F96" s="611"/>
      <c r="G96" s="1705"/>
      <c r="H96" s="1748"/>
      <c r="I96" s="90"/>
      <c r="J96" s="1657"/>
      <c r="K96" s="1661"/>
      <c r="L96" s="155"/>
      <c r="M96" s="1661"/>
      <c r="N96" s="1260"/>
      <c r="O96" s="1191"/>
      <c r="P96" s="1191"/>
      <c r="Q96" s="2295"/>
      <c r="R96" s="31"/>
    </row>
    <row r="97" spans="1:19" ht="19.5" customHeight="1" x14ac:dyDescent="0.2">
      <c r="A97" s="1689"/>
      <c r="B97" s="1712"/>
      <c r="C97" s="1750"/>
      <c r="D97" s="1749" t="s">
        <v>34</v>
      </c>
      <c r="E97" s="2045" t="s">
        <v>449</v>
      </c>
      <c r="F97" s="1132" t="s">
        <v>47</v>
      </c>
      <c r="G97" s="1705"/>
      <c r="H97" s="2455"/>
      <c r="I97" s="87" t="s">
        <v>25</v>
      </c>
      <c r="J97" s="67"/>
      <c r="K97" s="65"/>
      <c r="L97" s="103"/>
      <c r="M97" s="65">
        <v>50</v>
      </c>
      <c r="N97" s="1733" t="s">
        <v>46</v>
      </c>
      <c r="O97" s="1739"/>
      <c r="P97" s="1739"/>
      <c r="Q97" s="794"/>
      <c r="R97" s="342"/>
    </row>
    <row r="98" spans="1:19" ht="14.25" customHeight="1" x14ac:dyDescent="0.2">
      <c r="A98" s="1689"/>
      <c r="B98" s="1712"/>
      <c r="C98" s="1750"/>
      <c r="D98" s="1752"/>
      <c r="E98" s="2302"/>
      <c r="F98" s="611"/>
      <c r="G98" s="1705"/>
      <c r="H98" s="2481"/>
      <c r="I98" s="1661"/>
      <c r="J98" s="1657"/>
      <c r="K98" s="1661"/>
      <c r="L98" s="155"/>
      <c r="M98" s="1661"/>
      <c r="N98" s="449"/>
      <c r="O98" s="1740"/>
      <c r="P98" s="1740"/>
      <c r="Q98" s="795"/>
      <c r="R98" s="31"/>
    </row>
    <row r="99" spans="1:19" ht="25.5" hidden="1" customHeight="1" x14ac:dyDescent="0.2">
      <c r="A99" s="1689"/>
      <c r="B99" s="1712"/>
      <c r="C99" s="1750"/>
      <c r="D99" s="1749" t="s">
        <v>35</v>
      </c>
      <c r="E99" s="2045" t="s">
        <v>355</v>
      </c>
      <c r="F99" s="1132" t="s">
        <v>47</v>
      </c>
      <c r="G99" s="1705"/>
      <c r="H99" s="2455"/>
      <c r="I99" s="87" t="s">
        <v>25</v>
      </c>
      <c r="J99" s="67"/>
      <c r="K99" s="65"/>
      <c r="L99" s="103"/>
      <c r="M99" s="65"/>
      <c r="N99" s="1733" t="s">
        <v>357</v>
      </c>
      <c r="O99" s="1739"/>
      <c r="P99" s="1739">
        <v>100</v>
      </c>
      <c r="Q99" s="794"/>
      <c r="R99" s="342"/>
      <c r="S99" s="929" t="s">
        <v>354</v>
      </c>
    </row>
    <row r="100" spans="1:19" ht="14.25" hidden="1" customHeight="1" x14ac:dyDescent="0.2">
      <c r="A100" s="1689"/>
      <c r="B100" s="1712"/>
      <c r="C100" s="1750"/>
      <c r="D100" s="1752"/>
      <c r="E100" s="2302"/>
      <c r="F100" s="611"/>
      <c r="G100" s="1705"/>
      <c r="H100" s="2481"/>
      <c r="I100" s="1661"/>
      <c r="J100" s="1657"/>
      <c r="K100" s="1661"/>
      <c r="L100" s="155"/>
      <c r="M100" s="1661"/>
      <c r="N100" s="449"/>
      <c r="O100" s="1740"/>
      <c r="P100" s="1740"/>
      <c r="Q100" s="795"/>
      <c r="R100" s="31"/>
    </row>
    <row r="101" spans="1:19" ht="16.5" customHeight="1" thickBot="1" x14ac:dyDescent="0.25">
      <c r="A101" s="72"/>
      <c r="B101" s="1702"/>
      <c r="C101" s="189"/>
      <c r="D101" s="283"/>
      <c r="E101" s="381"/>
      <c r="F101" s="382"/>
      <c r="G101" s="283"/>
      <c r="H101" s="220"/>
      <c r="I101" s="212" t="s">
        <v>6</v>
      </c>
      <c r="J101" s="141">
        <f>SUM(J86:J100)</f>
        <v>3310</v>
      </c>
      <c r="K101" s="141">
        <f>SUM(K86:K100)</f>
        <v>1436.4</v>
      </c>
      <c r="L101" s="141">
        <f>SUM(L86:L100)</f>
        <v>882</v>
      </c>
      <c r="M101" s="141">
        <f>SUM(M86:M100)</f>
        <v>1010.6</v>
      </c>
      <c r="N101" s="385"/>
      <c r="O101" s="386"/>
      <c r="P101" s="387"/>
      <c r="Q101" s="387"/>
      <c r="R101" s="388"/>
    </row>
    <row r="102" spans="1:19" ht="29.25" customHeight="1" x14ac:dyDescent="0.2">
      <c r="A102" s="1689" t="s">
        <v>5</v>
      </c>
      <c r="B102" s="1712" t="s">
        <v>5</v>
      </c>
      <c r="C102" s="1750" t="s">
        <v>35</v>
      </c>
      <c r="D102" s="1777"/>
      <c r="E102" s="215" t="s">
        <v>74</v>
      </c>
      <c r="F102" s="422" t="s">
        <v>93</v>
      </c>
      <c r="G102" s="1773" t="s">
        <v>43</v>
      </c>
      <c r="H102" s="268"/>
      <c r="I102" s="73"/>
      <c r="J102" s="569"/>
      <c r="K102" s="80"/>
      <c r="L102" s="403"/>
      <c r="M102" s="80"/>
      <c r="N102" s="66"/>
      <c r="O102" s="7"/>
      <c r="P102" s="55"/>
      <c r="Q102" s="168"/>
      <c r="R102" s="320"/>
    </row>
    <row r="103" spans="1:19" ht="14.25" customHeight="1" x14ac:dyDescent="0.2">
      <c r="A103" s="1689"/>
      <c r="B103" s="1712"/>
      <c r="C103" s="1750"/>
      <c r="D103" s="391" t="s">
        <v>5</v>
      </c>
      <c r="E103" s="2045" t="s">
        <v>145</v>
      </c>
      <c r="F103" s="2115" t="s">
        <v>456</v>
      </c>
      <c r="G103" s="1705"/>
      <c r="H103" s="2457" t="s">
        <v>415</v>
      </c>
      <c r="I103" s="67" t="s">
        <v>62</v>
      </c>
      <c r="J103" s="232">
        <v>219.3</v>
      </c>
      <c r="K103" s="65">
        <v>55.7</v>
      </c>
      <c r="L103" s="103"/>
      <c r="M103" s="65"/>
      <c r="N103" s="1733" t="s">
        <v>46</v>
      </c>
      <c r="O103" s="478"/>
      <c r="P103" s="485">
        <v>1</v>
      </c>
      <c r="Q103" s="1730"/>
      <c r="R103" s="1761"/>
    </row>
    <row r="104" spans="1:19" ht="13.5" customHeight="1" x14ac:dyDescent="0.2">
      <c r="A104" s="1689"/>
      <c r="B104" s="1712"/>
      <c r="C104" s="1750"/>
      <c r="D104" s="391"/>
      <c r="E104" s="2100"/>
      <c r="F104" s="2408"/>
      <c r="G104" s="1705"/>
      <c r="H104" s="2455"/>
      <c r="I104" s="67" t="s">
        <v>105</v>
      </c>
      <c r="J104" s="65"/>
      <c r="K104" s="65">
        <v>243.1</v>
      </c>
      <c r="L104" s="103"/>
      <c r="M104" s="65">
        <v>1200</v>
      </c>
      <c r="N104" s="2218" t="s">
        <v>335</v>
      </c>
      <c r="O104" s="478"/>
      <c r="P104" s="485"/>
      <c r="Q104" s="1783">
        <v>60</v>
      </c>
      <c r="R104" s="1734">
        <v>90</v>
      </c>
    </row>
    <row r="105" spans="1:19" ht="12.75" customHeight="1" x14ac:dyDescent="0.2">
      <c r="A105" s="1689"/>
      <c r="B105" s="1712"/>
      <c r="C105" s="1750"/>
      <c r="D105" s="391"/>
      <c r="E105" s="2100"/>
      <c r="F105" s="2408"/>
      <c r="G105" s="1705"/>
      <c r="H105" s="2455"/>
      <c r="I105" s="67" t="s">
        <v>365</v>
      </c>
      <c r="J105" s="63"/>
      <c r="K105" s="65"/>
      <c r="L105" s="103">
        <v>5000</v>
      </c>
      <c r="M105" s="65">
        <v>8609.1</v>
      </c>
      <c r="N105" s="2409"/>
      <c r="O105" s="478"/>
      <c r="P105" s="485"/>
      <c r="Q105" s="1783"/>
      <c r="R105" s="1734"/>
    </row>
    <row r="106" spans="1:19" ht="12.75" customHeight="1" x14ac:dyDescent="0.2">
      <c r="A106" s="1689"/>
      <c r="B106" s="1712"/>
      <c r="C106" s="1750"/>
      <c r="D106" s="391"/>
      <c r="E106" s="2100"/>
      <c r="F106" s="574"/>
      <c r="G106" s="1705"/>
      <c r="H106" s="2455"/>
      <c r="I106" s="67" t="s">
        <v>450</v>
      </c>
      <c r="J106" s="63"/>
      <c r="K106" s="65"/>
      <c r="L106" s="103">
        <v>10000</v>
      </c>
      <c r="M106" s="65"/>
      <c r="N106" s="1774"/>
      <c r="O106" s="478"/>
      <c r="P106" s="485"/>
      <c r="Q106" s="1783"/>
      <c r="R106" s="1734"/>
    </row>
    <row r="107" spans="1:19" ht="14.25" customHeight="1" x14ac:dyDescent="0.2">
      <c r="A107" s="1689"/>
      <c r="B107" s="1712"/>
      <c r="C107" s="1750"/>
      <c r="D107" s="391"/>
      <c r="E107" s="2100"/>
      <c r="F107" s="574"/>
      <c r="G107" s="1705"/>
      <c r="H107" s="2455"/>
      <c r="I107" s="67" t="s">
        <v>25</v>
      </c>
      <c r="J107" s="63">
        <v>70.5</v>
      </c>
      <c r="K107" s="65"/>
      <c r="L107" s="103"/>
      <c r="M107" s="65"/>
      <c r="N107" s="1706"/>
      <c r="O107" s="478"/>
      <c r="P107" s="485"/>
      <c r="Q107" s="1783"/>
      <c r="R107" s="1734"/>
    </row>
    <row r="108" spans="1:19" ht="13.5" customHeight="1" x14ac:dyDescent="0.2">
      <c r="A108" s="1689"/>
      <c r="B108" s="1712"/>
      <c r="C108" s="1750"/>
      <c r="D108" s="392"/>
      <c r="E108" s="2100"/>
      <c r="F108" s="1743"/>
      <c r="G108" s="1705"/>
      <c r="H108" s="2455"/>
      <c r="I108" s="1657" t="s">
        <v>104</v>
      </c>
      <c r="J108" s="179">
        <v>1.1000000000000001</v>
      </c>
      <c r="K108" s="1661"/>
      <c r="L108" s="155"/>
      <c r="M108" s="1661"/>
      <c r="N108" s="1706"/>
      <c r="O108" s="1755"/>
      <c r="P108" s="321"/>
      <c r="Q108" s="49"/>
      <c r="R108" s="21"/>
      <c r="S108" s="992"/>
    </row>
    <row r="109" spans="1:19" ht="15" customHeight="1" x14ac:dyDescent="0.2">
      <c r="A109" s="1689"/>
      <c r="B109" s="1712"/>
      <c r="C109" s="1750"/>
      <c r="D109" s="391"/>
      <c r="E109" s="2509" t="s">
        <v>252</v>
      </c>
      <c r="F109" s="1646" t="s">
        <v>47</v>
      </c>
      <c r="G109" s="497"/>
      <c r="H109" s="124"/>
      <c r="I109" s="1284" t="s">
        <v>45</v>
      </c>
      <c r="J109" s="1644">
        <v>30</v>
      </c>
      <c r="K109" s="263"/>
      <c r="L109" s="1523"/>
      <c r="M109" s="263"/>
      <c r="N109" s="1645" t="s">
        <v>135</v>
      </c>
      <c r="O109" s="1289">
        <v>1</v>
      </c>
      <c r="P109" s="498"/>
      <c r="Q109" s="1730"/>
      <c r="R109" s="1761"/>
      <c r="S109" s="1"/>
    </row>
    <row r="110" spans="1:19" ht="12.75" customHeight="1" x14ac:dyDescent="0.2">
      <c r="A110" s="1689"/>
      <c r="B110" s="1712"/>
      <c r="C110" s="1750"/>
      <c r="D110" s="391"/>
      <c r="E110" s="2510"/>
      <c r="F110" s="1646"/>
      <c r="G110" s="497"/>
      <c r="H110" s="1747"/>
      <c r="I110" s="67"/>
      <c r="J110" s="63"/>
      <c r="K110" s="65"/>
      <c r="L110" s="103"/>
      <c r="M110" s="65"/>
      <c r="N110" s="1706"/>
      <c r="O110" s="478"/>
      <c r="P110" s="485"/>
      <c r="Q110" s="1783"/>
      <c r="R110" s="1734"/>
      <c r="S110" s="1"/>
    </row>
    <row r="111" spans="1:19" ht="9.75" customHeight="1" x14ac:dyDescent="0.2">
      <c r="A111" s="1689"/>
      <c r="B111" s="1712"/>
      <c r="C111" s="1750"/>
      <c r="D111" s="392"/>
      <c r="E111" s="2511"/>
      <c r="F111" s="1781"/>
      <c r="G111" s="1647"/>
      <c r="H111" s="1747"/>
      <c r="I111" s="1657"/>
      <c r="J111" s="179"/>
      <c r="K111" s="1661"/>
      <c r="L111" s="155"/>
      <c r="M111" s="1661"/>
      <c r="N111" s="500"/>
      <c r="O111" s="484"/>
      <c r="P111" s="570"/>
      <c r="Q111" s="1054"/>
      <c r="R111" s="501"/>
      <c r="S111" s="1"/>
    </row>
    <row r="112" spans="1:19" ht="15" customHeight="1" thickBot="1" x14ac:dyDescent="0.25">
      <c r="A112" s="1700"/>
      <c r="B112" s="278"/>
      <c r="C112" s="379"/>
      <c r="D112" s="283"/>
      <c r="E112" s="381"/>
      <c r="F112" s="382"/>
      <c r="G112" s="283"/>
      <c r="H112" s="220"/>
      <c r="I112" s="93" t="s">
        <v>6</v>
      </c>
      <c r="J112" s="367">
        <f>SUM(J103:J111)</f>
        <v>320.89999999999998</v>
      </c>
      <c r="K112" s="367">
        <f>SUM(K103:K108)</f>
        <v>298.8</v>
      </c>
      <c r="L112" s="367">
        <f>SUM(L103:L108)</f>
        <v>15000</v>
      </c>
      <c r="M112" s="367">
        <f>SUM(M103:M108)</f>
        <v>9809.1</v>
      </c>
      <c r="N112" s="385"/>
      <c r="O112" s="386"/>
      <c r="P112" s="387"/>
      <c r="Q112" s="387"/>
      <c r="R112" s="388"/>
    </row>
    <row r="113" spans="1:21" ht="27" customHeight="1" x14ac:dyDescent="0.2">
      <c r="A113" s="1689" t="s">
        <v>5</v>
      </c>
      <c r="B113" s="1712" t="s">
        <v>5</v>
      </c>
      <c r="C113" s="390" t="s">
        <v>36</v>
      </c>
      <c r="D113" s="1777"/>
      <c r="E113" s="115" t="s">
        <v>256</v>
      </c>
      <c r="F113" s="133"/>
      <c r="G113" s="1753" t="s">
        <v>43</v>
      </c>
      <c r="H113" s="2469" t="s">
        <v>72</v>
      </c>
      <c r="I113" s="1040"/>
      <c r="J113" s="58"/>
      <c r="K113" s="408"/>
      <c r="L113" s="130"/>
      <c r="M113" s="58"/>
      <c r="N113" s="74"/>
      <c r="O113" s="24"/>
      <c r="P113" s="28"/>
      <c r="Q113" s="808"/>
      <c r="R113" s="700"/>
    </row>
    <row r="114" spans="1:21" ht="13.5" customHeight="1" x14ac:dyDescent="0.2">
      <c r="A114" s="1689"/>
      <c r="B114" s="1712"/>
      <c r="C114" s="389"/>
      <c r="D114" s="1687" t="s">
        <v>5</v>
      </c>
      <c r="E114" s="440" t="s">
        <v>88</v>
      </c>
      <c r="F114" s="1688"/>
      <c r="G114" s="1687"/>
      <c r="H114" s="2481"/>
      <c r="I114" s="91"/>
      <c r="J114" s="1660"/>
      <c r="K114" s="1660"/>
      <c r="L114" s="128"/>
      <c r="M114" s="1660"/>
      <c r="N114" s="2095" t="s">
        <v>153</v>
      </c>
      <c r="O114" s="465">
        <v>100</v>
      </c>
      <c r="P114" s="465">
        <v>100</v>
      </c>
      <c r="Q114" s="796">
        <v>100</v>
      </c>
      <c r="R114" s="1045">
        <v>100</v>
      </c>
    </row>
    <row r="115" spans="1:21" ht="16.5" customHeight="1" x14ac:dyDescent="0.2">
      <c r="A115" s="1689"/>
      <c r="B115" s="1712"/>
      <c r="C115" s="389"/>
      <c r="D115" s="1777"/>
      <c r="E115" s="150"/>
      <c r="F115" s="1764"/>
      <c r="G115" s="1705"/>
      <c r="H115" s="1748"/>
      <c r="I115" s="90" t="s">
        <v>25</v>
      </c>
      <c r="J115" s="1661">
        <v>3</v>
      </c>
      <c r="K115" s="1661">
        <v>3</v>
      </c>
      <c r="L115" s="155">
        <v>3</v>
      </c>
      <c r="M115" s="1661">
        <v>3</v>
      </c>
      <c r="N115" s="2410"/>
      <c r="O115" s="478"/>
      <c r="P115" s="478"/>
      <c r="Q115" s="485"/>
      <c r="R115" s="652"/>
    </row>
    <row r="116" spans="1:21" s="9" customFormat="1" ht="54.75" customHeight="1" x14ac:dyDescent="0.2">
      <c r="A116" s="1689"/>
      <c r="B116" s="1712"/>
      <c r="C116" s="1750"/>
      <c r="D116" s="1687" t="s">
        <v>7</v>
      </c>
      <c r="E116" s="526" t="s">
        <v>80</v>
      </c>
      <c r="F116" s="259"/>
      <c r="G116" s="1773"/>
      <c r="H116" s="323"/>
      <c r="I116" s="1041" t="s">
        <v>25</v>
      </c>
      <c r="J116" s="360">
        <v>25</v>
      </c>
      <c r="K116" s="360">
        <v>25</v>
      </c>
      <c r="L116" s="359">
        <v>25</v>
      </c>
      <c r="M116" s="360">
        <v>25</v>
      </c>
      <c r="N116" s="2411"/>
      <c r="O116" s="466"/>
      <c r="P116" s="466"/>
      <c r="Q116" s="802"/>
      <c r="R116" s="830"/>
      <c r="S116" s="991"/>
      <c r="U116" s="1"/>
    </row>
    <row r="117" spans="1:21" ht="15" customHeight="1" thickBot="1" x14ac:dyDescent="0.25">
      <c r="A117" s="1700"/>
      <c r="B117" s="278"/>
      <c r="C117" s="379"/>
      <c r="D117" s="283"/>
      <c r="E117" s="381"/>
      <c r="F117" s="382"/>
      <c r="G117" s="283"/>
      <c r="H117" s="220"/>
      <c r="I117" s="186" t="s">
        <v>6</v>
      </c>
      <c r="J117" s="141">
        <f>SUM(J114:J116)</f>
        <v>28</v>
      </c>
      <c r="K117" s="141">
        <f t="shared" ref="K117:M117" si="1">SUM(K114:K116)</f>
        <v>28</v>
      </c>
      <c r="L117" s="141">
        <f>SUM(L114:L116)</f>
        <v>28</v>
      </c>
      <c r="M117" s="141">
        <f t="shared" si="1"/>
        <v>28</v>
      </c>
      <c r="N117" s="385"/>
      <c r="O117" s="386"/>
      <c r="P117" s="387"/>
      <c r="Q117" s="387"/>
      <c r="R117" s="388"/>
    </row>
    <row r="118" spans="1:21" ht="25.5" customHeight="1" x14ac:dyDescent="0.2">
      <c r="A118" s="1689" t="s">
        <v>5</v>
      </c>
      <c r="B118" s="1712" t="s">
        <v>5</v>
      </c>
      <c r="C118" s="1453" t="s">
        <v>225</v>
      </c>
      <c r="D118" s="1691"/>
      <c r="E118" s="2534" t="s">
        <v>401</v>
      </c>
      <c r="F118" s="369"/>
      <c r="G118" s="1753" t="s">
        <v>43</v>
      </c>
      <c r="H118" s="2469" t="s">
        <v>400</v>
      </c>
      <c r="I118" s="1454" t="s">
        <v>25</v>
      </c>
      <c r="J118" s="1460"/>
      <c r="K118" s="1455"/>
      <c r="L118" s="1456">
        <v>100</v>
      </c>
      <c r="M118" s="1455">
        <v>100</v>
      </c>
      <c r="N118" s="2535" t="s">
        <v>402</v>
      </c>
      <c r="O118" s="1457"/>
      <c r="P118" s="1457"/>
      <c r="Q118" s="1458">
        <v>2</v>
      </c>
      <c r="R118" s="1459">
        <v>3</v>
      </c>
      <c r="S118" s="929" t="s">
        <v>408</v>
      </c>
    </row>
    <row r="119" spans="1:21" ht="6.75" customHeight="1" x14ac:dyDescent="0.2">
      <c r="A119" s="1689"/>
      <c r="B119" s="1712"/>
      <c r="C119" s="225"/>
      <c r="D119" s="225"/>
      <c r="E119" s="2048"/>
      <c r="F119" s="1688"/>
      <c r="G119" s="1687"/>
      <c r="H119" s="2481"/>
      <c r="I119" s="87"/>
      <c r="J119" s="87"/>
      <c r="K119" s="65"/>
      <c r="L119" s="103"/>
      <c r="M119" s="65"/>
      <c r="N119" s="2536"/>
      <c r="O119" s="478"/>
      <c r="P119" s="478"/>
      <c r="Q119" s="485"/>
      <c r="R119" s="652"/>
    </row>
    <row r="120" spans="1:21" ht="16.5" customHeight="1" thickBot="1" x14ac:dyDescent="0.25">
      <c r="A120" s="1689"/>
      <c r="B120" s="1712"/>
      <c r="C120" s="226"/>
      <c r="D120" s="226"/>
      <c r="E120" s="241"/>
      <c r="F120" s="1151"/>
      <c r="G120" s="1452"/>
      <c r="H120" s="1451"/>
      <c r="I120" s="93" t="s">
        <v>6</v>
      </c>
      <c r="J120" s="283">
        <f>J118</f>
        <v>0</v>
      </c>
      <c r="K120" s="93">
        <f t="shared" ref="K120:M120" si="2">K118</f>
        <v>0</v>
      </c>
      <c r="L120" s="283">
        <f t="shared" si="2"/>
        <v>100</v>
      </c>
      <c r="M120" s="93">
        <f t="shared" si="2"/>
        <v>100</v>
      </c>
      <c r="N120" s="1058"/>
      <c r="O120" s="192"/>
      <c r="P120" s="192"/>
      <c r="Q120" s="807"/>
      <c r="R120" s="599"/>
    </row>
    <row r="121" spans="1:21" ht="14.25" customHeight="1" thickBot="1" x14ac:dyDescent="0.25">
      <c r="A121" s="82" t="s">
        <v>5</v>
      </c>
      <c r="B121" s="280" t="s">
        <v>5</v>
      </c>
      <c r="C121" s="2154" t="s">
        <v>8</v>
      </c>
      <c r="D121" s="2155"/>
      <c r="E121" s="2155"/>
      <c r="F121" s="2155"/>
      <c r="G121" s="2155"/>
      <c r="H121" s="2155"/>
      <c r="I121" s="2156"/>
      <c r="J121" s="361">
        <f>J117+J112+J101+J84+J73+J55+J37</f>
        <v>12623.6</v>
      </c>
      <c r="K121" s="144">
        <f>K117+K112+K101+K84+K73+K55+K37</f>
        <v>9768.4</v>
      </c>
      <c r="L121" s="1461">
        <f>L117+L112+L101+L84+L73+L55+L37+L120</f>
        <v>22117.5</v>
      </c>
      <c r="M121" s="1461">
        <f>M117+M112+M101+M84+M73+M55+M37+M120</f>
        <v>17229.599999999999</v>
      </c>
      <c r="N121" s="1681"/>
      <c r="O121" s="1766"/>
      <c r="P121" s="1766"/>
      <c r="Q121" s="1766"/>
      <c r="R121" s="1682"/>
    </row>
    <row r="122" spans="1:21" ht="14.25" customHeight="1" thickBot="1" x14ac:dyDescent="0.25">
      <c r="A122" s="82" t="s">
        <v>5</v>
      </c>
      <c r="B122" s="280" t="s">
        <v>7</v>
      </c>
      <c r="C122" s="2340" t="s">
        <v>32</v>
      </c>
      <c r="D122" s="2340"/>
      <c r="E122" s="2340"/>
      <c r="F122" s="2340"/>
      <c r="G122" s="2340"/>
      <c r="H122" s="2340"/>
      <c r="I122" s="2340"/>
      <c r="J122" s="2341"/>
      <c r="K122" s="2341"/>
      <c r="L122" s="2341"/>
      <c r="M122" s="2341"/>
      <c r="N122" s="2340"/>
      <c r="O122" s="2159"/>
      <c r="P122" s="2159"/>
      <c r="Q122" s="2159"/>
      <c r="R122" s="2342"/>
    </row>
    <row r="123" spans="1:21" ht="30" customHeight="1" x14ac:dyDescent="0.2">
      <c r="A123" s="1699" t="s">
        <v>5</v>
      </c>
      <c r="B123" s="279" t="s">
        <v>7</v>
      </c>
      <c r="C123" s="384" t="s">
        <v>5</v>
      </c>
      <c r="D123" s="195"/>
      <c r="E123" s="120" t="s">
        <v>57</v>
      </c>
      <c r="F123" s="116" t="s">
        <v>120</v>
      </c>
      <c r="G123" s="451"/>
      <c r="H123" s="452"/>
      <c r="I123" s="95"/>
      <c r="J123" s="152"/>
      <c r="K123" s="152"/>
      <c r="L123" s="152"/>
      <c r="M123" s="152"/>
      <c r="N123" s="85"/>
      <c r="O123" s="182"/>
      <c r="P123" s="182"/>
      <c r="Q123" s="1035"/>
      <c r="R123" s="1056"/>
    </row>
    <row r="124" spans="1:21" ht="14.25" customHeight="1" x14ac:dyDescent="0.2">
      <c r="A124" s="1689"/>
      <c r="B124" s="1712"/>
      <c r="C124" s="1750"/>
      <c r="D124" s="1687" t="s">
        <v>5</v>
      </c>
      <c r="E124" s="1694" t="s">
        <v>52</v>
      </c>
      <c r="F124" s="925"/>
      <c r="G124" s="1676">
        <v>6</v>
      </c>
      <c r="H124" s="2455" t="s">
        <v>75</v>
      </c>
      <c r="I124" s="86"/>
      <c r="J124" s="181"/>
      <c r="K124" s="181"/>
      <c r="L124" s="181"/>
      <c r="M124" s="181"/>
      <c r="N124" s="324"/>
      <c r="O124" s="172"/>
      <c r="P124" s="172"/>
      <c r="Q124" s="431"/>
      <c r="R124" s="327"/>
    </row>
    <row r="125" spans="1:21" ht="15.75" customHeight="1" x14ac:dyDescent="0.2">
      <c r="A125" s="1689"/>
      <c r="B125" s="1712"/>
      <c r="C125" s="1750"/>
      <c r="D125" s="1687"/>
      <c r="E125" s="2325" t="s">
        <v>81</v>
      </c>
      <c r="F125" s="925"/>
      <c r="G125" s="1687"/>
      <c r="H125" s="2300"/>
      <c r="I125" s="87" t="s">
        <v>25</v>
      </c>
      <c r="J125" s="65">
        <f>3746.2-1556.5-388.2</f>
        <v>1801.5</v>
      </c>
      <c r="K125" s="135">
        <v>4928</v>
      </c>
      <c r="L125" s="135">
        <v>4978</v>
      </c>
      <c r="M125" s="135">
        <v>5055.7</v>
      </c>
      <c r="N125" s="1696" t="s">
        <v>41</v>
      </c>
      <c r="O125" s="232">
        <v>5.9</v>
      </c>
      <c r="P125" s="232">
        <v>6</v>
      </c>
      <c r="Q125" s="103">
        <v>6.1</v>
      </c>
      <c r="R125" s="41">
        <v>6.2</v>
      </c>
    </row>
    <row r="126" spans="1:21" ht="15.75" customHeight="1" x14ac:dyDescent="0.2">
      <c r="A126" s="1689"/>
      <c r="B126" s="1712"/>
      <c r="C126" s="1750"/>
      <c r="D126" s="1687"/>
      <c r="E126" s="2325"/>
      <c r="F126" s="925"/>
      <c r="G126" s="1687"/>
      <c r="H126" s="2300"/>
      <c r="I126" s="87" t="s">
        <v>62</v>
      </c>
      <c r="J126" s="65">
        <f>1150+1556.5-56-26</f>
        <v>2624.5</v>
      </c>
      <c r="K126" s="135"/>
      <c r="L126" s="135"/>
      <c r="M126" s="135"/>
      <c r="N126" s="1696"/>
      <c r="O126" s="232"/>
      <c r="P126" s="1755"/>
      <c r="Q126" s="321"/>
      <c r="R126" s="1734"/>
    </row>
    <row r="127" spans="1:21" ht="14.25" customHeight="1" x14ac:dyDescent="0.2">
      <c r="A127" s="1689"/>
      <c r="B127" s="1712"/>
      <c r="C127" s="1750"/>
      <c r="D127" s="1687"/>
      <c r="E127" s="2325"/>
      <c r="F127" s="1715"/>
      <c r="G127" s="1687"/>
      <c r="H127" s="2300"/>
      <c r="I127" s="148" t="s">
        <v>77</v>
      </c>
      <c r="J127" s="148"/>
      <c r="K127" s="139"/>
      <c r="L127" s="139"/>
      <c r="M127" s="139"/>
      <c r="N127" s="1758"/>
      <c r="O127" s="219"/>
      <c r="P127" s="926"/>
      <c r="Q127" s="331"/>
      <c r="R127" s="1031"/>
      <c r="S127" s="1577"/>
    </row>
    <row r="128" spans="1:21" ht="19.5" customHeight="1" x14ac:dyDescent="0.2">
      <c r="A128" s="1689"/>
      <c r="B128" s="1712"/>
      <c r="C128" s="1750"/>
      <c r="D128" s="1687"/>
      <c r="E128" s="229" t="s">
        <v>82</v>
      </c>
      <c r="F128" s="1715"/>
      <c r="G128" s="1687"/>
      <c r="H128" s="639"/>
      <c r="I128" s="87" t="s">
        <v>25</v>
      </c>
      <c r="J128" s="87">
        <v>8.6</v>
      </c>
      <c r="K128" s="135">
        <v>10.5</v>
      </c>
      <c r="L128" s="135">
        <v>10.6</v>
      </c>
      <c r="M128" s="135">
        <v>10.8</v>
      </c>
      <c r="N128" s="89" t="s">
        <v>160</v>
      </c>
      <c r="O128" s="197">
        <v>3.7</v>
      </c>
      <c r="P128" s="34">
        <v>4</v>
      </c>
      <c r="Q128" s="805">
        <v>4</v>
      </c>
      <c r="R128" s="35">
        <v>4</v>
      </c>
    </row>
    <row r="129" spans="1:19" ht="26.25" customHeight="1" x14ac:dyDescent="0.2">
      <c r="A129" s="1689"/>
      <c r="B129" s="1712"/>
      <c r="C129" s="1750"/>
      <c r="D129" s="1687"/>
      <c r="E129" s="307" t="s">
        <v>83</v>
      </c>
      <c r="F129" s="1715"/>
      <c r="G129" s="1687"/>
      <c r="H129" s="639"/>
      <c r="I129" s="88" t="s">
        <v>25</v>
      </c>
      <c r="J129" s="140">
        <v>63.7</v>
      </c>
      <c r="K129" s="137">
        <v>56.3</v>
      </c>
      <c r="L129" s="137">
        <v>56.9</v>
      </c>
      <c r="M129" s="137">
        <v>58.1</v>
      </c>
      <c r="N129" s="1758" t="s">
        <v>161</v>
      </c>
      <c r="O129" s="373">
        <v>26.7</v>
      </c>
      <c r="P129" s="197">
        <v>24.8</v>
      </c>
      <c r="Q129" s="455">
        <v>24.8</v>
      </c>
      <c r="R129" s="1057">
        <v>24.8</v>
      </c>
    </row>
    <row r="130" spans="1:19" ht="21.75" customHeight="1" x14ac:dyDescent="0.2">
      <c r="A130" s="1689"/>
      <c r="B130" s="1712"/>
      <c r="C130" s="1750"/>
      <c r="D130" s="1676"/>
      <c r="E130" s="2326" t="s">
        <v>146</v>
      </c>
      <c r="F130" s="1715"/>
      <c r="G130" s="1687"/>
      <c r="H130" s="1713"/>
      <c r="I130" s="87" t="s">
        <v>70</v>
      </c>
      <c r="J130" s="87">
        <v>8</v>
      </c>
      <c r="K130" s="135">
        <v>10</v>
      </c>
      <c r="L130" s="135">
        <v>107</v>
      </c>
      <c r="M130" s="135">
        <v>107</v>
      </c>
      <c r="N130" s="2337" t="s">
        <v>454</v>
      </c>
      <c r="O130" s="399" t="s">
        <v>43</v>
      </c>
      <c r="P130" s="1581">
        <v>3</v>
      </c>
      <c r="Q130" s="1581">
        <v>3</v>
      </c>
      <c r="R130" s="211">
        <v>3</v>
      </c>
      <c r="S130" s="1673" t="s">
        <v>416</v>
      </c>
    </row>
    <row r="131" spans="1:19" ht="24" customHeight="1" x14ac:dyDescent="0.2">
      <c r="A131" s="1689"/>
      <c r="B131" s="1712"/>
      <c r="C131" s="1750"/>
      <c r="D131" s="1676"/>
      <c r="E131" s="2048"/>
      <c r="F131" s="925"/>
      <c r="G131" s="1687"/>
      <c r="H131" s="1713"/>
      <c r="I131" s="87" t="s">
        <v>77</v>
      </c>
      <c r="J131" s="87">
        <v>16.2</v>
      </c>
      <c r="K131" s="87">
        <v>97</v>
      </c>
      <c r="L131" s="87"/>
      <c r="M131" s="87"/>
      <c r="N131" s="2395"/>
      <c r="O131" s="38"/>
      <c r="P131" s="1783"/>
      <c r="Q131" s="1783"/>
      <c r="R131" s="1734"/>
      <c r="S131" s="1578"/>
    </row>
    <row r="132" spans="1:19" ht="30.75" customHeight="1" x14ac:dyDescent="0.2">
      <c r="A132" s="1689"/>
      <c r="B132" s="1712"/>
      <c r="C132" s="1750"/>
      <c r="D132" s="1752"/>
      <c r="E132" s="602"/>
      <c r="F132" s="925"/>
      <c r="G132" s="1687"/>
      <c r="H132" s="1713"/>
      <c r="I132" s="87" t="s">
        <v>62</v>
      </c>
      <c r="J132" s="87">
        <f>56+26</f>
        <v>82</v>
      </c>
      <c r="K132" s="87"/>
      <c r="L132" s="87"/>
      <c r="M132" s="87"/>
      <c r="N132" s="2407"/>
      <c r="O132" s="325"/>
      <c r="P132" s="49"/>
      <c r="Q132" s="1783"/>
      <c r="R132" s="1734"/>
      <c r="S132" s="1579"/>
    </row>
    <row r="133" spans="1:19" ht="14.25" customHeight="1" x14ac:dyDescent="0.2">
      <c r="A133" s="1689"/>
      <c r="B133" s="1712"/>
      <c r="C133" s="1750"/>
      <c r="D133" s="1676" t="s">
        <v>7</v>
      </c>
      <c r="E133" s="291" t="s">
        <v>181</v>
      </c>
      <c r="F133" s="925"/>
      <c r="G133" s="1687"/>
      <c r="H133" s="1713"/>
      <c r="I133" s="153"/>
      <c r="J133" s="181"/>
      <c r="K133" s="147"/>
      <c r="L133" s="147"/>
      <c r="M133" s="147"/>
      <c r="N133" s="1696"/>
      <c r="O133" s="38"/>
      <c r="P133" s="204"/>
      <c r="Q133" s="173"/>
      <c r="R133" s="327"/>
    </row>
    <row r="134" spans="1:19" ht="52.5" customHeight="1" x14ac:dyDescent="0.2">
      <c r="A134" s="1689"/>
      <c r="B134" s="1712"/>
      <c r="C134" s="1750"/>
      <c r="D134" s="1676"/>
      <c r="E134" s="292" t="s">
        <v>182</v>
      </c>
      <c r="F134" s="925"/>
      <c r="G134" s="1687"/>
      <c r="H134" s="1713"/>
      <c r="I134" s="148" t="s">
        <v>25</v>
      </c>
      <c r="J134" s="70">
        <v>388.2</v>
      </c>
      <c r="K134" s="1580"/>
      <c r="L134" s="139"/>
      <c r="M134" s="139"/>
      <c r="N134" s="45" t="s">
        <v>176</v>
      </c>
      <c r="O134" s="329">
        <v>21</v>
      </c>
      <c r="P134" s="329">
        <v>21</v>
      </c>
      <c r="Q134" s="368">
        <v>21</v>
      </c>
      <c r="R134" s="1031">
        <v>21</v>
      </c>
    </row>
    <row r="135" spans="1:19" ht="22.5" customHeight="1" x14ac:dyDescent="0.2">
      <c r="A135" s="1689"/>
      <c r="B135" s="1712"/>
      <c r="C135" s="1750"/>
      <c r="D135" s="1676"/>
      <c r="E135" s="2327" t="s">
        <v>183</v>
      </c>
      <c r="F135" s="925"/>
      <c r="G135" s="1687"/>
      <c r="H135" s="1713"/>
      <c r="I135" s="87" t="s">
        <v>25</v>
      </c>
      <c r="J135" s="65">
        <v>49.6</v>
      </c>
      <c r="K135" s="125">
        <v>33</v>
      </c>
      <c r="L135" s="135">
        <v>99</v>
      </c>
      <c r="M135" s="135">
        <v>99</v>
      </c>
      <c r="N135" s="2346" t="s">
        <v>257</v>
      </c>
      <c r="O135" s="328">
        <v>12</v>
      </c>
      <c r="P135" s="328">
        <v>17</v>
      </c>
      <c r="Q135" s="1783">
        <v>17</v>
      </c>
      <c r="R135" s="1734">
        <v>17</v>
      </c>
    </row>
    <row r="136" spans="1:19" ht="21" customHeight="1" x14ac:dyDescent="0.2">
      <c r="A136" s="1689"/>
      <c r="B136" s="1712"/>
      <c r="C136" s="1750"/>
      <c r="D136" s="1752"/>
      <c r="E136" s="2328"/>
      <c r="F136" s="925"/>
      <c r="G136" s="1687"/>
      <c r="H136" s="1713"/>
      <c r="I136" s="90"/>
      <c r="J136" s="1661"/>
      <c r="K136" s="126"/>
      <c r="L136" s="136"/>
      <c r="M136" s="136"/>
      <c r="N136" s="2096"/>
      <c r="O136" s="325"/>
      <c r="P136" s="326"/>
      <c r="Q136" s="49"/>
      <c r="R136" s="21"/>
    </row>
    <row r="137" spans="1:19" ht="18" customHeight="1" x14ac:dyDescent="0.2">
      <c r="A137" s="2029"/>
      <c r="B137" s="2030"/>
      <c r="C137" s="2475"/>
      <c r="D137" s="2138" t="s">
        <v>28</v>
      </c>
      <c r="E137" s="2101" t="s">
        <v>42</v>
      </c>
      <c r="F137" s="2109"/>
      <c r="G137" s="2031"/>
      <c r="H137" s="1747"/>
      <c r="I137" s="87" t="s">
        <v>25</v>
      </c>
      <c r="J137" s="65">
        <v>59.5</v>
      </c>
      <c r="K137" s="63">
        <v>59.5</v>
      </c>
      <c r="L137" s="135">
        <v>59.5</v>
      </c>
      <c r="M137" s="135">
        <v>59.5</v>
      </c>
      <c r="N137" s="2320" t="s">
        <v>54</v>
      </c>
      <c r="O137" s="2349">
        <v>7</v>
      </c>
      <c r="P137" s="2349">
        <v>7</v>
      </c>
      <c r="Q137" s="2253">
        <v>7</v>
      </c>
      <c r="R137" s="2351">
        <v>7</v>
      </c>
    </row>
    <row r="138" spans="1:19" ht="18" customHeight="1" x14ac:dyDescent="0.2">
      <c r="A138" s="2029"/>
      <c r="B138" s="2030"/>
      <c r="C138" s="2475"/>
      <c r="D138" s="2138"/>
      <c r="E138" s="2102"/>
      <c r="F138" s="2109"/>
      <c r="G138" s="2031"/>
      <c r="H138" s="1747"/>
      <c r="I138" s="90" t="s">
        <v>62</v>
      </c>
      <c r="J138" s="1661"/>
      <c r="K138" s="126"/>
      <c r="L138" s="136"/>
      <c r="M138" s="136"/>
      <c r="N138" s="2321"/>
      <c r="O138" s="2350"/>
      <c r="P138" s="2350"/>
      <c r="Q138" s="2254"/>
      <c r="R138" s="2412"/>
    </row>
    <row r="139" spans="1:19" ht="18" customHeight="1" x14ac:dyDescent="0.2">
      <c r="A139" s="2029"/>
      <c r="B139" s="2111"/>
      <c r="C139" s="2475"/>
      <c r="D139" s="2484" t="s">
        <v>33</v>
      </c>
      <c r="E139" s="2128" t="s">
        <v>446</v>
      </c>
      <c r="F139" s="2130"/>
      <c r="G139" s="2034"/>
      <c r="H139" s="2455"/>
      <c r="I139" s="91"/>
      <c r="J139" s="1660"/>
      <c r="K139" s="127"/>
      <c r="L139" s="134"/>
      <c r="M139" s="1660"/>
      <c r="N139" s="244" t="s">
        <v>214</v>
      </c>
      <c r="O139" s="27"/>
      <c r="P139" s="332"/>
      <c r="Q139" s="868"/>
      <c r="R139" s="333"/>
    </row>
    <row r="140" spans="1:19" ht="18.75" customHeight="1" x14ac:dyDescent="0.2">
      <c r="A140" s="2029"/>
      <c r="B140" s="2111"/>
      <c r="C140" s="2475"/>
      <c r="D140" s="2138"/>
      <c r="E140" s="2129"/>
      <c r="F140" s="2130"/>
      <c r="G140" s="2034"/>
      <c r="H140" s="2455"/>
      <c r="I140" s="87" t="s">
        <v>25</v>
      </c>
      <c r="J140" s="65">
        <v>45.6</v>
      </c>
      <c r="K140" s="125">
        <v>40</v>
      </c>
      <c r="L140" s="135">
        <v>40</v>
      </c>
      <c r="M140" s="65">
        <v>40</v>
      </c>
      <c r="N140" s="89" t="s">
        <v>250</v>
      </c>
      <c r="O140" s="32">
        <v>1</v>
      </c>
      <c r="P140" s="448">
        <v>1</v>
      </c>
      <c r="Q140" s="464">
        <v>1</v>
      </c>
      <c r="R140" s="33">
        <v>1</v>
      </c>
    </row>
    <row r="141" spans="1:19" ht="25.5" customHeight="1" x14ac:dyDescent="0.2">
      <c r="A141" s="2029"/>
      <c r="B141" s="2111"/>
      <c r="C141" s="2475"/>
      <c r="D141" s="2138"/>
      <c r="E141" s="2129"/>
      <c r="F141" s="2130"/>
      <c r="G141" s="2034"/>
      <c r="H141" s="2455"/>
      <c r="I141" s="87"/>
      <c r="J141" s="70"/>
      <c r="K141" s="185"/>
      <c r="L141" s="148"/>
      <c r="M141" s="70"/>
      <c r="N141" s="89" t="s">
        <v>175</v>
      </c>
      <c r="O141" s="32">
        <v>1</v>
      </c>
      <c r="P141" s="448">
        <v>1</v>
      </c>
      <c r="Q141" s="464">
        <v>1</v>
      </c>
      <c r="R141" s="33">
        <v>1</v>
      </c>
    </row>
    <row r="142" spans="1:19" ht="15" customHeight="1" x14ac:dyDescent="0.2">
      <c r="A142" s="1689"/>
      <c r="B142" s="1712"/>
      <c r="C142" s="1750"/>
      <c r="D142" s="1691"/>
      <c r="E142" s="1694"/>
      <c r="F142" s="925"/>
      <c r="G142" s="1705"/>
      <c r="H142" s="1747"/>
      <c r="I142" s="140" t="s">
        <v>25</v>
      </c>
      <c r="J142" s="62"/>
      <c r="K142" s="62"/>
      <c r="L142" s="196">
        <v>100</v>
      </c>
      <c r="M142" s="62">
        <v>100</v>
      </c>
      <c r="N142" s="1677" t="s">
        <v>373</v>
      </c>
      <c r="O142" s="264"/>
      <c r="P142" s="463"/>
      <c r="Q142" s="1055">
        <v>1</v>
      </c>
      <c r="R142" s="1746">
        <v>1</v>
      </c>
    </row>
    <row r="143" spans="1:19" ht="28.5" customHeight="1" x14ac:dyDescent="0.2">
      <c r="A143" s="1689"/>
      <c r="B143" s="1712"/>
      <c r="C143" s="1750"/>
      <c r="D143" s="1691"/>
      <c r="E143" s="1694"/>
      <c r="F143" s="1715"/>
      <c r="G143" s="1705"/>
      <c r="H143" s="1747"/>
      <c r="I143" s="140" t="s">
        <v>25</v>
      </c>
      <c r="J143" s="62"/>
      <c r="K143" s="62">
        <v>73</v>
      </c>
      <c r="L143" s="196">
        <v>73</v>
      </c>
      <c r="M143" s="62">
        <v>75</v>
      </c>
      <c r="N143" s="89" t="s">
        <v>374</v>
      </c>
      <c r="O143" s="32"/>
      <c r="P143" s="448">
        <v>1</v>
      </c>
      <c r="Q143" s="464">
        <v>1</v>
      </c>
      <c r="R143" s="33">
        <v>1</v>
      </c>
    </row>
    <row r="144" spans="1:19" ht="15" customHeight="1" x14ac:dyDescent="0.2">
      <c r="A144" s="1689"/>
      <c r="B144" s="1712"/>
      <c r="C144" s="1750"/>
      <c r="D144" s="1691"/>
      <c r="E144" s="1694"/>
      <c r="F144" s="1715"/>
      <c r="G144" s="1705"/>
      <c r="H144" s="1747"/>
      <c r="I144" s="148" t="s">
        <v>25</v>
      </c>
      <c r="J144" s="70"/>
      <c r="K144" s="70"/>
      <c r="L144" s="129">
        <v>13</v>
      </c>
      <c r="M144" s="70">
        <v>14</v>
      </c>
      <c r="N144" s="89" t="s">
        <v>375</v>
      </c>
      <c r="O144" s="32"/>
      <c r="P144" s="448"/>
      <c r="Q144" s="464">
        <v>1</v>
      </c>
      <c r="R144" s="33">
        <v>1</v>
      </c>
    </row>
    <row r="145" spans="1:19" ht="15" customHeight="1" x14ac:dyDescent="0.2">
      <c r="A145" s="1689"/>
      <c r="B145" s="1712"/>
      <c r="C145" s="1750"/>
      <c r="D145" s="1691"/>
      <c r="E145" s="1694"/>
      <c r="F145" s="1718"/>
      <c r="G145" s="1705"/>
      <c r="H145" s="1747"/>
      <c r="I145" s="87" t="s">
        <v>25</v>
      </c>
      <c r="J145" s="65"/>
      <c r="K145" s="1661">
        <v>4</v>
      </c>
      <c r="L145" s="103">
        <v>4</v>
      </c>
      <c r="M145" s="65"/>
      <c r="N145" s="1696" t="s">
        <v>376</v>
      </c>
      <c r="O145" s="1407"/>
      <c r="P145" s="463">
        <v>1</v>
      </c>
      <c r="Q145" s="1055">
        <v>1</v>
      </c>
      <c r="R145" s="1746"/>
    </row>
    <row r="146" spans="1:19" ht="22.5" customHeight="1" x14ac:dyDescent="0.2">
      <c r="A146" s="2029"/>
      <c r="B146" s="2111"/>
      <c r="C146" s="2475"/>
      <c r="D146" s="2454" t="s">
        <v>34</v>
      </c>
      <c r="E146" s="2101" t="s">
        <v>144</v>
      </c>
      <c r="F146" s="2112" t="s">
        <v>455</v>
      </c>
      <c r="G146" s="2034"/>
      <c r="H146" s="1747"/>
      <c r="I146" s="91" t="s">
        <v>70</v>
      </c>
      <c r="J146" s="1660">
        <v>486.4</v>
      </c>
      <c r="K146" s="203">
        <v>188.7</v>
      </c>
      <c r="L146" s="128">
        <v>188.7</v>
      </c>
      <c r="M146" s="1660"/>
      <c r="N146" s="1745" t="s">
        <v>377</v>
      </c>
      <c r="O146" s="1361">
        <v>125</v>
      </c>
      <c r="P146" s="1362">
        <v>205</v>
      </c>
      <c r="Q146" s="869"/>
      <c r="R146" s="665"/>
    </row>
    <row r="147" spans="1:19" ht="26.25" customHeight="1" x14ac:dyDescent="0.2">
      <c r="A147" s="2029"/>
      <c r="B147" s="2111"/>
      <c r="C147" s="2475"/>
      <c r="D147" s="2448"/>
      <c r="E147" s="2102"/>
      <c r="F147" s="2110"/>
      <c r="G147" s="2034"/>
      <c r="H147" s="1747"/>
      <c r="I147" s="90" t="s">
        <v>77</v>
      </c>
      <c r="J147" s="1661">
        <v>199.9</v>
      </c>
      <c r="K147" s="179"/>
      <c r="L147" s="90"/>
      <c r="M147" s="1661"/>
      <c r="N147" s="1771" t="s">
        <v>378</v>
      </c>
      <c r="O147" s="552">
        <v>65</v>
      </c>
      <c r="P147" s="553">
        <f>65+18</f>
        <v>83</v>
      </c>
      <c r="Q147" s="1359">
        <v>100</v>
      </c>
      <c r="R147" s="666"/>
      <c r="S147" s="992"/>
    </row>
    <row r="148" spans="1:19" ht="19.5" customHeight="1" x14ac:dyDescent="0.2">
      <c r="A148" s="1727"/>
      <c r="B148" s="1712"/>
      <c r="C148" s="390"/>
      <c r="D148" s="1676" t="s">
        <v>35</v>
      </c>
      <c r="E148" s="2129" t="s">
        <v>233</v>
      </c>
      <c r="F148" s="1709"/>
      <c r="G148" s="1705"/>
      <c r="H148" s="2455"/>
      <c r="I148" s="87" t="s">
        <v>70</v>
      </c>
      <c r="J148" s="65">
        <v>3</v>
      </c>
      <c r="K148" s="125"/>
      <c r="L148" s="87"/>
      <c r="M148" s="65"/>
      <c r="N148" s="1706" t="s">
        <v>234</v>
      </c>
      <c r="O148" s="1360">
        <v>1</v>
      </c>
      <c r="P148" s="264">
        <v>1</v>
      </c>
      <c r="Q148" s="463"/>
      <c r="R148" s="1746"/>
    </row>
    <row r="149" spans="1:19" ht="15" customHeight="1" x14ac:dyDescent="0.2">
      <c r="A149" s="1727"/>
      <c r="B149" s="1712"/>
      <c r="C149" s="390"/>
      <c r="D149" s="540"/>
      <c r="E149" s="2129"/>
      <c r="F149" s="118"/>
      <c r="G149" s="1705"/>
      <c r="H149" s="2529"/>
      <c r="I149" s="90" t="s">
        <v>77</v>
      </c>
      <c r="J149" s="1661"/>
      <c r="K149" s="126">
        <v>3</v>
      </c>
      <c r="L149" s="136"/>
      <c r="M149" s="136"/>
      <c r="N149" s="216"/>
      <c r="O149" s="1755"/>
      <c r="P149" s="339"/>
      <c r="Q149" s="321"/>
      <c r="R149" s="1734"/>
    </row>
    <row r="150" spans="1:19" ht="33" customHeight="1" x14ac:dyDescent="0.2">
      <c r="A150" s="1727"/>
      <c r="B150" s="1712"/>
      <c r="C150" s="436"/>
      <c r="D150" s="1377" t="s">
        <v>36</v>
      </c>
      <c r="E150" s="693" t="s">
        <v>381</v>
      </c>
      <c r="F150" s="312"/>
      <c r="G150" s="1775"/>
      <c r="H150" s="1769"/>
      <c r="I150" s="698" t="s">
        <v>70</v>
      </c>
      <c r="J150" s="697"/>
      <c r="K150" s="1382">
        <v>5</v>
      </c>
      <c r="L150" s="698"/>
      <c r="M150" s="697"/>
      <c r="N150" s="696" t="s">
        <v>382</v>
      </c>
      <c r="O150" s="1378"/>
      <c r="P150" s="1379">
        <v>1</v>
      </c>
      <c r="Q150" s="1380"/>
      <c r="R150" s="1381"/>
      <c r="S150" s="929" t="s">
        <v>409</v>
      </c>
    </row>
    <row r="151" spans="1:19" ht="18" customHeight="1" thickBot="1" x14ac:dyDescent="0.25">
      <c r="A151" s="1689"/>
      <c r="B151" s="1712"/>
      <c r="C151" s="436"/>
      <c r="D151" s="1487"/>
      <c r="E151" s="1485"/>
      <c r="F151" s="1505"/>
      <c r="G151" s="393"/>
      <c r="H151" s="885"/>
      <c r="I151" s="1488" t="s">
        <v>6</v>
      </c>
      <c r="J151" s="1489">
        <f>SUM(J124:J149)</f>
        <v>5836.7</v>
      </c>
      <c r="K151" s="1489">
        <f>SUM(K124:K150)</f>
        <v>5508</v>
      </c>
      <c r="L151" s="1489">
        <f>SUM(L124:L149)</f>
        <v>5729.7</v>
      </c>
      <c r="M151" s="1489">
        <f>SUM(M124:M149)</f>
        <v>5619.1</v>
      </c>
      <c r="N151" s="1490"/>
      <c r="O151" s="1491"/>
      <c r="P151" s="1492"/>
      <c r="Q151" s="1492"/>
      <c r="R151" s="1493"/>
    </row>
    <row r="152" spans="1:19" ht="27.75" customHeight="1" x14ac:dyDescent="0.2">
      <c r="A152" s="1719" t="s">
        <v>5</v>
      </c>
      <c r="B152" s="1720" t="s">
        <v>7</v>
      </c>
      <c r="C152" s="668" t="s">
        <v>7</v>
      </c>
      <c r="D152" s="1703"/>
      <c r="E152" s="1502" t="s">
        <v>403</v>
      </c>
      <c r="F152" s="1486"/>
      <c r="G152" s="1494"/>
      <c r="H152" s="452"/>
      <c r="I152" s="68"/>
      <c r="J152" s="1495"/>
      <c r="K152" s="95"/>
      <c r="L152" s="1496"/>
      <c r="M152" s="68"/>
      <c r="N152" s="1497"/>
      <c r="O152" s="1498"/>
      <c r="P152" s="1499"/>
      <c r="Q152" s="1500"/>
      <c r="R152" s="1501"/>
    </row>
    <row r="153" spans="1:19" ht="18" customHeight="1" x14ac:dyDescent="0.2">
      <c r="A153" s="1727"/>
      <c r="B153" s="1712"/>
      <c r="C153" s="390"/>
      <c r="D153" s="1749" t="s">
        <v>5</v>
      </c>
      <c r="E153" s="2101" t="s">
        <v>131</v>
      </c>
      <c r="F153" s="2112" t="s">
        <v>326</v>
      </c>
      <c r="G153" s="1691">
        <v>6</v>
      </c>
      <c r="H153" s="2457" t="s">
        <v>421</v>
      </c>
      <c r="I153" s="79" t="s">
        <v>70</v>
      </c>
      <c r="J153" s="79">
        <v>50</v>
      </c>
      <c r="K153" s="79"/>
      <c r="L153" s="79"/>
      <c r="M153" s="79"/>
      <c r="N153" s="1784" t="s">
        <v>379</v>
      </c>
      <c r="O153" s="1731">
        <v>13</v>
      </c>
      <c r="P153" s="1731"/>
      <c r="Q153" s="809"/>
      <c r="R153" s="1761"/>
      <c r="S153" s="992" t="s">
        <v>423</v>
      </c>
    </row>
    <row r="154" spans="1:19" ht="20.25" customHeight="1" x14ac:dyDescent="0.2">
      <c r="A154" s="1727"/>
      <c r="B154" s="1712"/>
      <c r="C154" s="390"/>
      <c r="D154" s="1676"/>
      <c r="E154" s="2108"/>
      <c r="F154" s="2109"/>
      <c r="G154" s="1691"/>
      <c r="H154" s="2300"/>
      <c r="I154" s="65" t="s">
        <v>70</v>
      </c>
      <c r="J154" s="87"/>
      <c r="K154" s="87">
        <v>33.4</v>
      </c>
      <c r="L154" s="65">
        <v>50</v>
      </c>
      <c r="M154" s="65"/>
      <c r="N154" s="1696" t="s">
        <v>236</v>
      </c>
      <c r="O154" s="1755">
        <v>5</v>
      </c>
      <c r="P154" s="1755">
        <v>3</v>
      </c>
      <c r="Q154" s="1755">
        <v>5</v>
      </c>
      <c r="R154" s="1734"/>
      <c r="S154" s="992"/>
    </row>
    <row r="155" spans="1:19" ht="14.25" customHeight="1" x14ac:dyDescent="0.2">
      <c r="A155" s="1727"/>
      <c r="B155" s="1712"/>
      <c r="C155" s="390"/>
      <c r="D155" s="1676"/>
      <c r="E155" s="2048"/>
      <c r="F155" s="2189"/>
      <c r="G155" s="1705"/>
      <c r="H155" s="1747"/>
      <c r="I155" s="65" t="s">
        <v>77</v>
      </c>
      <c r="J155" s="87"/>
      <c r="K155" s="1525"/>
      <c r="L155" s="65"/>
      <c r="M155" s="65"/>
      <c r="N155" s="1758"/>
      <c r="O155" s="926"/>
      <c r="P155" s="926"/>
      <c r="Q155" s="926"/>
      <c r="R155" s="1031"/>
    </row>
    <row r="156" spans="1:19" ht="30" customHeight="1" x14ac:dyDescent="0.2">
      <c r="A156" s="1727"/>
      <c r="B156" s="1712"/>
      <c r="C156" s="390"/>
      <c r="D156" s="1676"/>
      <c r="E156" s="1363"/>
      <c r="F156" s="118"/>
      <c r="G156" s="1775"/>
      <c r="H156" s="1524" t="s">
        <v>235</v>
      </c>
      <c r="I156" s="1063" t="s">
        <v>70</v>
      </c>
      <c r="J156" s="1062"/>
      <c r="K156" s="1641">
        <v>48</v>
      </c>
      <c r="L156" s="1062">
        <v>30</v>
      </c>
      <c r="M156" s="1062"/>
      <c r="N156" s="216" t="s">
        <v>132</v>
      </c>
      <c r="O156" s="20"/>
      <c r="P156" s="20">
        <v>8</v>
      </c>
      <c r="Q156" s="322">
        <v>5</v>
      </c>
      <c r="R156" s="21"/>
      <c r="S156" s="992"/>
    </row>
    <row r="157" spans="1:19" ht="16.5" customHeight="1" x14ac:dyDescent="0.2">
      <c r="A157" s="340"/>
      <c r="B157" s="1721"/>
      <c r="C157" s="1484"/>
      <c r="D157" s="1749" t="s">
        <v>7</v>
      </c>
      <c r="E157" s="2101" t="s">
        <v>404</v>
      </c>
      <c r="F157" s="1150" t="s">
        <v>47</v>
      </c>
      <c r="G157" s="1705" t="s">
        <v>43</v>
      </c>
      <c r="H157" s="2455" t="s">
        <v>137</v>
      </c>
      <c r="I157" s="242" t="s">
        <v>70</v>
      </c>
      <c r="J157" s="103">
        <v>150</v>
      </c>
      <c r="K157" s="65">
        <f>595.9-190</f>
        <v>405.9</v>
      </c>
      <c r="L157" s="103"/>
      <c r="M157" s="65"/>
      <c r="N157" s="1758" t="s">
        <v>367</v>
      </c>
      <c r="O157" s="1278" t="s">
        <v>215</v>
      </c>
      <c r="P157" s="1279" t="s">
        <v>366</v>
      </c>
      <c r="Q157" s="822"/>
      <c r="R157" s="583"/>
    </row>
    <row r="158" spans="1:19" ht="15" customHeight="1" x14ac:dyDescent="0.2">
      <c r="A158" s="340"/>
      <c r="B158" s="1721"/>
      <c r="C158" s="1484"/>
      <c r="D158" s="1676"/>
      <c r="E158" s="2048"/>
      <c r="F158" s="1715"/>
      <c r="G158" s="1705"/>
      <c r="H158" s="2300"/>
      <c r="I158" s="242" t="s">
        <v>70</v>
      </c>
      <c r="J158" s="245"/>
      <c r="K158" s="65">
        <v>26.5</v>
      </c>
      <c r="L158" s="103"/>
      <c r="M158" s="65">
        <v>354.4</v>
      </c>
      <c r="N158" s="1679" t="s">
        <v>259</v>
      </c>
      <c r="O158" s="38"/>
      <c r="P158" s="554" t="s">
        <v>56</v>
      </c>
      <c r="Q158" s="204"/>
      <c r="R158" s="362"/>
    </row>
    <row r="159" spans="1:19" ht="15.75" customHeight="1" x14ac:dyDescent="0.2">
      <c r="A159" s="340"/>
      <c r="B159" s="1721"/>
      <c r="C159" s="1484"/>
      <c r="D159" s="1676"/>
      <c r="E159" s="2048"/>
      <c r="F159" s="1715"/>
      <c r="G159" s="1705"/>
      <c r="H159" s="2300"/>
      <c r="I159" s="242" t="s">
        <v>25</v>
      </c>
      <c r="J159" s="245">
        <v>40</v>
      </c>
      <c r="K159" s="65"/>
      <c r="L159" s="103"/>
      <c r="M159" s="65"/>
      <c r="N159" s="841" t="s">
        <v>368</v>
      </c>
      <c r="O159" s="38"/>
      <c r="P159" s="554"/>
      <c r="Q159" s="204"/>
      <c r="R159" s="362" t="s">
        <v>224</v>
      </c>
    </row>
    <row r="160" spans="1:19" ht="18" customHeight="1" x14ac:dyDescent="0.2">
      <c r="A160" s="340"/>
      <c r="B160" s="1721"/>
      <c r="C160" s="1484"/>
      <c r="D160" s="1676"/>
      <c r="E160" s="1506"/>
      <c r="F160" s="1715"/>
      <c r="G160" s="1705"/>
      <c r="H160" s="2300"/>
      <c r="I160" s="1297"/>
      <c r="J160" s="1298"/>
      <c r="K160" s="70"/>
      <c r="L160" s="129"/>
      <c r="M160" s="70"/>
      <c r="N160" s="1299" t="s">
        <v>258</v>
      </c>
      <c r="O160" s="1282" t="s">
        <v>56</v>
      </c>
      <c r="P160" s="1279"/>
      <c r="Q160" s="822"/>
      <c r="R160" s="583"/>
    </row>
    <row r="161" spans="1:19" ht="35.25" customHeight="1" x14ac:dyDescent="0.2">
      <c r="A161" s="340"/>
      <c r="B161" s="1721"/>
      <c r="C161" s="1484"/>
      <c r="D161" s="1676"/>
      <c r="E161" s="2108" t="s">
        <v>406</v>
      </c>
      <c r="F161" s="1715"/>
      <c r="G161" s="1705"/>
      <c r="H161" s="1747"/>
      <c r="I161" s="242" t="s">
        <v>70</v>
      </c>
      <c r="J161" s="103"/>
      <c r="K161" s="65">
        <v>30</v>
      </c>
      <c r="L161" s="103">
        <v>160</v>
      </c>
      <c r="M161" s="65"/>
      <c r="N161" s="1696" t="s">
        <v>405</v>
      </c>
      <c r="O161" s="38"/>
      <c r="P161" s="554"/>
      <c r="Q161" s="204" t="s">
        <v>56</v>
      </c>
      <c r="R161" s="362"/>
      <c r="S161" s="992" t="s">
        <v>417</v>
      </c>
    </row>
    <row r="162" spans="1:19" ht="6.75" customHeight="1" x14ac:dyDescent="0.2">
      <c r="A162" s="340"/>
      <c r="B162" s="1721"/>
      <c r="C162" s="1484"/>
      <c r="D162" s="1676"/>
      <c r="E162" s="2297"/>
      <c r="F162" s="1718"/>
      <c r="G162" s="1775"/>
      <c r="H162" s="1769"/>
      <c r="I162" s="77"/>
      <c r="J162" s="162"/>
      <c r="K162" s="77"/>
      <c r="L162" s="162"/>
      <c r="M162" s="77"/>
      <c r="N162" s="853"/>
      <c r="O162" s="1277"/>
      <c r="P162" s="555"/>
      <c r="Q162" s="326"/>
      <c r="R162" s="475"/>
    </row>
    <row r="163" spans="1:19" ht="18" customHeight="1" thickBot="1" x14ac:dyDescent="0.25">
      <c r="A163" s="1700"/>
      <c r="B163" s="278"/>
      <c r="C163" s="379"/>
      <c r="D163" s="283"/>
      <c r="E163" s="396"/>
      <c r="F163" s="397"/>
      <c r="G163" s="189"/>
      <c r="H163" s="367"/>
      <c r="I163" s="141" t="s">
        <v>6</v>
      </c>
      <c r="J163" s="212">
        <f>SUM(J153:J162)</f>
        <v>240</v>
      </c>
      <c r="K163" s="212">
        <f>SUM(K153:K162)</f>
        <v>543.79999999999995</v>
      </c>
      <c r="L163" s="212">
        <f>SUM(L153:L162)</f>
        <v>240</v>
      </c>
      <c r="M163" s="212">
        <f>SUM(M153:M162)</f>
        <v>354.4</v>
      </c>
      <c r="N163" s="398"/>
      <c r="O163" s="1438"/>
      <c r="P163" s="1503"/>
      <c r="Q163" s="1503"/>
      <c r="R163" s="1504"/>
    </row>
    <row r="164" spans="1:19" ht="16.5" customHeight="1" x14ac:dyDescent="0.2">
      <c r="A164" s="2131" t="s">
        <v>5</v>
      </c>
      <c r="B164" s="2134" t="s">
        <v>7</v>
      </c>
      <c r="C164" s="2137" t="s">
        <v>28</v>
      </c>
      <c r="D164" s="2479"/>
      <c r="E164" s="2416" t="s">
        <v>130</v>
      </c>
      <c r="F164" s="1149" t="s">
        <v>47</v>
      </c>
      <c r="G164" s="2137">
        <v>5</v>
      </c>
      <c r="H164" s="2469" t="s">
        <v>73</v>
      </c>
      <c r="I164" s="190" t="s">
        <v>25</v>
      </c>
      <c r="J164" s="103">
        <v>113</v>
      </c>
      <c r="K164" s="190">
        <v>639.5</v>
      </c>
      <c r="L164" s="103"/>
      <c r="M164" s="190"/>
      <c r="N164" s="2413" t="s">
        <v>263</v>
      </c>
      <c r="O164" s="282"/>
      <c r="P164" s="282">
        <v>17</v>
      </c>
      <c r="Q164" s="1036"/>
      <c r="R164" s="654"/>
    </row>
    <row r="165" spans="1:19" ht="16.5" customHeight="1" x14ac:dyDescent="0.2">
      <c r="A165" s="2132"/>
      <c r="B165" s="2135"/>
      <c r="C165" s="2138"/>
      <c r="D165" s="2031"/>
      <c r="E165" s="2108"/>
      <c r="F165" s="1150" t="s">
        <v>327</v>
      </c>
      <c r="G165" s="2138"/>
      <c r="H165" s="2455"/>
      <c r="I165" s="65" t="s">
        <v>62</v>
      </c>
      <c r="J165" s="103"/>
      <c r="K165" s="65">
        <v>113</v>
      </c>
      <c r="L165" s="103"/>
      <c r="M165" s="65"/>
      <c r="N165" s="2414"/>
      <c r="O165" s="1755"/>
      <c r="P165" s="1755"/>
      <c r="Q165" s="321"/>
      <c r="R165" s="1734"/>
    </row>
    <row r="166" spans="1:19" ht="21" customHeight="1" x14ac:dyDescent="0.2">
      <c r="A166" s="2132"/>
      <c r="B166" s="2135"/>
      <c r="C166" s="2138"/>
      <c r="D166" s="2031"/>
      <c r="E166" s="2108"/>
      <c r="F166" s="1150"/>
      <c r="G166" s="2138"/>
      <c r="H166" s="2455"/>
      <c r="I166" s="65" t="s">
        <v>309</v>
      </c>
      <c r="J166" s="103">
        <v>640</v>
      </c>
      <c r="K166" s="65">
        <v>3624.5</v>
      </c>
      <c r="L166" s="103"/>
      <c r="M166" s="65"/>
      <c r="N166" s="2533"/>
      <c r="O166" s="1755"/>
      <c r="P166" s="1755"/>
      <c r="Q166" s="321"/>
      <c r="R166" s="1734"/>
      <c r="S166" s="992"/>
    </row>
    <row r="167" spans="1:19" ht="16.5" customHeight="1" thickBot="1" x14ac:dyDescent="0.25">
      <c r="A167" s="2133"/>
      <c r="B167" s="2136"/>
      <c r="C167" s="2139"/>
      <c r="D167" s="2480"/>
      <c r="E167" s="241"/>
      <c r="F167" s="1151"/>
      <c r="G167" s="2139"/>
      <c r="H167" s="2470"/>
      <c r="I167" s="93" t="s">
        <v>6</v>
      </c>
      <c r="J167" s="283">
        <f t="shared" ref="J167:M167" si="3">SUM(J164:J166)</f>
        <v>753</v>
      </c>
      <c r="K167" s="93">
        <f t="shared" si="3"/>
        <v>4377</v>
      </c>
      <c r="L167" s="283">
        <f t="shared" si="3"/>
        <v>0</v>
      </c>
      <c r="M167" s="93">
        <f t="shared" si="3"/>
        <v>0</v>
      </c>
      <c r="N167" s="1058"/>
      <c r="O167" s="192"/>
      <c r="P167" s="192"/>
      <c r="Q167" s="807"/>
      <c r="R167" s="599"/>
    </row>
    <row r="168" spans="1:19" ht="14.25" customHeight="1" thickBot="1" x14ac:dyDescent="0.25">
      <c r="A168" s="94" t="s">
        <v>5</v>
      </c>
      <c r="B168" s="280" t="s">
        <v>7</v>
      </c>
      <c r="C168" s="2154" t="s">
        <v>8</v>
      </c>
      <c r="D168" s="2155"/>
      <c r="E168" s="2155"/>
      <c r="F168" s="2155"/>
      <c r="G168" s="2155"/>
      <c r="H168" s="2155"/>
      <c r="I168" s="2156"/>
      <c r="J168" s="361">
        <f>J167+J163+J151</f>
        <v>6829.7</v>
      </c>
      <c r="K168" s="361">
        <f>K167+K163+K151</f>
        <v>10428.799999999999</v>
      </c>
      <c r="L168" s="361">
        <f>L167+L163+L151</f>
        <v>5969.7</v>
      </c>
      <c r="M168" s="361">
        <f>M167+M163+M151</f>
        <v>5973.5</v>
      </c>
      <c r="N168" s="2157"/>
      <c r="O168" s="2157"/>
      <c r="P168" s="2157"/>
      <c r="Q168" s="2157"/>
      <c r="R168" s="2158"/>
    </row>
    <row r="169" spans="1:19" ht="18" customHeight="1" thickBot="1" x14ac:dyDescent="0.25">
      <c r="A169" s="82" t="s">
        <v>5</v>
      </c>
      <c r="B169" s="280" t="s">
        <v>28</v>
      </c>
      <c r="C169" s="2159" t="s">
        <v>118</v>
      </c>
      <c r="D169" s="2160"/>
      <c r="E169" s="2160"/>
      <c r="F169" s="2160"/>
      <c r="G169" s="2160"/>
      <c r="H169" s="2160"/>
      <c r="I169" s="2160"/>
      <c r="J169" s="2160"/>
      <c r="K169" s="2160"/>
      <c r="L169" s="2160"/>
      <c r="M169" s="2160"/>
      <c r="N169" s="2160"/>
      <c r="O169" s="2160"/>
      <c r="P169" s="2160"/>
      <c r="Q169" s="2160"/>
      <c r="R169" s="2161"/>
    </row>
    <row r="170" spans="1:19" ht="27" customHeight="1" x14ac:dyDescent="0.2">
      <c r="A170" s="1699" t="s">
        <v>5</v>
      </c>
      <c r="B170" s="279" t="s">
        <v>28</v>
      </c>
      <c r="C170" s="384" t="s">
        <v>5</v>
      </c>
      <c r="D170" s="1753"/>
      <c r="E170" s="227" t="s">
        <v>114</v>
      </c>
      <c r="F170" s="117" t="s">
        <v>79</v>
      </c>
      <c r="G170" s="1704"/>
      <c r="H170" s="238"/>
      <c r="I170" s="95"/>
      <c r="J170" s="84"/>
      <c r="K170" s="138"/>
      <c r="L170" s="138"/>
      <c r="M170" s="138"/>
      <c r="N170" s="96"/>
      <c r="O170" s="195"/>
      <c r="P170" s="193"/>
      <c r="Q170" s="193"/>
      <c r="R170" s="335"/>
    </row>
    <row r="171" spans="1:19" ht="13.5" customHeight="1" x14ac:dyDescent="0.2">
      <c r="A171" s="1689"/>
      <c r="B171" s="1712"/>
      <c r="C171" s="1750"/>
      <c r="D171" s="1763" t="s">
        <v>5</v>
      </c>
      <c r="E171" s="2032" t="s">
        <v>112</v>
      </c>
      <c r="F171" s="2143" t="s">
        <v>78</v>
      </c>
      <c r="G171" s="426" t="s">
        <v>37</v>
      </c>
      <c r="H171" s="2457" t="s">
        <v>76</v>
      </c>
      <c r="I171" s="1660" t="s">
        <v>105</v>
      </c>
      <c r="J171" s="91"/>
      <c r="K171" s="134"/>
      <c r="L171" s="1660"/>
      <c r="M171" s="1660"/>
      <c r="N171" s="1729"/>
      <c r="O171" s="232"/>
      <c r="P171" s="40"/>
      <c r="Q171" s="805"/>
      <c r="R171" s="35"/>
    </row>
    <row r="172" spans="1:19" ht="15" customHeight="1" x14ac:dyDescent="0.2">
      <c r="A172" s="1689"/>
      <c r="B172" s="1712"/>
      <c r="C172" s="1750"/>
      <c r="D172" s="1687"/>
      <c r="E172" s="2141"/>
      <c r="F172" s="2144"/>
      <c r="G172" s="1705"/>
      <c r="H172" s="2455"/>
      <c r="I172" s="65" t="s">
        <v>25</v>
      </c>
      <c r="J172" s="87"/>
      <c r="K172" s="135"/>
      <c r="L172" s="65"/>
      <c r="M172" s="65"/>
      <c r="N172" s="1706"/>
      <c r="O172" s="1755"/>
      <c r="P172" s="321"/>
      <c r="Q172" s="1055"/>
      <c r="R172" s="1746"/>
    </row>
    <row r="173" spans="1:19" ht="18.75" customHeight="1" x14ac:dyDescent="0.2">
      <c r="A173" s="1689"/>
      <c r="B173" s="1712"/>
      <c r="C173" s="1750"/>
      <c r="D173" s="1687"/>
      <c r="E173" s="2141"/>
      <c r="F173" s="2050"/>
      <c r="G173" s="1705"/>
      <c r="H173" s="2455"/>
      <c r="I173" s="65" t="s">
        <v>77</v>
      </c>
      <c r="J173" s="87"/>
      <c r="K173" s="139"/>
      <c r="L173" s="70"/>
      <c r="M173" s="70"/>
      <c r="N173" s="237"/>
      <c r="O173" s="926"/>
      <c r="P173" s="331"/>
      <c r="Q173" s="368"/>
      <c r="R173" s="1031"/>
    </row>
    <row r="174" spans="1:19" ht="25.5" customHeight="1" x14ac:dyDescent="0.2">
      <c r="A174" s="1689"/>
      <c r="B174" s="1712"/>
      <c r="C174" s="1750"/>
      <c r="D174" s="1687"/>
      <c r="E174" s="2141"/>
      <c r="F174" s="1709"/>
      <c r="G174" s="1705"/>
      <c r="H174" s="2455"/>
      <c r="I174" s="79" t="s">
        <v>70</v>
      </c>
      <c r="J174" s="450">
        <v>55.1</v>
      </c>
      <c r="K174" s="135">
        <v>190.8</v>
      </c>
      <c r="L174" s="65">
        <v>190.8</v>
      </c>
      <c r="M174" s="65">
        <v>190.8</v>
      </c>
      <c r="N174" s="1706" t="s">
        <v>119</v>
      </c>
      <c r="O174" s="232">
        <v>13.8</v>
      </c>
      <c r="P174" s="40">
        <v>14.5</v>
      </c>
      <c r="Q174" s="40">
        <v>14.5</v>
      </c>
      <c r="R174" s="41">
        <v>14.5</v>
      </c>
    </row>
    <row r="175" spans="1:19" ht="15" customHeight="1" x14ac:dyDescent="0.2">
      <c r="A175" s="1689"/>
      <c r="B175" s="1712"/>
      <c r="C175" s="1750"/>
      <c r="D175" s="1687"/>
      <c r="E175" s="2141"/>
      <c r="F175" s="1709"/>
      <c r="G175" s="1705"/>
      <c r="H175" s="2455"/>
      <c r="I175" s="65" t="s">
        <v>105</v>
      </c>
      <c r="J175" s="135">
        <v>100</v>
      </c>
      <c r="K175" s="135">
        <v>120</v>
      </c>
      <c r="L175" s="65">
        <v>120</v>
      </c>
      <c r="M175" s="65">
        <v>120</v>
      </c>
      <c r="N175" s="1706" t="s">
        <v>38</v>
      </c>
      <c r="O175" s="1755">
        <v>67</v>
      </c>
      <c r="P175" s="321">
        <f>66+5</f>
        <v>71</v>
      </c>
      <c r="Q175" s="1783">
        <v>71</v>
      </c>
      <c r="R175" s="1734">
        <v>71</v>
      </c>
    </row>
    <row r="176" spans="1:19" ht="15.75" customHeight="1" x14ac:dyDescent="0.2">
      <c r="A176" s="1689"/>
      <c r="B176" s="1712"/>
      <c r="C176" s="1750"/>
      <c r="D176" s="1687"/>
      <c r="E176" s="2141"/>
      <c r="F176" s="1709"/>
      <c r="G176" s="1705"/>
      <c r="H176" s="2455"/>
      <c r="I176" s="70" t="s">
        <v>77</v>
      </c>
      <c r="J176" s="139">
        <f>149.2-11.7</f>
        <v>137.5</v>
      </c>
      <c r="K176" s="139"/>
      <c r="L176" s="70"/>
      <c r="M176" s="70"/>
      <c r="N176" s="1573" t="s">
        <v>84</v>
      </c>
      <c r="O176" s="1574">
        <v>1.8</v>
      </c>
      <c r="P176" s="453"/>
      <c r="Q176" s="717"/>
      <c r="R176" s="454"/>
    </row>
    <row r="177" spans="1:19" ht="15.75" customHeight="1" x14ac:dyDescent="0.2">
      <c r="A177" s="1689"/>
      <c r="B177" s="1712"/>
      <c r="C177" s="1750"/>
      <c r="D177" s="1687"/>
      <c r="E177" s="2141"/>
      <c r="F177" s="1709"/>
      <c r="G177" s="1705"/>
      <c r="H177" s="2455"/>
      <c r="I177" s="62" t="s">
        <v>70</v>
      </c>
      <c r="J177" s="62"/>
      <c r="K177" s="135">
        <v>18.3</v>
      </c>
      <c r="L177" s="65"/>
      <c r="M177" s="65"/>
      <c r="N177" s="1368" t="s">
        <v>445</v>
      </c>
      <c r="O177" s="25">
        <v>165</v>
      </c>
      <c r="P177" s="1404">
        <v>100</v>
      </c>
      <c r="Q177" s="1405"/>
      <c r="R177" s="1406"/>
    </row>
    <row r="178" spans="1:19" ht="13.5" customHeight="1" x14ac:dyDescent="0.2">
      <c r="A178" s="1689"/>
      <c r="B178" s="1712"/>
      <c r="C178" s="1750"/>
      <c r="D178" s="1687"/>
      <c r="E178" s="2141"/>
      <c r="F178" s="1709"/>
      <c r="G178" s="1705"/>
      <c r="H178" s="2455"/>
      <c r="I178" s="65" t="s">
        <v>25</v>
      </c>
      <c r="J178" s="87"/>
      <c r="K178" s="450">
        <v>104</v>
      </c>
      <c r="L178" s="79"/>
      <c r="M178" s="79"/>
      <c r="N178" s="2525" t="s">
        <v>443</v>
      </c>
      <c r="O178" s="1755"/>
      <c r="P178" s="321">
        <v>100</v>
      </c>
      <c r="Q178" s="40"/>
      <c r="R178" s="41"/>
    </row>
    <row r="179" spans="1:19" ht="15" customHeight="1" x14ac:dyDescent="0.2">
      <c r="A179" s="1689"/>
      <c r="B179" s="1712"/>
      <c r="C179" s="1750"/>
      <c r="D179" s="1687"/>
      <c r="E179" s="2141"/>
      <c r="F179" s="1709"/>
      <c r="G179" s="1705"/>
      <c r="H179" s="2455"/>
      <c r="I179" s="65" t="s">
        <v>77</v>
      </c>
      <c r="J179" s="148">
        <v>12.8</v>
      </c>
      <c r="K179" s="139"/>
      <c r="L179" s="70"/>
      <c r="M179" s="70"/>
      <c r="N179" s="2530"/>
      <c r="O179" s="1369"/>
      <c r="P179" s="331"/>
      <c r="Q179" s="1366"/>
      <c r="R179" s="1367"/>
    </row>
    <row r="180" spans="1:19" ht="27" customHeight="1" x14ac:dyDescent="0.2">
      <c r="A180" s="1689"/>
      <c r="B180" s="1712"/>
      <c r="C180" s="1750"/>
      <c r="D180" s="1687"/>
      <c r="E180" s="2141"/>
      <c r="F180" s="1709"/>
      <c r="G180" s="1705"/>
      <c r="H180" s="2455"/>
      <c r="I180" s="62" t="s">
        <v>70</v>
      </c>
      <c r="J180" s="62"/>
      <c r="K180" s="137">
        <v>45</v>
      </c>
      <c r="L180" s="62"/>
      <c r="M180" s="62"/>
      <c r="N180" s="221" t="s">
        <v>380</v>
      </c>
      <c r="O180" s="25"/>
      <c r="P180" s="25">
        <v>1</v>
      </c>
      <c r="Q180" s="1372"/>
      <c r="R180" s="1373"/>
      <c r="S180" s="992"/>
    </row>
    <row r="181" spans="1:19" ht="19.5" customHeight="1" x14ac:dyDescent="0.2">
      <c r="A181" s="1689"/>
      <c r="B181" s="1712"/>
      <c r="C181" s="1750"/>
      <c r="D181" s="1687"/>
      <c r="E181" s="2141"/>
      <c r="F181" s="1709"/>
      <c r="G181" s="1705"/>
      <c r="H181" s="2455"/>
      <c r="I181" s="65" t="s">
        <v>77</v>
      </c>
      <c r="J181" s="135">
        <v>54</v>
      </c>
      <c r="K181" s="421"/>
      <c r="L181" s="263"/>
      <c r="M181" s="263"/>
      <c r="N181" s="2531" t="s">
        <v>383</v>
      </c>
      <c r="O181" s="1371">
        <v>3</v>
      </c>
      <c r="P181" s="321"/>
      <c r="Q181" s="876"/>
      <c r="R181" s="662"/>
    </row>
    <row r="182" spans="1:19" ht="36.75" customHeight="1" x14ac:dyDescent="0.2">
      <c r="A182" s="1689"/>
      <c r="B182" s="1712"/>
      <c r="C182" s="1750"/>
      <c r="D182" s="1687"/>
      <c r="E182" s="2141"/>
      <c r="F182" s="1709"/>
      <c r="G182" s="1705"/>
      <c r="H182" s="2455"/>
      <c r="I182" s="70" t="s">
        <v>62</v>
      </c>
      <c r="J182" s="139">
        <f>150-16.7</f>
        <v>133.30000000000001</v>
      </c>
      <c r="K182" s="1358"/>
      <c r="L182" s="1357"/>
      <c r="M182" s="1357"/>
      <c r="N182" s="2532"/>
      <c r="O182" s="1370"/>
      <c r="P182" s="331"/>
      <c r="Q182" s="1059"/>
      <c r="R182" s="718"/>
      <c r="S182" s="992"/>
    </row>
    <row r="183" spans="1:19" ht="16.5" customHeight="1" x14ac:dyDescent="0.2">
      <c r="A183" s="1689"/>
      <c r="B183" s="1712"/>
      <c r="C183" s="1750"/>
      <c r="D183" s="1777"/>
      <c r="E183" s="1683"/>
      <c r="F183" s="1709"/>
      <c r="G183" s="1705"/>
      <c r="H183" s="1747"/>
      <c r="I183" s="1661" t="s">
        <v>62</v>
      </c>
      <c r="J183" s="139">
        <v>49</v>
      </c>
      <c r="K183" s="1358"/>
      <c r="L183" s="1357"/>
      <c r="M183" s="1357"/>
      <c r="N183" s="1364" t="s">
        <v>294</v>
      </c>
      <c r="O183" s="1312">
        <v>100</v>
      </c>
      <c r="P183" s="1365"/>
      <c r="Q183" s="1372"/>
      <c r="R183" s="1373"/>
    </row>
    <row r="184" spans="1:19" ht="15" customHeight="1" x14ac:dyDescent="0.2">
      <c r="A184" s="1689"/>
      <c r="B184" s="1712"/>
      <c r="C184" s="1750"/>
      <c r="D184" s="1687" t="s">
        <v>7</v>
      </c>
      <c r="E184" s="1708" t="s">
        <v>66</v>
      </c>
      <c r="F184" s="337"/>
      <c r="G184" s="1687"/>
      <c r="H184" s="1748"/>
      <c r="I184" s="65" t="s">
        <v>105</v>
      </c>
      <c r="J184" s="91">
        <v>150</v>
      </c>
      <c r="K184" s="134">
        <v>120</v>
      </c>
      <c r="L184" s="1660">
        <v>120</v>
      </c>
      <c r="M184" s="1660">
        <v>120</v>
      </c>
      <c r="N184" s="1729" t="s">
        <v>85</v>
      </c>
      <c r="O184" s="1731">
        <v>1</v>
      </c>
      <c r="P184" s="1731">
        <v>1</v>
      </c>
      <c r="Q184" s="1738">
        <v>1</v>
      </c>
      <c r="R184" s="1761">
        <v>1</v>
      </c>
    </row>
    <row r="185" spans="1:19" ht="15" customHeight="1" x14ac:dyDescent="0.2">
      <c r="A185" s="1689"/>
      <c r="B185" s="1712"/>
      <c r="C185" s="1750"/>
      <c r="D185" s="1687"/>
      <c r="E185" s="1683"/>
      <c r="F185" s="1374"/>
      <c r="G185" s="1687"/>
      <c r="H185" s="1748"/>
      <c r="I185" s="65" t="s">
        <v>70</v>
      </c>
      <c r="J185" s="87">
        <v>4.9000000000000004</v>
      </c>
      <c r="K185" s="135">
        <v>15</v>
      </c>
      <c r="L185" s="87">
        <v>15</v>
      </c>
      <c r="M185" s="87">
        <v>15</v>
      </c>
      <c r="N185" s="1706"/>
      <c r="O185" s="1755"/>
      <c r="P185" s="1755"/>
      <c r="Q185" s="321"/>
      <c r="R185" s="1734"/>
    </row>
    <row r="186" spans="1:19" ht="16.5" customHeight="1" x14ac:dyDescent="0.2">
      <c r="A186" s="1689"/>
      <c r="B186" s="1712"/>
      <c r="C186" s="1750"/>
      <c r="D186" s="1777"/>
      <c r="E186" s="1690"/>
      <c r="F186" s="142"/>
      <c r="G186" s="1687"/>
      <c r="H186" s="1748"/>
      <c r="I186" s="1661" t="s">
        <v>77</v>
      </c>
      <c r="J186" s="90">
        <v>12.3</v>
      </c>
      <c r="K186" s="136"/>
      <c r="L186" s="90"/>
      <c r="M186" s="90"/>
      <c r="N186" s="216"/>
      <c r="O186" s="20"/>
      <c r="P186" s="20"/>
      <c r="Q186" s="322"/>
      <c r="R186" s="21"/>
    </row>
    <row r="187" spans="1:19" ht="13.5" customHeight="1" x14ac:dyDescent="0.2">
      <c r="A187" s="1689"/>
      <c r="B187" s="1712"/>
      <c r="C187" s="1750"/>
      <c r="D187" s="1749" t="s">
        <v>28</v>
      </c>
      <c r="E187" s="2037" t="s">
        <v>121</v>
      </c>
      <c r="F187" s="1061"/>
      <c r="G187" s="497"/>
      <c r="H187" s="2487"/>
      <c r="I187" s="65" t="s">
        <v>70</v>
      </c>
      <c r="J187" s="91"/>
      <c r="K187" s="134">
        <v>8</v>
      </c>
      <c r="L187" s="134">
        <v>8</v>
      </c>
      <c r="M187" s="134">
        <v>8</v>
      </c>
      <c r="N187" s="2343" t="s">
        <v>269</v>
      </c>
      <c r="O187" s="2149">
        <v>14</v>
      </c>
      <c r="P187" s="2149">
        <v>14</v>
      </c>
      <c r="Q187" s="2147">
        <v>14</v>
      </c>
      <c r="R187" s="2476">
        <v>14</v>
      </c>
    </row>
    <row r="188" spans="1:19" ht="10.5" customHeight="1" x14ac:dyDescent="0.2">
      <c r="A188" s="1689"/>
      <c r="B188" s="1712"/>
      <c r="C188" s="1750"/>
      <c r="D188" s="1687"/>
      <c r="E188" s="2038"/>
      <c r="F188" s="684"/>
      <c r="G188" s="497"/>
      <c r="H188" s="2487"/>
      <c r="I188" s="65"/>
      <c r="J188" s="65"/>
      <c r="K188" s="135"/>
      <c r="L188" s="65"/>
      <c r="M188" s="65"/>
      <c r="N188" s="2218"/>
      <c r="O188" s="2471"/>
      <c r="P188" s="2471"/>
      <c r="Q188" s="2523"/>
      <c r="R188" s="2172"/>
    </row>
    <row r="189" spans="1:19" ht="15.75" customHeight="1" x14ac:dyDescent="0.2">
      <c r="A189" s="1689"/>
      <c r="B189" s="1712"/>
      <c r="C189" s="1750"/>
      <c r="D189" s="1777"/>
      <c r="E189" s="2422"/>
      <c r="F189" s="685"/>
      <c r="G189" s="497"/>
      <c r="H189" s="1765"/>
      <c r="I189" s="65" t="s">
        <v>77</v>
      </c>
      <c r="J189" s="87">
        <v>8</v>
      </c>
      <c r="K189" s="87"/>
      <c r="L189" s="87"/>
      <c r="M189" s="87"/>
      <c r="N189" s="1706"/>
      <c r="O189" s="1783"/>
      <c r="P189" s="1755"/>
      <c r="Q189" s="321"/>
      <c r="R189" s="1734"/>
    </row>
    <row r="190" spans="1:19" ht="12" customHeight="1" x14ac:dyDescent="0.2">
      <c r="A190" s="1689"/>
      <c r="B190" s="1712"/>
      <c r="C190" s="1750"/>
      <c r="D190" s="1676" t="s">
        <v>33</v>
      </c>
      <c r="E190" s="2129" t="s">
        <v>113</v>
      </c>
      <c r="F190" s="1132"/>
      <c r="G190" s="925"/>
      <c r="H190" s="2455"/>
      <c r="I190" s="1660"/>
      <c r="J190" s="153"/>
      <c r="K190" s="91"/>
      <c r="L190" s="91"/>
      <c r="M190" s="91"/>
      <c r="N190" s="2382"/>
      <c r="O190" s="2464"/>
      <c r="P190" s="2464"/>
      <c r="Q190" s="2464"/>
      <c r="R190" s="2472"/>
    </row>
    <row r="191" spans="1:19" ht="14.25" customHeight="1" x14ac:dyDescent="0.2">
      <c r="A191" s="1689"/>
      <c r="B191" s="1712"/>
      <c r="C191" s="1750"/>
      <c r="D191" s="1676"/>
      <c r="E191" s="2463"/>
      <c r="F191" s="1688"/>
      <c r="G191" s="925"/>
      <c r="H191" s="2478"/>
      <c r="I191" s="70"/>
      <c r="J191" s="148"/>
      <c r="K191" s="148"/>
      <c r="L191" s="148"/>
      <c r="M191" s="148"/>
      <c r="N191" s="2466"/>
      <c r="O191" s="2467"/>
      <c r="P191" s="2465"/>
      <c r="Q191" s="2465"/>
      <c r="R191" s="2473"/>
    </row>
    <row r="192" spans="1:19" ht="29.25" customHeight="1" x14ac:dyDescent="0.2">
      <c r="A192" s="1689"/>
      <c r="B192" s="1712"/>
      <c r="C192" s="1750"/>
      <c r="D192" s="1676"/>
      <c r="E192" s="1760"/>
      <c r="F192" s="1725"/>
      <c r="G192" s="925"/>
      <c r="H192" s="1747" t="s">
        <v>125</v>
      </c>
      <c r="I192" s="62" t="s">
        <v>70</v>
      </c>
      <c r="J192" s="197">
        <f>476+12+30</f>
        <v>518</v>
      </c>
      <c r="K192" s="88">
        <v>544</v>
      </c>
      <c r="L192" s="88">
        <v>564</v>
      </c>
      <c r="M192" s="88">
        <v>574</v>
      </c>
      <c r="N192" s="221" t="s">
        <v>155</v>
      </c>
      <c r="O192" s="681">
        <v>170</v>
      </c>
      <c r="P192" s="681">
        <v>172</v>
      </c>
      <c r="Q192" s="681">
        <v>174</v>
      </c>
      <c r="R192" s="682">
        <v>175</v>
      </c>
    </row>
    <row r="193" spans="1:19" ht="38.25" customHeight="1" x14ac:dyDescent="0.2">
      <c r="A193" s="1689"/>
      <c r="B193" s="1712"/>
      <c r="C193" s="1750"/>
      <c r="D193" s="1752"/>
      <c r="E193" s="1695"/>
      <c r="F193" s="118"/>
      <c r="G193" s="925"/>
      <c r="H193" s="1376" t="s">
        <v>76</v>
      </c>
      <c r="I193" s="1062" t="s">
        <v>70</v>
      </c>
      <c r="J193" s="1063">
        <v>135.1</v>
      </c>
      <c r="K193" s="1063"/>
      <c r="L193" s="1063"/>
      <c r="M193" s="1063"/>
      <c r="N193" s="1375" t="s">
        <v>150</v>
      </c>
      <c r="O193" s="1137"/>
      <c r="P193" s="1137"/>
      <c r="Q193" s="1137"/>
      <c r="R193" s="594"/>
    </row>
    <row r="194" spans="1:19" ht="18.75" customHeight="1" x14ac:dyDescent="0.2">
      <c r="A194" s="1727"/>
      <c r="B194" s="1712"/>
      <c r="C194" s="390"/>
      <c r="D194" s="1676" t="s">
        <v>34</v>
      </c>
      <c r="E194" s="2129" t="s">
        <v>173</v>
      </c>
      <c r="F194" s="1725" t="s">
        <v>47</v>
      </c>
      <c r="G194" s="1691"/>
      <c r="H194" s="2455"/>
      <c r="I194" s="65" t="s">
        <v>25</v>
      </c>
      <c r="J194" s="87">
        <v>90.1</v>
      </c>
      <c r="K194" s="87">
        <v>76.5</v>
      </c>
      <c r="L194" s="87"/>
      <c r="M194" s="87"/>
      <c r="N194" s="2218" t="s">
        <v>151</v>
      </c>
      <c r="O194" s="502">
        <v>33</v>
      </c>
      <c r="P194" s="502">
        <v>15</v>
      </c>
      <c r="Q194" s="522"/>
      <c r="R194" s="213"/>
      <c r="S194" s="992"/>
    </row>
    <row r="195" spans="1:19" ht="21" customHeight="1" x14ac:dyDescent="0.2">
      <c r="A195" s="1727"/>
      <c r="B195" s="1712"/>
      <c r="C195" s="389"/>
      <c r="D195" s="1752"/>
      <c r="E195" s="2175"/>
      <c r="F195" s="119"/>
      <c r="G195" s="1705"/>
      <c r="H195" s="2529"/>
      <c r="I195" s="1661" t="s">
        <v>70</v>
      </c>
      <c r="J195" s="90">
        <v>95.9</v>
      </c>
      <c r="K195" s="136"/>
      <c r="L195" s="136"/>
      <c r="M195" s="136"/>
      <c r="N195" s="2477"/>
      <c r="O195" s="503"/>
      <c r="P195" s="503"/>
      <c r="Q195" s="1037"/>
      <c r="R195" s="1060"/>
    </row>
    <row r="196" spans="1:19" ht="16.5" customHeight="1" x14ac:dyDescent="0.2">
      <c r="A196" s="1727"/>
      <c r="B196" s="1712"/>
      <c r="C196" s="389"/>
      <c r="D196" s="2484" t="s">
        <v>35</v>
      </c>
      <c r="E196" s="2032" t="s">
        <v>447</v>
      </c>
      <c r="F196" s="1557" t="s">
        <v>47</v>
      </c>
      <c r="G196" s="1705"/>
      <c r="H196" s="1759"/>
      <c r="I196" s="1663" t="s">
        <v>25</v>
      </c>
      <c r="J196" s="1660"/>
      <c r="K196" s="1660">
        <v>20</v>
      </c>
      <c r="L196" s="1660"/>
      <c r="M196" s="1660"/>
      <c r="N196" s="1346" t="s">
        <v>97</v>
      </c>
      <c r="O196" s="1347"/>
      <c r="P196" s="1348">
        <v>1</v>
      </c>
      <c r="Q196" s="1349"/>
      <c r="R196" s="1350"/>
    </row>
    <row r="197" spans="1:19" ht="30" customHeight="1" x14ac:dyDescent="0.2">
      <c r="A197" s="1727"/>
      <c r="B197" s="1712"/>
      <c r="C197" s="389"/>
      <c r="D197" s="2485"/>
      <c r="E197" s="2033"/>
      <c r="F197" s="558"/>
      <c r="G197" s="1775"/>
      <c r="H197" s="1401"/>
      <c r="I197" s="1664" t="s">
        <v>105</v>
      </c>
      <c r="J197" s="1661"/>
      <c r="K197" s="1661"/>
      <c r="L197" s="1665">
        <v>100</v>
      </c>
      <c r="M197" s="1665">
        <v>200</v>
      </c>
      <c r="N197" s="520" t="s">
        <v>425</v>
      </c>
      <c r="O197" s="1352"/>
      <c r="P197" s="1353"/>
      <c r="Q197" s="1558">
        <v>20</v>
      </c>
      <c r="R197" s="1355">
        <v>100</v>
      </c>
      <c r="S197" s="929" t="s">
        <v>457</v>
      </c>
    </row>
    <row r="198" spans="1:19" ht="15.75" customHeight="1" thickBot="1" x14ac:dyDescent="0.25">
      <c r="A198" s="72"/>
      <c r="B198" s="1702"/>
      <c r="C198" s="189"/>
      <c r="D198" s="283"/>
      <c r="E198" s="396"/>
      <c r="F198" s="397"/>
      <c r="G198" s="189"/>
      <c r="H198" s="367"/>
      <c r="I198" s="141" t="s">
        <v>6</v>
      </c>
      <c r="J198" s="141">
        <f>SUM(J171:J197)</f>
        <v>1556</v>
      </c>
      <c r="K198" s="141">
        <f>SUM(K171:K197)</f>
        <v>1261.5999999999999</v>
      </c>
      <c r="L198" s="141">
        <f t="shared" ref="L198:M198" si="4">SUM(L171:L197)</f>
        <v>1117.8</v>
      </c>
      <c r="M198" s="141">
        <f t="shared" si="4"/>
        <v>1227.8</v>
      </c>
      <c r="N198" s="398"/>
      <c r="O198" s="386"/>
      <c r="P198" s="387"/>
      <c r="Q198" s="387"/>
      <c r="R198" s="388"/>
    </row>
    <row r="199" spans="1:19" ht="17.25" customHeight="1" x14ac:dyDescent="0.2">
      <c r="A199" s="2178" t="s">
        <v>5</v>
      </c>
      <c r="B199" s="2180" t="s">
        <v>28</v>
      </c>
      <c r="C199" s="2137" t="s">
        <v>7</v>
      </c>
      <c r="D199" s="2460"/>
      <c r="E199" s="2182" t="s">
        <v>448</v>
      </c>
      <c r="F199" s="2151" t="s">
        <v>327</v>
      </c>
      <c r="G199" s="2184" t="s">
        <v>56</v>
      </c>
      <c r="H199" s="2469" t="s">
        <v>65</v>
      </c>
      <c r="I199" s="100" t="s">
        <v>25</v>
      </c>
      <c r="J199" s="223">
        <v>112.6</v>
      </c>
      <c r="K199" s="190">
        <v>136.80000000000001</v>
      </c>
      <c r="L199" s="223">
        <v>146.69999999999999</v>
      </c>
      <c r="M199" s="223">
        <v>146.69999999999999</v>
      </c>
      <c r="N199" s="243" t="s">
        <v>69</v>
      </c>
      <c r="O199" s="275">
        <v>18</v>
      </c>
      <c r="P199" s="275">
        <v>18</v>
      </c>
      <c r="Q199" s="791">
        <v>18</v>
      </c>
      <c r="R199" s="829">
        <v>18</v>
      </c>
    </row>
    <row r="200" spans="1:19" ht="15.75" customHeight="1" x14ac:dyDescent="0.2">
      <c r="A200" s="2029"/>
      <c r="B200" s="2030"/>
      <c r="C200" s="2138"/>
      <c r="D200" s="2461"/>
      <c r="E200" s="2129"/>
      <c r="F200" s="2152"/>
      <c r="G200" s="2034"/>
      <c r="H200" s="2455"/>
      <c r="I200" s="77" t="s">
        <v>62</v>
      </c>
      <c r="J200" s="151">
        <v>93</v>
      </c>
      <c r="K200" s="58"/>
      <c r="L200" s="151"/>
      <c r="M200" s="58"/>
      <c r="N200" s="1706" t="s">
        <v>86</v>
      </c>
      <c r="O200" s="1755">
        <v>7</v>
      </c>
      <c r="P200" s="1755">
        <v>7</v>
      </c>
      <c r="Q200" s="321">
        <v>7</v>
      </c>
      <c r="R200" s="1734">
        <v>7</v>
      </c>
      <c r="S200" s="992"/>
    </row>
    <row r="201" spans="1:19" ht="16.5" customHeight="1" thickBot="1" x14ac:dyDescent="0.25">
      <c r="A201" s="2179"/>
      <c r="B201" s="2181"/>
      <c r="C201" s="2139"/>
      <c r="D201" s="2462"/>
      <c r="E201" s="2183"/>
      <c r="F201" s="2153"/>
      <c r="G201" s="2185"/>
      <c r="H201" s="2505"/>
      <c r="I201" s="141" t="s">
        <v>6</v>
      </c>
      <c r="J201" s="154">
        <f>SUM(J199:J200)</f>
        <v>205.6</v>
      </c>
      <c r="K201" s="154">
        <f>SUM(K199:K200)</f>
        <v>136.80000000000001</v>
      </c>
      <c r="L201" s="212">
        <f>SUM(L199:L200)</f>
        <v>146.69999999999999</v>
      </c>
      <c r="M201" s="212">
        <f>SUM(M199:M200)</f>
        <v>146.69999999999999</v>
      </c>
      <c r="N201" s="573"/>
      <c r="O201" s="192"/>
      <c r="P201" s="192"/>
      <c r="Q201" s="807"/>
      <c r="R201" s="599"/>
    </row>
    <row r="202" spans="1:19" ht="19.5" customHeight="1" x14ac:dyDescent="0.2">
      <c r="A202" s="1719" t="s">
        <v>5</v>
      </c>
      <c r="B202" s="667" t="s">
        <v>28</v>
      </c>
      <c r="C202" s="668" t="s">
        <v>28</v>
      </c>
      <c r="D202" s="1703"/>
      <c r="E202" s="2162" t="s">
        <v>193</v>
      </c>
      <c r="F202" s="2424" t="s">
        <v>326</v>
      </c>
      <c r="G202" s="1704"/>
      <c r="H202" s="669"/>
      <c r="I202" s="559"/>
      <c r="J202" s="670"/>
      <c r="K202" s="559"/>
      <c r="L202" s="670"/>
      <c r="M202" s="559"/>
      <c r="N202" s="671"/>
      <c r="O202" s="187"/>
      <c r="P202" s="187"/>
      <c r="Q202" s="224"/>
      <c r="R202" s="231"/>
    </row>
    <row r="203" spans="1:19" ht="20.25" customHeight="1" x14ac:dyDescent="0.2">
      <c r="A203" s="1674"/>
      <c r="B203" s="1675"/>
      <c r="C203" s="1751"/>
      <c r="D203" s="1752"/>
      <c r="E203" s="2166"/>
      <c r="F203" s="2458"/>
      <c r="G203" s="1775"/>
      <c r="H203" s="530"/>
      <c r="I203" s="527"/>
      <c r="J203" s="528"/>
      <c r="K203" s="527"/>
      <c r="L203" s="528"/>
      <c r="M203" s="527"/>
      <c r="N203" s="1707"/>
      <c r="O203" s="1309"/>
      <c r="P203" s="43"/>
      <c r="Q203" s="155"/>
      <c r="R203" s="44"/>
    </row>
    <row r="204" spans="1:19" ht="24.75" customHeight="1" x14ac:dyDescent="0.2">
      <c r="A204" s="2132"/>
      <c r="B204" s="2167"/>
      <c r="C204" s="2459"/>
      <c r="D204" s="1749" t="s">
        <v>5</v>
      </c>
      <c r="E204" s="2128" t="s">
        <v>248</v>
      </c>
      <c r="F204" s="2143" t="s">
        <v>330</v>
      </c>
      <c r="G204" s="1691">
        <v>5</v>
      </c>
      <c r="H204" s="2455" t="s">
        <v>190</v>
      </c>
      <c r="I204" s="65" t="s">
        <v>44</v>
      </c>
      <c r="J204" s="87">
        <v>342</v>
      </c>
      <c r="K204" s="65">
        <v>420</v>
      </c>
      <c r="L204" s="1670">
        <v>330</v>
      </c>
      <c r="M204" s="65"/>
      <c r="N204" s="1782" t="s">
        <v>141</v>
      </c>
      <c r="O204" s="1310" t="s">
        <v>142</v>
      </c>
      <c r="P204" s="264">
        <v>80</v>
      </c>
      <c r="Q204" s="463">
        <v>100</v>
      </c>
      <c r="R204" s="1746"/>
    </row>
    <row r="205" spans="1:19" ht="24.75" customHeight="1" x14ac:dyDescent="0.2">
      <c r="A205" s="2132"/>
      <c r="B205" s="2167"/>
      <c r="C205" s="2459"/>
      <c r="D205" s="1676"/>
      <c r="E205" s="2168"/>
      <c r="F205" s="2170"/>
      <c r="G205" s="1705"/>
      <c r="H205" s="2455"/>
      <c r="I205" s="65" t="s">
        <v>25</v>
      </c>
      <c r="J205" s="103">
        <f>164-4</f>
        <v>160</v>
      </c>
      <c r="K205" s="65">
        <v>207</v>
      </c>
      <c r="L205" s="1670">
        <v>750.2</v>
      </c>
      <c r="M205" s="65"/>
      <c r="N205" s="202" t="s">
        <v>231</v>
      </c>
      <c r="O205" s="1311">
        <v>1</v>
      </c>
      <c r="P205" s="464">
        <v>1</v>
      </c>
      <c r="Q205" s="32"/>
      <c r="R205" s="33"/>
      <c r="S205" s="929" t="s">
        <v>457</v>
      </c>
    </row>
    <row r="206" spans="1:19" ht="12.75" customHeight="1" x14ac:dyDescent="0.2">
      <c r="A206" s="2132"/>
      <c r="B206" s="2167"/>
      <c r="C206" s="2459"/>
      <c r="D206" s="1676"/>
      <c r="E206" s="2168"/>
      <c r="F206" s="2170"/>
      <c r="G206" s="1705"/>
      <c r="H206" s="2455"/>
      <c r="I206" s="65" t="s">
        <v>62</v>
      </c>
      <c r="J206" s="103">
        <v>150</v>
      </c>
      <c r="K206" s="65">
        <v>243</v>
      </c>
      <c r="L206" s="1670"/>
      <c r="M206" s="65"/>
      <c r="N206" s="1767"/>
      <c r="O206" s="1653"/>
      <c r="P206" s="561"/>
      <c r="Q206" s="560"/>
      <c r="R206" s="211"/>
    </row>
    <row r="207" spans="1:19" ht="14.25" customHeight="1" x14ac:dyDescent="0.2">
      <c r="A207" s="2132"/>
      <c r="B207" s="2167"/>
      <c r="C207" s="2459"/>
      <c r="D207" s="1676"/>
      <c r="E207" s="2168"/>
      <c r="F207" s="2170"/>
      <c r="G207" s="1705"/>
      <c r="H207" s="2455"/>
      <c r="I207" s="65" t="s">
        <v>105</v>
      </c>
      <c r="J207" s="103"/>
      <c r="K207" s="65"/>
      <c r="L207" s="1670">
        <v>800</v>
      </c>
      <c r="M207" s="65"/>
      <c r="N207" s="1782"/>
      <c r="O207" s="1655"/>
      <c r="P207" s="1783"/>
      <c r="Q207" s="1755"/>
      <c r="R207" s="1734"/>
    </row>
    <row r="208" spans="1:19" ht="18" customHeight="1" x14ac:dyDescent="0.2">
      <c r="A208" s="2132"/>
      <c r="B208" s="2167"/>
      <c r="C208" s="2459"/>
      <c r="D208" s="1752"/>
      <c r="E208" s="2169"/>
      <c r="F208" s="2171"/>
      <c r="G208" s="1687"/>
      <c r="H208" s="2455"/>
      <c r="I208" s="1661" t="s">
        <v>48</v>
      </c>
      <c r="J208" s="155"/>
      <c r="K208" s="1661"/>
      <c r="L208" s="1671">
        <v>1500</v>
      </c>
      <c r="M208" s="1661"/>
      <c r="N208" s="1778" t="s">
        <v>133</v>
      </c>
      <c r="O208" s="1654" t="s">
        <v>215</v>
      </c>
      <c r="P208" s="1672"/>
      <c r="Q208" s="20"/>
      <c r="R208" s="21"/>
    </row>
    <row r="209" spans="1:18" ht="15.75" customHeight="1" x14ac:dyDescent="0.2">
      <c r="A209" s="2132"/>
      <c r="B209" s="2167"/>
      <c r="C209" s="2459"/>
      <c r="D209" s="1676" t="s">
        <v>7</v>
      </c>
      <c r="E209" s="2108" t="s">
        <v>227</v>
      </c>
      <c r="F209" s="2188" t="s">
        <v>328</v>
      </c>
      <c r="G209" s="1676"/>
      <c r="H209" s="2455"/>
      <c r="I209" s="65" t="s">
        <v>25</v>
      </c>
      <c r="J209" s="87">
        <v>15</v>
      </c>
      <c r="K209" s="65">
        <v>42.2</v>
      </c>
      <c r="L209" s="87">
        <v>5.4</v>
      </c>
      <c r="M209" s="65">
        <v>5</v>
      </c>
      <c r="N209" s="202" t="s">
        <v>185</v>
      </c>
      <c r="O209" s="1311">
        <v>1</v>
      </c>
      <c r="P209" s="171">
        <v>1</v>
      </c>
      <c r="Q209" s="1783"/>
      <c r="R209" s="1734"/>
    </row>
    <row r="210" spans="1:18" ht="24" customHeight="1" x14ac:dyDescent="0.2">
      <c r="A210" s="2132"/>
      <c r="B210" s="2167"/>
      <c r="C210" s="2459"/>
      <c r="D210" s="1676"/>
      <c r="E210" s="2187"/>
      <c r="F210" s="2189"/>
      <c r="G210" s="1687"/>
      <c r="H210" s="2455"/>
      <c r="I210" s="65" t="s">
        <v>62</v>
      </c>
      <c r="J210" s="87"/>
      <c r="K210" s="65">
        <v>12.3</v>
      </c>
      <c r="L210" s="87"/>
      <c r="M210" s="65"/>
      <c r="N210" s="2427" t="s">
        <v>228</v>
      </c>
      <c r="O210" s="561"/>
      <c r="P210" s="561"/>
      <c r="Q210" s="561"/>
      <c r="R210" s="211">
        <v>1</v>
      </c>
    </row>
    <row r="211" spans="1:18" ht="19.5" customHeight="1" x14ac:dyDescent="0.2">
      <c r="A211" s="340"/>
      <c r="B211" s="1675"/>
      <c r="C211" s="414"/>
      <c r="D211" s="1676"/>
      <c r="E211" s="2187"/>
      <c r="F211" s="2429"/>
      <c r="G211" s="1687"/>
      <c r="H211" s="1747"/>
      <c r="I211" s="65" t="s">
        <v>44</v>
      </c>
      <c r="J211" s="87">
        <v>135</v>
      </c>
      <c r="K211" s="65">
        <v>490.1</v>
      </c>
      <c r="L211" s="87">
        <v>48</v>
      </c>
      <c r="M211" s="65">
        <v>45</v>
      </c>
      <c r="N211" s="2344"/>
      <c r="O211" s="368"/>
      <c r="P211" s="368"/>
      <c r="Q211" s="368"/>
      <c r="R211" s="1031"/>
    </row>
    <row r="212" spans="1:18" ht="14.25" customHeight="1" x14ac:dyDescent="0.2">
      <c r="A212" s="2029"/>
      <c r="B212" s="2030"/>
      <c r="C212" s="2459"/>
      <c r="D212" s="2488" t="s">
        <v>28</v>
      </c>
      <c r="E212" s="2101" t="s">
        <v>180</v>
      </c>
      <c r="F212" s="2143" t="s">
        <v>134</v>
      </c>
      <c r="G212" s="2138"/>
      <c r="H212" s="2455"/>
      <c r="I212" s="201" t="s">
        <v>25</v>
      </c>
      <c r="J212" s="91">
        <v>18.100000000000001</v>
      </c>
      <c r="K212" s="1660">
        <v>14.7</v>
      </c>
      <c r="L212" s="91"/>
      <c r="M212" s="1048"/>
      <c r="N212" s="1285" t="s">
        <v>156</v>
      </c>
      <c r="O212" s="1296">
        <v>1</v>
      </c>
      <c r="P212" s="1757"/>
      <c r="Q212" s="1737"/>
      <c r="R212" s="1710"/>
    </row>
    <row r="213" spans="1:18" ht="13.5" customHeight="1" x14ac:dyDescent="0.2">
      <c r="A213" s="2029"/>
      <c r="B213" s="2030"/>
      <c r="C213" s="2459"/>
      <c r="D213" s="2489"/>
      <c r="E213" s="2187"/>
      <c r="F213" s="2170"/>
      <c r="G213" s="2138"/>
      <c r="H213" s="2455"/>
      <c r="I213" s="65" t="s">
        <v>44</v>
      </c>
      <c r="J213" s="87">
        <v>102.5</v>
      </c>
      <c r="K213" s="65">
        <v>83.3</v>
      </c>
      <c r="L213" s="87"/>
      <c r="M213" s="541"/>
      <c r="N213" s="1782" t="s">
        <v>229</v>
      </c>
      <c r="O213" s="1191"/>
      <c r="P213" s="413">
        <v>6</v>
      </c>
      <c r="Q213" s="1783"/>
      <c r="R213" s="1734"/>
    </row>
    <row r="214" spans="1:18" ht="14.25" customHeight="1" x14ac:dyDescent="0.2">
      <c r="A214" s="2029"/>
      <c r="B214" s="2030"/>
      <c r="C214" s="2459"/>
      <c r="D214" s="2490"/>
      <c r="E214" s="2190"/>
      <c r="F214" s="2171"/>
      <c r="G214" s="2138"/>
      <c r="H214" s="2455"/>
      <c r="I214" s="77"/>
      <c r="J214" s="151"/>
      <c r="K214" s="1661"/>
      <c r="L214" s="90"/>
      <c r="M214" s="1064"/>
      <c r="N214" s="19"/>
      <c r="O214" s="167"/>
      <c r="P214" s="55"/>
      <c r="Q214" s="49"/>
      <c r="R214" s="21"/>
    </row>
    <row r="215" spans="1:18" ht="37.5" customHeight="1" x14ac:dyDescent="0.2">
      <c r="A215" s="1689"/>
      <c r="B215" s="1686"/>
      <c r="C215" s="1750"/>
      <c r="D215" s="1749" t="s">
        <v>34</v>
      </c>
      <c r="E215" s="1692" t="s">
        <v>138</v>
      </c>
      <c r="F215" s="768" t="s">
        <v>189</v>
      </c>
      <c r="G215" s="532" t="s">
        <v>37</v>
      </c>
      <c r="H215" s="1754" t="s">
        <v>230</v>
      </c>
      <c r="I215" s="531" t="s">
        <v>77</v>
      </c>
      <c r="J215" s="334">
        <v>24.2</v>
      </c>
      <c r="K215" s="531">
        <v>24.2</v>
      </c>
      <c r="L215" s="698"/>
      <c r="M215" s="697"/>
      <c r="N215" s="74" t="s">
        <v>87</v>
      </c>
      <c r="O215" s="1642">
        <v>1</v>
      </c>
      <c r="P215" s="691">
        <v>1</v>
      </c>
      <c r="Q215" s="691"/>
      <c r="R215" s="692"/>
    </row>
    <row r="216" spans="1:18" ht="15.75" customHeight="1" x14ac:dyDescent="0.2">
      <c r="A216" s="2029"/>
      <c r="B216" s="2030"/>
      <c r="C216" s="2459"/>
      <c r="D216" s="2488" t="s">
        <v>35</v>
      </c>
      <c r="E216" s="2101" t="s">
        <v>265</v>
      </c>
      <c r="F216" s="2143" t="s">
        <v>134</v>
      </c>
      <c r="G216" s="2454" t="s">
        <v>37</v>
      </c>
      <c r="H216" s="2455"/>
      <c r="I216" s="1660" t="s">
        <v>70</v>
      </c>
      <c r="J216" s="91"/>
      <c r="K216" s="1660">
        <v>12</v>
      </c>
      <c r="L216" s="91">
        <v>6</v>
      </c>
      <c r="M216" s="1660">
        <v>6</v>
      </c>
      <c r="N216" s="2382" t="s">
        <v>314</v>
      </c>
      <c r="O216" s="1731">
        <v>6</v>
      </c>
      <c r="P216" s="1757">
        <v>11</v>
      </c>
      <c r="Q216" s="1730">
        <v>12</v>
      </c>
      <c r="R216" s="1761">
        <v>14</v>
      </c>
    </row>
    <row r="217" spans="1:18" ht="15" customHeight="1" x14ac:dyDescent="0.2">
      <c r="A217" s="2029"/>
      <c r="B217" s="2030"/>
      <c r="C217" s="2459"/>
      <c r="D217" s="2489"/>
      <c r="E217" s="2108"/>
      <c r="F217" s="2188"/>
      <c r="G217" s="2194"/>
      <c r="H217" s="2455"/>
      <c r="I217" s="65" t="s">
        <v>25</v>
      </c>
      <c r="J217" s="87">
        <v>6</v>
      </c>
      <c r="K217" s="67"/>
      <c r="L217" s="87"/>
      <c r="M217" s="65"/>
      <c r="N217" s="2383"/>
      <c r="O217" s="1783"/>
      <c r="P217" s="413"/>
      <c r="Q217" s="1783"/>
      <c r="R217" s="1734"/>
    </row>
    <row r="218" spans="1:18" ht="26.25" customHeight="1" x14ac:dyDescent="0.2">
      <c r="A218" s="2029"/>
      <c r="B218" s="2030"/>
      <c r="C218" s="2459"/>
      <c r="D218" s="2489"/>
      <c r="E218" s="2187"/>
      <c r="F218" s="2170"/>
      <c r="G218" s="2194"/>
      <c r="H218" s="2455"/>
      <c r="I218" s="65" t="s">
        <v>77</v>
      </c>
      <c r="J218" s="87">
        <v>4</v>
      </c>
      <c r="K218" s="541"/>
      <c r="L218" s="603"/>
      <c r="M218" s="541"/>
      <c r="N218" s="1782" t="s">
        <v>407</v>
      </c>
      <c r="O218" s="413"/>
      <c r="P218" s="413">
        <v>3</v>
      </c>
      <c r="Q218" s="1783"/>
      <c r="R218" s="1734"/>
    </row>
    <row r="219" spans="1:18" ht="6" customHeight="1" x14ac:dyDescent="0.2">
      <c r="A219" s="2029"/>
      <c r="B219" s="2030"/>
      <c r="C219" s="2459"/>
      <c r="D219" s="2490"/>
      <c r="E219" s="2190"/>
      <c r="F219" s="2171"/>
      <c r="G219" s="2448"/>
      <c r="H219" s="2492"/>
      <c r="I219" s="77"/>
      <c r="J219" s="58"/>
      <c r="K219" s="58"/>
      <c r="L219" s="151"/>
      <c r="M219" s="1064"/>
      <c r="N219" s="19"/>
      <c r="O219" s="167"/>
      <c r="P219" s="55"/>
      <c r="Q219" s="49"/>
      <c r="R219" s="21"/>
    </row>
    <row r="220" spans="1:18" ht="14.25" customHeight="1" thickBot="1" x14ac:dyDescent="0.25">
      <c r="A220" s="72"/>
      <c r="B220" s="1702"/>
      <c r="C220" s="415"/>
      <c r="D220" s="415"/>
      <c r="E220" s="416"/>
      <c r="F220" s="417"/>
      <c r="G220" s="415"/>
      <c r="H220" s="418"/>
      <c r="I220" s="141" t="s">
        <v>6</v>
      </c>
      <c r="J220" s="212">
        <f>SUM(J204:J219)</f>
        <v>956.8</v>
      </c>
      <c r="K220" s="212">
        <f>SUM(K204:K219)</f>
        <v>1548.8</v>
      </c>
      <c r="L220" s="212">
        <f>SUM(L204:L219)</f>
        <v>3439.6</v>
      </c>
      <c r="M220" s="212">
        <f>SUM(M204:M219)</f>
        <v>56</v>
      </c>
      <c r="N220" s="419"/>
      <c r="O220" s="420"/>
      <c r="P220" s="420"/>
      <c r="Q220" s="1038"/>
      <c r="R220" s="1067"/>
    </row>
    <row r="221" spans="1:18" ht="14.25" customHeight="1" thickBot="1" x14ac:dyDescent="0.25">
      <c r="A221" s="94" t="s">
        <v>5</v>
      </c>
      <c r="B221" s="83" t="s">
        <v>28</v>
      </c>
      <c r="C221" s="2155" t="s">
        <v>8</v>
      </c>
      <c r="D221" s="2155"/>
      <c r="E221" s="2155"/>
      <c r="F221" s="2155"/>
      <c r="G221" s="2155"/>
      <c r="H221" s="2155"/>
      <c r="I221" s="2156"/>
      <c r="J221" s="217">
        <f>J220+J201+J198</f>
        <v>2718.4</v>
      </c>
      <c r="K221" s="217">
        <f>K220+K201+K198</f>
        <v>2947.2</v>
      </c>
      <c r="L221" s="217">
        <f>L220+L201+L198</f>
        <v>4704.1000000000004</v>
      </c>
      <c r="M221" s="217">
        <f>M220+M201+M198</f>
        <v>1430.5</v>
      </c>
      <c r="N221" s="2157"/>
      <c r="O221" s="2157"/>
      <c r="P221" s="2157"/>
      <c r="Q221" s="2157"/>
      <c r="R221" s="2158"/>
    </row>
    <row r="222" spans="1:18" ht="14.25" customHeight="1" thickBot="1" x14ac:dyDescent="0.25">
      <c r="A222" s="82" t="s">
        <v>5</v>
      </c>
      <c r="B222" s="83" t="s">
        <v>33</v>
      </c>
      <c r="C222" s="2159" t="s">
        <v>192</v>
      </c>
      <c r="D222" s="2160"/>
      <c r="E222" s="2160"/>
      <c r="F222" s="2160"/>
      <c r="G222" s="2160"/>
      <c r="H222" s="2160"/>
      <c r="I222" s="2160"/>
      <c r="J222" s="2160"/>
      <c r="K222" s="2160"/>
      <c r="L222" s="2160"/>
      <c r="M222" s="2160"/>
      <c r="N222" s="2160"/>
      <c r="O222" s="2160"/>
      <c r="P222" s="2160"/>
      <c r="Q222" s="2160"/>
      <c r="R222" s="2161"/>
    </row>
    <row r="223" spans="1:18" ht="31.5" customHeight="1" x14ac:dyDescent="0.2">
      <c r="A223" s="1699" t="s">
        <v>5</v>
      </c>
      <c r="B223" s="1701" t="s">
        <v>33</v>
      </c>
      <c r="C223" s="395" t="s">
        <v>5</v>
      </c>
      <c r="D223" s="101"/>
      <c r="E223" s="120" t="s">
        <v>111</v>
      </c>
      <c r="F223" s="133"/>
      <c r="G223" s="101"/>
      <c r="H223" s="452"/>
      <c r="I223" s="95"/>
      <c r="J223" s="461"/>
      <c r="K223" s="81"/>
      <c r="L223" s="81"/>
      <c r="M223" s="81"/>
      <c r="N223" s="102"/>
      <c r="O223" s="6"/>
      <c r="P223" s="6"/>
      <c r="Q223" s="810"/>
      <c r="R223" s="1065"/>
    </row>
    <row r="224" spans="1:18" ht="15.75" customHeight="1" x14ac:dyDescent="0.2">
      <c r="A224" s="1689"/>
      <c r="B224" s="1686"/>
      <c r="C224" s="390"/>
      <c r="D224" s="557" t="s">
        <v>5</v>
      </c>
      <c r="E224" s="457" t="s">
        <v>108</v>
      </c>
      <c r="F224" s="1688"/>
      <c r="G224" s="1691">
        <v>6</v>
      </c>
      <c r="H224" s="1747" t="s">
        <v>107</v>
      </c>
      <c r="I224" s="697"/>
      <c r="J224" s="1414"/>
      <c r="K224" s="697"/>
      <c r="L224" s="697"/>
      <c r="M224" s="697"/>
      <c r="N224" s="696"/>
      <c r="O224" s="1413"/>
      <c r="P224" s="699"/>
      <c r="Q224" s="1382"/>
      <c r="R224" s="979"/>
    </row>
    <row r="225" spans="1:19" ht="14.25" customHeight="1" x14ac:dyDescent="0.2">
      <c r="A225" s="1689"/>
      <c r="B225" s="1686"/>
      <c r="C225" s="390"/>
      <c r="D225" s="2491" t="s">
        <v>200</v>
      </c>
      <c r="E225" s="1694" t="s">
        <v>386</v>
      </c>
      <c r="F225" s="1688"/>
      <c r="G225" s="1691"/>
      <c r="H225" s="1747"/>
      <c r="I225" s="65" t="s">
        <v>25</v>
      </c>
      <c r="J225" s="87"/>
      <c r="K225" s="65">
        <v>100</v>
      </c>
      <c r="L225" s="65"/>
      <c r="M225" s="65"/>
      <c r="N225" s="1696" t="s">
        <v>68</v>
      </c>
      <c r="O225" s="232"/>
      <c r="P225" s="232">
        <v>6</v>
      </c>
      <c r="Q225" s="103"/>
      <c r="R225" s="41"/>
    </row>
    <row r="226" spans="1:19" ht="13.5" customHeight="1" x14ac:dyDescent="0.2">
      <c r="A226" s="1689"/>
      <c r="B226" s="1686"/>
      <c r="C226" s="390"/>
      <c r="D226" s="2443"/>
      <c r="E226" s="239" t="s">
        <v>206</v>
      </c>
      <c r="F226" s="1688"/>
      <c r="G226" s="1691"/>
      <c r="H226" s="1747"/>
      <c r="I226" s="65" t="s">
        <v>105</v>
      </c>
      <c r="J226" s="87"/>
      <c r="K226" s="65">
        <v>1000</v>
      </c>
      <c r="L226" s="65"/>
      <c r="M226" s="65"/>
      <c r="N226" s="1696"/>
      <c r="O226" s="232"/>
      <c r="P226" s="232"/>
      <c r="Q226" s="103"/>
      <c r="R226" s="41"/>
    </row>
    <row r="227" spans="1:19" ht="14.25" customHeight="1" x14ac:dyDescent="0.2">
      <c r="A227" s="1689"/>
      <c r="B227" s="1686"/>
      <c r="C227" s="390"/>
      <c r="D227" s="2443"/>
      <c r="E227" s="239" t="s">
        <v>199</v>
      </c>
      <c r="F227" s="1688"/>
      <c r="G227" s="1691"/>
      <c r="H227" s="1747"/>
      <c r="I227" s="65"/>
      <c r="J227" s="87"/>
      <c r="K227" s="65"/>
      <c r="L227" s="65"/>
      <c r="M227" s="65"/>
      <c r="N227" s="1696"/>
      <c r="O227" s="232"/>
      <c r="P227" s="232"/>
      <c r="Q227" s="103"/>
      <c r="R227" s="41"/>
    </row>
    <row r="228" spans="1:19" ht="14.25" customHeight="1" x14ac:dyDescent="0.2">
      <c r="A228" s="1689"/>
      <c r="B228" s="1686"/>
      <c r="C228" s="390"/>
      <c r="D228" s="2443"/>
      <c r="E228" s="1694" t="s">
        <v>210</v>
      </c>
      <c r="F228" s="1688"/>
      <c r="G228" s="1691"/>
      <c r="H228" s="1747"/>
      <c r="I228" s="65"/>
      <c r="J228" s="87"/>
      <c r="K228" s="65"/>
      <c r="L228" s="65"/>
      <c r="M228" s="65"/>
      <c r="N228" s="1696"/>
      <c r="O228" s="232"/>
      <c r="P228" s="232"/>
      <c r="Q228" s="103"/>
      <c r="R228" s="41"/>
    </row>
    <row r="229" spans="1:19" ht="29.25" customHeight="1" x14ac:dyDescent="0.2">
      <c r="A229" s="1689"/>
      <c r="B229" s="1686"/>
      <c r="C229" s="390"/>
      <c r="D229" s="2443"/>
      <c r="E229" s="239" t="s">
        <v>387</v>
      </c>
      <c r="F229" s="1688"/>
      <c r="G229" s="1691"/>
      <c r="H229" s="1747"/>
      <c r="I229" s="65"/>
      <c r="J229" s="87"/>
      <c r="K229" s="65"/>
      <c r="L229" s="65"/>
      <c r="M229" s="65"/>
      <c r="N229" s="1696"/>
      <c r="O229" s="232"/>
      <c r="P229" s="232"/>
      <c r="Q229" s="103"/>
      <c r="R229" s="41"/>
    </row>
    <row r="230" spans="1:19" ht="26.25" customHeight="1" x14ac:dyDescent="0.2">
      <c r="A230" s="1689"/>
      <c r="B230" s="1686"/>
      <c r="C230" s="390"/>
      <c r="D230" s="2443"/>
      <c r="E230" s="458" t="s">
        <v>388</v>
      </c>
      <c r="F230" s="1688"/>
      <c r="G230" s="1691"/>
      <c r="H230" s="1747"/>
      <c r="I230" s="65"/>
      <c r="J230" s="87"/>
      <c r="K230" s="65"/>
      <c r="L230" s="65"/>
      <c r="M230" s="65"/>
      <c r="N230" s="1696"/>
      <c r="O230" s="232"/>
      <c r="P230" s="232"/>
      <c r="Q230" s="103"/>
      <c r="R230" s="41"/>
    </row>
    <row r="231" spans="1:19" ht="27" customHeight="1" x14ac:dyDescent="0.2">
      <c r="A231" s="1689"/>
      <c r="B231" s="1686"/>
      <c r="C231" s="390"/>
      <c r="D231" s="2443"/>
      <c r="E231" s="239" t="s">
        <v>389</v>
      </c>
      <c r="F231" s="1688"/>
      <c r="G231" s="1691"/>
      <c r="H231" s="1747"/>
      <c r="I231" s="65"/>
      <c r="J231" s="87"/>
      <c r="K231" s="65"/>
      <c r="L231" s="65"/>
      <c r="M231" s="65"/>
      <c r="N231" s="1696"/>
      <c r="O231" s="232"/>
      <c r="P231" s="232"/>
      <c r="Q231" s="103"/>
      <c r="R231" s="41"/>
    </row>
    <row r="232" spans="1:19" ht="27" customHeight="1" x14ac:dyDescent="0.2">
      <c r="A232" s="1689"/>
      <c r="B232" s="1686"/>
      <c r="C232" s="390"/>
      <c r="D232" s="1770"/>
      <c r="E232" s="1714" t="s">
        <v>390</v>
      </c>
      <c r="F232" s="1688"/>
      <c r="G232" s="1691"/>
      <c r="H232" s="1747"/>
      <c r="I232" s="65"/>
      <c r="J232" s="87"/>
      <c r="K232" s="65"/>
      <c r="L232" s="65"/>
      <c r="M232" s="65"/>
      <c r="N232" s="1696"/>
      <c r="O232" s="232"/>
      <c r="P232" s="232"/>
      <c r="Q232" s="103"/>
      <c r="R232" s="41"/>
    </row>
    <row r="233" spans="1:19" ht="15" customHeight="1" x14ac:dyDescent="0.2">
      <c r="A233" s="1689"/>
      <c r="B233" s="1686"/>
      <c r="C233" s="390"/>
      <c r="D233" s="2443" t="s">
        <v>201</v>
      </c>
      <c r="E233" s="1369" t="s">
        <v>207</v>
      </c>
      <c r="F233" s="1693"/>
      <c r="G233" s="1691"/>
      <c r="H233" s="1747"/>
      <c r="I233" s="1660" t="s">
        <v>25</v>
      </c>
      <c r="J233" s="91"/>
      <c r="K233" s="1660"/>
      <c r="L233" s="1660">
        <f>336-250</f>
        <v>86</v>
      </c>
      <c r="M233" s="1660"/>
      <c r="N233" s="1684" t="s">
        <v>68</v>
      </c>
      <c r="O233" s="51"/>
      <c r="P233" s="51"/>
      <c r="Q233" s="128">
        <v>7.9</v>
      </c>
      <c r="R233" s="462"/>
    </row>
    <row r="234" spans="1:19" ht="16.5" customHeight="1" x14ac:dyDescent="0.2">
      <c r="A234" s="1689"/>
      <c r="B234" s="1686"/>
      <c r="C234" s="390"/>
      <c r="D234" s="2443"/>
      <c r="E234" s="458" t="s">
        <v>196</v>
      </c>
      <c r="F234" s="1688"/>
      <c r="G234" s="1691"/>
      <c r="H234" s="1747"/>
      <c r="I234" s="65" t="s">
        <v>105</v>
      </c>
      <c r="J234" s="87"/>
      <c r="K234" s="65"/>
      <c r="L234" s="1666">
        <v>900</v>
      </c>
      <c r="M234" s="65"/>
      <c r="N234" s="1696"/>
      <c r="O234" s="232"/>
      <c r="P234" s="232"/>
      <c r="Q234" s="103"/>
      <c r="R234" s="41"/>
    </row>
    <row r="235" spans="1:19" ht="15.75" customHeight="1" x14ac:dyDescent="0.2">
      <c r="A235" s="1689"/>
      <c r="B235" s="1686"/>
      <c r="C235" s="390"/>
      <c r="D235" s="2443"/>
      <c r="E235" s="239" t="s">
        <v>211</v>
      </c>
      <c r="F235" s="1688"/>
      <c r="G235" s="1691"/>
      <c r="H235" s="1747"/>
      <c r="I235" s="65"/>
      <c r="J235" s="87"/>
      <c r="K235" s="65"/>
      <c r="L235" s="65"/>
      <c r="M235" s="65"/>
      <c r="N235" s="1696"/>
      <c r="O235" s="232"/>
      <c r="P235" s="232"/>
      <c r="Q235" s="103"/>
      <c r="R235" s="41"/>
    </row>
    <row r="236" spans="1:19" ht="15.75" customHeight="1" x14ac:dyDescent="0.2">
      <c r="A236" s="1689"/>
      <c r="B236" s="1686"/>
      <c r="C236" s="390"/>
      <c r="D236" s="2443"/>
      <c r="E236" s="239" t="s">
        <v>391</v>
      </c>
      <c r="F236" s="1688"/>
      <c r="G236" s="1691"/>
      <c r="H236" s="1747"/>
      <c r="I236" s="65"/>
      <c r="J236" s="87"/>
      <c r="K236" s="65"/>
      <c r="L236" s="65"/>
      <c r="M236" s="65"/>
      <c r="N236" s="1696"/>
      <c r="O236" s="232"/>
      <c r="P236" s="232"/>
      <c r="Q236" s="103"/>
      <c r="R236" s="41"/>
    </row>
    <row r="237" spans="1:19" ht="14.25" customHeight="1" x14ac:dyDescent="0.2">
      <c r="A237" s="1689"/>
      <c r="B237" s="1686"/>
      <c r="C237" s="390"/>
      <c r="D237" s="2443"/>
      <c r="E237" s="1714" t="s">
        <v>392</v>
      </c>
      <c r="F237" s="1688"/>
      <c r="G237" s="1691"/>
      <c r="H237" s="1747"/>
      <c r="I237" s="1661"/>
      <c r="J237" s="87"/>
      <c r="K237" s="65"/>
      <c r="L237" s="1661"/>
      <c r="M237" s="65"/>
      <c r="N237" s="1696"/>
      <c r="O237" s="232"/>
      <c r="P237" s="232"/>
      <c r="Q237" s="42"/>
      <c r="R237" s="44"/>
    </row>
    <row r="238" spans="1:19" ht="19.5" customHeight="1" x14ac:dyDescent="0.2">
      <c r="A238" s="1689"/>
      <c r="B238" s="1686"/>
      <c r="C238" s="390"/>
      <c r="D238" s="2491" t="s">
        <v>384</v>
      </c>
      <c r="E238" s="2032" t="s">
        <v>385</v>
      </c>
      <c r="F238" s="1688"/>
      <c r="G238" s="1691"/>
      <c r="H238" s="1747"/>
      <c r="I238" s="65" t="s">
        <v>25</v>
      </c>
      <c r="J238" s="1660"/>
      <c r="K238" s="1660"/>
      <c r="L238" s="1660"/>
      <c r="M238" s="1660">
        <v>336</v>
      </c>
      <c r="N238" s="1684" t="s">
        <v>68</v>
      </c>
      <c r="O238" s="51"/>
      <c r="P238" s="51"/>
      <c r="Q238" s="125"/>
      <c r="R238" s="41">
        <v>7.5</v>
      </c>
      <c r="S238" s="929" t="s">
        <v>460</v>
      </c>
    </row>
    <row r="239" spans="1:19" ht="18.75" customHeight="1" x14ac:dyDescent="0.2">
      <c r="A239" s="1689"/>
      <c r="B239" s="1686"/>
      <c r="C239" s="390"/>
      <c r="D239" s="2445"/>
      <c r="E239" s="2033"/>
      <c r="F239" s="1688"/>
      <c r="G239" s="1691"/>
      <c r="H239" s="1747"/>
      <c r="I239" s="1661" t="s">
        <v>105</v>
      </c>
      <c r="J239" s="87"/>
      <c r="K239" s="1661"/>
      <c r="L239" s="1661"/>
      <c r="M239" s="1665">
        <v>900</v>
      </c>
      <c r="N239" s="1771"/>
      <c r="O239" s="43"/>
      <c r="P239" s="43"/>
      <c r="Q239" s="155"/>
      <c r="R239" s="44"/>
    </row>
    <row r="240" spans="1:19" ht="26.25" customHeight="1" x14ac:dyDescent="0.2">
      <c r="A240" s="1689"/>
      <c r="B240" s="1686"/>
      <c r="C240" s="390"/>
      <c r="D240" s="2443" t="s">
        <v>194</v>
      </c>
      <c r="E240" s="1410" t="s">
        <v>195</v>
      </c>
      <c r="F240" s="1688"/>
      <c r="G240" s="1705"/>
      <c r="H240" s="1748"/>
      <c r="I240" s="65" t="s">
        <v>25</v>
      </c>
      <c r="J240" s="1660">
        <f>1914.6-300-42.7-50-145+85.8</f>
        <v>1462.7</v>
      </c>
      <c r="K240" s="65"/>
      <c r="L240" s="65"/>
      <c r="M240" s="65"/>
      <c r="N240" s="1696" t="s">
        <v>68</v>
      </c>
      <c r="O240" s="34">
        <v>11</v>
      </c>
      <c r="P240" s="232"/>
      <c r="Q240" s="103"/>
      <c r="R240" s="41"/>
    </row>
    <row r="241" spans="1:19" ht="27.75" customHeight="1" x14ac:dyDescent="0.2">
      <c r="A241" s="1689"/>
      <c r="B241" s="1686"/>
      <c r="C241" s="390"/>
      <c r="D241" s="2443"/>
      <c r="E241" s="1411" t="s">
        <v>197</v>
      </c>
      <c r="F241" s="1688"/>
      <c r="G241" s="1705"/>
      <c r="H241" s="1748"/>
      <c r="I241" s="65"/>
      <c r="J241" s="87"/>
      <c r="K241" s="65"/>
      <c r="L241" s="65"/>
      <c r="M241" s="65"/>
      <c r="N241" s="1696"/>
      <c r="O241" s="232"/>
      <c r="P241" s="232"/>
      <c r="Q241" s="103"/>
      <c r="R241" s="41"/>
    </row>
    <row r="242" spans="1:19" ht="24.75" customHeight="1" x14ac:dyDescent="0.2">
      <c r="A242" s="1689"/>
      <c r="B242" s="1686"/>
      <c r="C242" s="390"/>
      <c r="D242" s="2443"/>
      <c r="E242" s="1411" t="s">
        <v>198</v>
      </c>
      <c r="F242" s="1688"/>
      <c r="G242" s="1705"/>
      <c r="H242" s="1748"/>
      <c r="I242" s="65"/>
      <c r="J242" s="87"/>
      <c r="K242" s="65"/>
      <c r="L242" s="65"/>
      <c r="M242" s="65"/>
      <c r="N242" s="1696"/>
      <c r="O242" s="232"/>
      <c r="P242" s="232"/>
      <c r="Q242" s="103"/>
      <c r="R242" s="41"/>
    </row>
    <row r="243" spans="1:19" ht="12.75" hidden="1" customHeight="1" x14ac:dyDescent="0.2">
      <c r="A243" s="1689"/>
      <c r="B243" s="1686"/>
      <c r="C243" s="390"/>
      <c r="D243" s="2443"/>
      <c r="E243" s="1408" t="s">
        <v>199</v>
      </c>
      <c r="F243" s="1688"/>
      <c r="G243" s="1705"/>
      <c r="H243" s="1748"/>
      <c r="I243" s="65"/>
      <c r="J243" s="87"/>
      <c r="K243" s="65"/>
      <c r="L243" s="65"/>
      <c r="M243" s="65"/>
      <c r="N243" s="1696"/>
      <c r="O243" s="232"/>
      <c r="P243" s="232"/>
      <c r="Q243" s="103"/>
      <c r="R243" s="41"/>
    </row>
    <row r="244" spans="1:19" ht="20.25" hidden="1" customHeight="1" x14ac:dyDescent="0.2">
      <c r="A244" s="1689"/>
      <c r="B244" s="1686"/>
      <c r="C244" s="390"/>
      <c r="D244" s="2443"/>
      <c r="E244" s="1408" t="s">
        <v>202</v>
      </c>
      <c r="F244" s="1688"/>
      <c r="G244" s="1705"/>
      <c r="H244" s="1748"/>
      <c r="I244" s="65"/>
      <c r="J244" s="87"/>
      <c r="K244" s="65"/>
      <c r="L244" s="65"/>
      <c r="M244" s="65"/>
      <c r="N244" s="1696"/>
      <c r="O244" s="232"/>
      <c r="P244" s="232"/>
      <c r="Q244" s="103"/>
      <c r="R244" s="41"/>
    </row>
    <row r="245" spans="1:19" ht="13.5" hidden="1" customHeight="1" x14ac:dyDescent="0.2">
      <c r="A245" s="1689"/>
      <c r="B245" s="1686"/>
      <c r="C245" s="390"/>
      <c r="D245" s="2443"/>
      <c r="E245" s="1408" t="s">
        <v>203</v>
      </c>
      <c r="F245" s="1688"/>
      <c r="G245" s="1705"/>
      <c r="H245" s="1748"/>
      <c r="I245" s="65"/>
      <c r="J245" s="87"/>
      <c r="K245" s="65"/>
      <c r="L245" s="65"/>
      <c r="M245" s="65"/>
      <c r="N245" s="1696"/>
      <c r="O245" s="232"/>
      <c r="P245" s="232"/>
      <c r="Q245" s="103"/>
      <c r="R245" s="41"/>
    </row>
    <row r="246" spans="1:19" ht="25.5" hidden="1" customHeight="1" x14ac:dyDescent="0.2">
      <c r="A246" s="1689"/>
      <c r="B246" s="1686"/>
      <c r="C246" s="390"/>
      <c r="D246" s="2443"/>
      <c r="E246" s="1409" t="s">
        <v>204</v>
      </c>
      <c r="F246" s="1688"/>
      <c r="G246" s="1705"/>
      <c r="H246" s="1748"/>
      <c r="I246" s="65"/>
      <c r="J246" s="87"/>
      <c r="K246" s="65"/>
      <c r="L246" s="65"/>
      <c r="M246" s="65"/>
      <c r="N246" s="1696"/>
      <c r="O246" s="232"/>
      <c r="P246" s="232"/>
      <c r="Q246" s="103"/>
      <c r="R246" s="41"/>
    </row>
    <row r="247" spans="1:19" ht="25.5" customHeight="1" x14ac:dyDescent="0.2">
      <c r="A247" s="1689"/>
      <c r="B247" s="1686"/>
      <c r="C247" s="390"/>
      <c r="D247" s="2445"/>
      <c r="E247" s="1412" t="s">
        <v>205</v>
      </c>
      <c r="F247" s="1764"/>
      <c r="G247" s="1687"/>
      <c r="H247" s="1748"/>
      <c r="I247" s="1661"/>
      <c r="J247" s="90"/>
      <c r="K247" s="1661"/>
      <c r="L247" s="1661"/>
      <c r="M247" s="1661"/>
      <c r="N247" s="1771"/>
      <c r="O247" s="43"/>
      <c r="P247" s="43"/>
      <c r="Q247" s="155"/>
      <c r="R247" s="44"/>
    </row>
    <row r="248" spans="1:19" ht="29.25" customHeight="1" x14ac:dyDescent="0.2">
      <c r="A248" s="1689"/>
      <c r="B248" s="1686"/>
      <c r="C248" s="390"/>
      <c r="D248" s="228" t="s">
        <v>7</v>
      </c>
      <c r="E248" s="2045" t="s">
        <v>110</v>
      </c>
      <c r="F248" s="1693"/>
      <c r="G248" s="1705"/>
      <c r="H248" s="1762"/>
      <c r="I248" s="1660" t="s">
        <v>105</v>
      </c>
      <c r="J248" s="1660">
        <v>1132</v>
      </c>
      <c r="K248" s="51">
        <v>110.3</v>
      </c>
      <c r="L248" s="1660">
        <v>110.3</v>
      </c>
      <c r="M248" s="1660">
        <v>110.3</v>
      </c>
      <c r="N248" s="1716" t="s">
        <v>438</v>
      </c>
      <c r="O248" s="1548" t="s">
        <v>437</v>
      </c>
      <c r="P248" s="1548" t="s">
        <v>437</v>
      </c>
      <c r="Q248" s="1568" t="s">
        <v>437</v>
      </c>
      <c r="R248" s="1549" t="s">
        <v>437</v>
      </c>
    </row>
    <row r="249" spans="1:19" ht="26.25" customHeight="1" x14ac:dyDescent="0.2">
      <c r="A249" s="1689"/>
      <c r="B249" s="1686"/>
      <c r="C249" s="390"/>
      <c r="D249" s="97"/>
      <c r="E249" s="2100"/>
      <c r="F249" s="1688"/>
      <c r="G249" s="1705"/>
      <c r="H249" s="1762"/>
      <c r="I249" s="65" t="s">
        <v>25</v>
      </c>
      <c r="J249" s="65">
        <f>60-J250</f>
        <v>48.8</v>
      </c>
      <c r="K249" s="232">
        <v>1006.7</v>
      </c>
      <c r="L249" s="65">
        <v>1006.7</v>
      </c>
      <c r="M249" s="65">
        <v>1006.7</v>
      </c>
      <c r="N249" s="89" t="s">
        <v>40</v>
      </c>
      <c r="O249" s="290" t="s">
        <v>439</v>
      </c>
      <c r="P249" s="290" t="s">
        <v>439</v>
      </c>
      <c r="Q249" s="813" t="s">
        <v>439</v>
      </c>
      <c r="R249" s="1066" t="s">
        <v>439</v>
      </c>
    </row>
    <row r="250" spans="1:19" ht="17.25" customHeight="1" x14ac:dyDescent="0.2">
      <c r="A250" s="1689"/>
      <c r="B250" s="1686"/>
      <c r="C250" s="390"/>
      <c r="D250" s="98"/>
      <c r="E250" s="2046"/>
      <c r="F250" s="1764"/>
      <c r="G250" s="1705"/>
      <c r="H250" s="1776"/>
      <c r="I250" s="77" t="s">
        <v>62</v>
      </c>
      <c r="J250" s="1661">
        <v>11.2</v>
      </c>
      <c r="K250" s="1661"/>
      <c r="L250" s="1661"/>
      <c r="M250" s="1661"/>
      <c r="N250" s="1771" t="s">
        <v>67</v>
      </c>
      <c r="O250" s="1531" t="s">
        <v>432</v>
      </c>
      <c r="P250" s="1531" t="s">
        <v>432</v>
      </c>
      <c r="Q250" s="1532" t="s">
        <v>432</v>
      </c>
      <c r="R250" s="1533" t="s">
        <v>432</v>
      </c>
    </row>
    <row r="251" spans="1:19" ht="15.75" customHeight="1" x14ac:dyDescent="0.2">
      <c r="A251" s="2029"/>
      <c r="B251" s="2030"/>
      <c r="C251" s="2475"/>
      <c r="D251" s="225" t="s">
        <v>28</v>
      </c>
      <c r="E251" s="2032" t="s">
        <v>53</v>
      </c>
      <c r="F251" s="1688"/>
      <c r="G251" s="1705"/>
      <c r="H251" s="1776"/>
      <c r="I251" s="65" t="s">
        <v>25</v>
      </c>
      <c r="J251" s="65">
        <f>500-100</f>
        <v>400</v>
      </c>
      <c r="K251" s="65">
        <v>400</v>
      </c>
      <c r="L251" s="65">
        <v>400</v>
      </c>
      <c r="M251" s="65">
        <v>400</v>
      </c>
      <c r="N251" s="2382" t="s">
        <v>434</v>
      </c>
      <c r="O251" s="38" t="s">
        <v>433</v>
      </c>
      <c r="P251" s="38" t="s">
        <v>433</v>
      </c>
      <c r="Q251" s="554" t="s">
        <v>433</v>
      </c>
      <c r="R251" s="362" t="s">
        <v>433</v>
      </c>
      <c r="S251" s="929" t="s">
        <v>418</v>
      </c>
    </row>
    <row r="252" spans="1:19" ht="18" customHeight="1" x14ac:dyDescent="0.2">
      <c r="A252" s="2029"/>
      <c r="B252" s="2030"/>
      <c r="C252" s="2475"/>
      <c r="D252" s="98"/>
      <c r="E252" s="2033"/>
      <c r="F252" s="1764"/>
      <c r="G252" s="1705"/>
      <c r="H252" s="1776"/>
      <c r="I252" s="1068"/>
      <c r="J252" s="1661"/>
      <c r="K252" s="1068"/>
      <c r="L252" s="1068"/>
      <c r="M252" s="1661"/>
      <c r="N252" s="2435"/>
      <c r="O252" s="43"/>
      <c r="P252" s="43"/>
      <c r="Q252" s="155"/>
      <c r="R252" s="44"/>
    </row>
    <row r="253" spans="1:19" ht="15.75" customHeight="1" x14ac:dyDescent="0.2">
      <c r="A253" s="2029"/>
      <c r="B253" s="2030"/>
      <c r="C253" s="2475"/>
      <c r="D253" s="2484" t="s">
        <v>33</v>
      </c>
      <c r="E253" s="2204" t="s">
        <v>399</v>
      </c>
      <c r="F253" s="2143"/>
      <c r="G253" s="2031"/>
      <c r="H253" s="316"/>
      <c r="I253" s="1660" t="s">
        <v>25</v>
      </c>
      <c r="J253" s="65">
        <f>1684-300-200-114</f>
        <v>1070</v>
      </c>
      <c r="K253" s="1660">
        <f>894-270-268-43</f>
        <v>313</v>
      </c>
      <c r="L253" s="1660">
        <v>350</v>
      </c>
      <c r="M253" s="1660">
        <v>350</v>
      </c>
      <c r="N253" s="1735"/>
      <c r="O253" s="1548"/>
      <c r="P253" s="1548"/>
      <c r="Q253" s="595"/>
      <c r="R253" s="1549"/>
    </row>
    <row r="254" spans="1:19" ht="12" customHeight="1" x14ac:dyDescent="0.2">
      <c r="A254" s="2029"/>
      <c r="B254" s="2030"/>
      <c r="C254" s="2475"/>
      <c r="D254" s="2138"/>
      <c r="E254" s="2493"/>
      <c r="F254" s="2188"/>
      <c r="G254" s="2031"/>
      <c r="H254" s="316"/>
      <c r="I254" s="65" t="s">
        <v>70</v>
      </c>
      <c r="J254" s="65"/>
      <c r="K254" s="65">
        <f>268-48-30</f>
        <v>190</v>
      </c>
      <c r="L254" s="65">
        <f>447-30</f>
        <v>417</v>
      </c>
      <c r="M254" s="65">
        <v>417</v>
      </c>
      <c r="N254" s="2430"/>
      <c r="O254" s="38"/>
      <c r="P254" s="38"/>
      <c r="Q254" s="554"/>
      <c r="R254" s="362"/>
    </row>
    <row r="255" spans="1:19" ht="15" customHeight="1" x14ac:dyDescent="0.2">
      <c r="A255" s="2029"/>
      <c r="B255" s="2030"/>
      <c r="C255" s="2475"/>
      <c r="D255" s="2138"/>
      <c r="E255" s="2048"/>
      <c r="F255" s="2188"/>
      <c r="G255" s="2031"/>
      <c r="H255" s="316"/>
      <c r="I255" s="65" t="s">
        <v>77</v>
      </c>
      <c r="J255" s="65">
        <v>300</v>
      </c>
      <c r="K255" s="65">
        <v>270</v>
      </c>
      <c r="L255" s="65"/>
      <c r="M255" s="65"/>
      <c r="N255" s="2409"/>
      <c r="O255" s="38"/>
      <c r="P255" s="38"/>
      <c r="Q255" s="554"/>
      <c r="R255" s="362"/>
    </row>
    <row r="256" spans="1:19" ht="15" customHeight="1" x14ac:dyDescent="0.2">
      <c r="A256" s="2029"/>
      <c r="B256" s="2030"/>
      <c r="C256" s="2475"/>
      <c r="D256" s="2138"/>
      <c r="E256" s="2048"/>
      <c r="F256" s="2188"/>
      <c r="G256" s="2031"/>
      <c r="H256" s="316"/>
      <c r="I256" s="65" t="s">
        <v>105</v>
      </c>
      <c r="J256" s="65">
        <v>120</v>
      </c>
      <c r="K256" s="65">
        <v>120</v>
      </c>
      <c r="L256" s="65">
        <v>120</v>
      </c>
      <c r="M256" s="65">
        <v>120</v>
      </c>
      <c r="N256" s="1736"/>
      <c r="O256" s="1134"/>
      <c r="P256" s="1134"/>
      <c r="Q256" s="1550"/>
      <c r="R256" s="1551"/>
    </row>
    <row r="257" spans="1:19" ht="17.25" customHeight="1" x14ac:dyDescent="0.2">
      <c r="A257" s="2029"/>
      <c r="B257" s="2030"/>
      <c r="C257" s="2475"/>
      <c r="D257" s="2138"/>
      <c r="E257" s="1552"/>
      <c r="F257" s="2188"/>
      <c r="G257" s="2031"/>
      <c r="H257" s="316"/>
      <c r="I257" s="65"/>
      <c r="J257" s="65"/>
      <c r="K257" s="65"/>
      <c r="L257" s="65"/>
      <c r="M257" s="65"/>
      <c r="N257" s="1758" t="s">
        <v>440</v>
      </c>
      <c r="O257" s="1278" t="s">
        <v>431</v>
      </c>
      <c r="P257" s="1278" t="s">
        <v>444</v>
      </c>
      <c r="Q257" s="822" t="s">
        <v>444</v>
      </c>
      <c r="R257" s="583" t="s">
        <v>444</v>
      </c>
      <c r="S257" s="929" t="s">
        <v>411</v>
      </c>
    </row>
    <row r="258" spans="1:19" ht="18" customHeight="1" x14ac:dyDescent="0.2">
      <c r="A258" s="2029"/>
      <c r="B258" s="2030"/>
      <c r="C258" s="2475"/>
      <c r="D258" s="2138"/>
      <c r="E258" s="593"/>
      <c r="F258" s="2188"/>
      <c r="G258" s="2031"/>
      <c r="H258" s="316"/>
      <c r="I258" s="65"/>
      <c r="J258" s="65"/>
      <c r="K258" s="65"/>
      <c r="L258" s="65"/>
      <c r="M258" s="65"/>
      <c r="N258" s="1736" t="s">
        <v>435</v>
      </c>
      <c r="O258" s="38"/>
      <c r="P258" s="38" t="s">
        <v>436</v>
      </c>
      <c r="Q258" s="554" t="s">
        <v>436</v>
      </c>
      <c r="R258" s="362" t="s">
        <v>436</v>
      </c>
    </row>
    <row r="259" spans="1:19" ht="21.75" customHeight="1" x14ac:dyDescent="0.2">
      <c r="A259" s="2029"/>
      <c r="B259" s="2030"/>
      <c r="C259" s="2475"/>
      <c r="D259" s="2138"/>
      <c r="E259" s="1552"/>
      <c r="F259" s="2188"/>
      <c r="G259" s="2031"/>
      <c r="H259" s="316"/>
      <c r="I259" s="65"/>
      <c r="J259" s="65"/>
      <c r="K259" s="65"/>
      <c r="L259" s="65"/>
      <c r="M259" s="65"/>
      <c r="N259" s="2337" t="s">
        <v>441</v>
      </c>
      <c r="O259" s="399"/>
      <c r="P259" s="399" t="s">
        <v>429</v>
      </c>
      <c r="Q259" s="1530"/>
      <c r="R259" s="474"/>
      <c r="S259" s="929" t="s">
        <v>422</v>
      </c>
    </row>
    <row r="260" spans="1:19" ht="11.25" customHeight="1" x14ac:dyDescent="0.2">
      <c r="A260" s="2029"/>
      <c r="B260" s="2030"/>
      <c r="C260" s="2475"/>
      <c r="D260" s="2138"/>
      <c r="E260" s="1552"/>
      <c r="F260" s="2188"/>
      <c r="G260" s="2031"/>
      <c r="H260" s="316"/>
      <c r="I260" s="65"/>
      <c r="J260" s="65"/>
      <c r="K260" s="65"/>
      <c r="L260" s="65"/>
      <c r="M260" s="65"/>
      <c r="N260" s="2432"/>
      <c r="O260" s="1278"/>
      <c r="P260" s="1278"/>
      <c r="Q260" s="1279"/>
      <c r="R260" s="583"/>
    </row>
    <row r="261" spans="1:19" ht="43.5" customHeight="1" x14ac:dyDescent="0.2">
      <c r="A261" s="2029"/>
      <c r="B261" s="2030"/>
      <c r="C261" s="2475"/>
      <c r="D261" s="2138"/>
      <c r="E261" s="593"/>
      <c r="F261" s="2188"/>
      <c r="G261" s="2031"/>
      <c r="H261" s="316"/>
      <c r="I261" s="70"/>
      <c r="J261" s="70"/>
      <c r="K261" s="70"/>
      <c r="L261" s="70"/>
      <c r="M261" s="70"/>
      <c r="N261" s="1567" t="s">
        <v>442</v>
      </c>
      <c r="O261" s="1278"/>
      <c r="P261" s="1278" t="s">
        <v>430</v>
      </c>
      <c r="Q261" s="1279"/>
      <c r="R261" s="583"/>
      <c r="S261" s="929" t="s">
        <v>422</v>
      </c>
    </row>
    <row r="262" spans="1:19" ht="21.75" customHeight="1" x14ac:dyDescent="0.2">
      <c r="A262" s="2029"/>
      <c r="B262" s="2030"/>
      <c r="C262" s="2475"/>
      <c r="D262" s="2138"/>
      <c r="E262" s="440"/>
      <c r="F262" s="2188"/>
      <c r="G262" s="2031"/>
      <c r="H262" s="316"/>
      <c r="I262" s="65" t="s">
        <v>25</v>
      </c>
      <c r="J262" s="65">
        <v>227.9</v>
      </c>
      <c r="K262" s="65"/>
      <c r="L262" s="65"/>
      <c r="M262" s="65"/>
      <c r="N262" s="2430" t="s">
        <v>179</v>
      </c>
      <c r="O262" s="2205">
        <v>100</v>
      </c>
      <c r="P262" s="2207"/>
      <c r="Q262" s="2257"/>
      <c r="R262" s="2208"/>
    </row>
    <row r="263" spans="1:19" ht="19.5" customHeight="1" x14ac:dyDescent="0.2">
      <c r="A263" s="2029"/>
      <c r="B263" s="2030"/>
      <c r="C263" s="2475"/>
      <c r="D263" s="2485"/>
      <c r="E263" s="150"/>
      <c r="F263" s="2486"/>
      <c r="G263" s="2031"/>
      <c r="H263" s="316"/>
      <c r="I263" s="1661" t="s">
        <v>62</v>
      </c>
      <c r="J263" s="1661">
        <v>67</v>
      </c>
      <c r="K263" s="1661"/>
      <c r="L263" s="1661"/>
      <c r="M263" s="1661"/>
      <c r="N263" s="2506"/>
      <c r="O263" s="2206"/>
      <c r="P263" s="2206"/>
      <c r="Q263" s="2258"/>
      <c r="R263" s="2494"/>
    </row>
    <row r="264" spans="1:19" ht="27" customHeight="1" x14ac:dyDescent="0.2">
      <c r="A264" s="1689"/>
      <c r="B264" s="1686"/>
      <c r="C264" s="1750"/>
      <c r="D264" s="1676" t="s">
        <v>34</v>
      </c>
      <c r="E264" s="2129" t="s">
        <v>109</v>
      </c>
      <c r="F264" s="1688"/>
      <c r="G264" s="1705"/>
      <c r="H264" s="1747"/>
      <c r="I264" s="65" t="s">
        <v>25</v>
      </c>
      <c r="J264" s="65">
        <f>1000-300+383</f>
        <v>1083</v>
      </c>
      <c r="K264" s="65">
        <f>631-100</f>
        <v>531</v>
      </c>
      <c r="L264" s="65">
        <v>543.70000000000005</v>
      </c>
      <c r="M264" s="65">
        <v>300</v>
      </c>
      <c r="N264" s="2430" t="s">
        <v>170</v>
      </c>
      <c r="O264" s="339">
        <v>20</v>
      </c>
      <c r="P264" s="1755">
        <v>14</v>
      </c>
      <c r="Q264" s="463">
        <v>12</v>
      </c>
      <c r="R264" s="1746">
        <v>6</v>
      </c>
      <c r="S264" s="929" t="s">
        <v>419</v>
      </c>
    </row>
    <row r="265" spans="1:19" ht="15" customHeight="1" x14ac:dyDescent="0.2">
      <c r="A265" s="1689"/>
      <c r="B265" s="1686"/>
      <c r="C265" s="1750"/>
      <c r="D265" s="1752"/>
      <c r="E265" s="2210"/>
      <c r="F265" s="1764"/>
      <c r="G265" s="1705"/>
      <c r="H265" s="1747"/>
      <c r="I265" s="1661"/>
      <c r="J265" s="1661"/>
      <c r="K265" s="1661"/>
      <c r="L265" s="1661"/>
      <c r="M265" s="1661"/>
      <c r="N265" s="2431"/>
      <c r="O265" s="20"/>
      <c r="P265" s="20"/>
      <c r="Q265" s="322"/>
      <c r="R265" s="21"/>
    </row>
    <row r="266" spans="1:19" ht="15.75" customHeight="1" x14ac:dyDescent="0.2">
      <c r="A266" s="1727"/>
      <c r="B266" s="1686"/>
      <c r="C266" s="436"/>
      <c r="D266" s="1257" t="s">
        <v>35</v>
      </c>
      <c r="E266" s="2032" t="s">
        <v>39</v>
      </c>
      <c r="F266" s="1693"/>
      <c r="G266" s="1705"/>
      <c r="H266" s="1772"/>
      <c r="I266" s="61" t="s">
        <v>105</v>
      </c>
      <c r="J266" s="65">
        <v>20</v>
      </c>
      <c r="K266" s="65">
        <v>70</v>
      </c>
      <c r="L266" s="65">
        <v>70</v>
      </c>
      <c r="M266" s="65">
        <v>70</v>
      </c>
      <c r="N266" s="1684" t="s">
        <v>398</v>
      </c>
      <c r="O266" s="1731">
        <v>14</v>
      </c>
      <c r="P266" s="1731">
        <v>14</v>
      </c>
      <c r="Q266" s="1738">
        <v>14</v>
      </c>
      <c r="R266" s="1761">
        <v>14</v>
      </c>
    </row>
    <row r="267" spans="1:19" ht="13.5" customHeight="1" x14ac:dyDescent="0.2">
      <c r="A267" s="1727"/>
      <c r="B267" s="1686"/>
      <c r="C267" s="436"/>
      <c r="D267" s="225"/>
      <c r="E267" s="2141"/>
      <c r="F267" s="1688"/>
      <c r="G267" s="1705"/>
      <c r="H267" s="1747"/>
      <c r="I267" s="65" t="s">
        <v>25</v>
      </c>
      <c r="J267" s="65">
        <f>14+42.7+50-24</f>
        <v>82.7</v>
      </c>
      <c r="K267" s="65">
        <f>50+43</f>
        <v>93</v>
      </c>
      <c r="L267" s="65">
        <v>80</v>
      </c>
      <c r="M267" s="87">
        <v>80</v>
      </c>
      <c r="N267" s="1696"/>
      <c r="O267" s="1755"/>
      <c r="P267" s="1755"/>
      <c r="Q267" s="321"/>
      <c r="R267" s="1734"/>
    </row>
    <row r="268" spans="1:19" ht="16.5" customHeight="1" x14ac:dyDescent="0.2">
      <c r="A268" s="1727"/>
      <c r="B268" s="1686"/>
      <c r="C268" s="436"/>
      <c r="D268" s="98"/>
      <c r="E268" s="2033"/>
      <c r="F268" s="1764"/>
      <c r="G268" s="1705"/>
      <c r="H268" s="1747"/>
      <c r="I268" s="1661" t="s">
        <v>62</v>
      </c>
      <c r="J268" s="1661">
        <v>6</v>
      </c>
      <c r="K268" s="1661">
        <v>30</v>
      </c>
      <c r="L268" s="1661"/>
      <c r="M268" s="90"/>
      <c r="N268" s="1696"/>
      <c r="O268" s="1755"/>
      <c r="P268" s="20"/>
      <c r="Q268" s="322"/>
      <c r="R268" s="21"/>
    </row>
    <row r="269" spans="1:19" ht="15" customHeight="1" x14ac:dyDescent="0.2">
      <c r="A269" s="1727"/>
      <c r="B269" s="1686"/>
      <c r="C269" s="436"/>
      <c r="D269" s="2484" t="s">
        <v>36</v>
      </c>
      <c r="E269" s="2202" t="s">
        <v>353</v>
      </c>
      <c r="F269" s="1688"/>
      <c r="G269" s="1705"/>
      <c r="H269" s="1772"/>
      <c r="I269" s="1656" t="s">
        <v>25</v>
      </c>
      <c r="J269" s="1660"/>
      <c r="K269" s="1660">
        <v>15</v>
      </c>
      <c r="L269" s="1660"/>
      <c r="M269" s="1660"/>
      <c r="N269" s="1346" t="s">
        <v>97</v>
      </c>
      <c r="O269" s="27"/>
      <c r="P269" s="926">
        <v>1</v>
      </c>
      <c r="Q269" s="321"/>
      <c r="R269" s="1734"/>
      <c r="S269" s="929" t="s">
        <v>420</v>
      </c>
    </row>
    <row r="270" spans="1:19" ht="27.75" customHeight="1" x14ac:dyDescent="0.2">
      <c r="A270" s="1727"/>
      <c r="B270" s="1686"/>
      <c r="C270" s="1750"/>
      <c r="D270" s="2485"/>
      <c r="E270" s="2495"/>
      <c r="F270" s="1688"/>
      <c r="G270" s="1705"/>
      <c r="H270" s="1747"/>
      <c r="I270" s="1667" t="s">
        <v>105</v>
      </c>
      <c r="J270" s="1661"/>
      <c r="K270" s="1661"/>
      <c r="L270" s="1665">
        <v>63</v>
      </c>
      <c r="M270" s="1661"/>
      <c r="N270" s="520" t="s">
        <v>372</v>
      </c>
      <c r="O270" s="1352"/>
      <c r="P270" s="1353"/>
      <c r="Q270" s="1354">
        <v>100</v>
      </c>
      <c r="R270" s="1356"/>
      <c r="S270" s="929" t="s">
        <v>457</v>
      </c>
    </row>
    <row r="271" spans="1:19" ht="17.25" customHeight="1" x14ac:dyDescent="0.2">
      <c r="A271" s="1727"/>
      <c r="B271" s="1686"/>
      <c r="C271" s="1750"/>
      <c r="D271" s="1676" t="s">
        <v>225</v>
      </c>
      <c r="E271" s="1708" t="s">
        <v>397</v>
      </c>
      <c r="F271" s="143"/>
      <c r="G271" s="1705"/>
      <c r="H271" s="1747"/>
      <c r="I271" s="1434" t="s">
        <v>25</v>
      </c>
      <c r="J271" s="1170"/>
      <c r="K271" s="79">
        <v>5</v>
      </c>
      <c r="L271" s="1435">
        <v>10</v>
      </c>
      <c r="M271" s="1660"/>
      <c r="N271" s="1436" t="s">
        <v>46</v>
      </c>
      <c r="O271" s="1437"/>
      <c r="P271" s="560">
        <v>1</v>
      </c>
      <c r="Q271" s="561">
        <v>2</v>
      </c>
      <c r="R271" s="211"/>
    </row>
    <row r="272" spans="1:19" ht="26.25" customHeight="1" x14ac:dyDescent="0.2">
      <c r="A272" s="1674"/>
      <c r="B272" s="1675"/>
      <c r="C272" s="1751"/>
      <c r="D272" s="391"/>
      <c r="E272" s="1439" t="s">
        <v>395</v>
      </c>
      <c r="F272" s="2446"/>
      <c r="G272" s="2194"/>
      <c r="H272" s="1432"/>
      <c r="I272" s="1430" t="s">
        <v>25</v>
      </c>
      <c r="J272" s="350"/>
      <c r="K272" s="67"/>
      <c r="L272" s="103"/>
      <c r="M272" s="1666">
        <f>210+163.7</f>
        <v>373.7</v>
      </c>
      <c r="N272" s="518" t="s">
        <v>393</v>
      </c>
      <c r="O272" s="1191"/>
      <c r="P272" s="1191"/>
      <c r="Q272" s="1191"/>
      <c r="R272" s="342">
        <v>100</v>
      </c>
      <c r="S272" s="929" t="s">
        <v>458</v>
      </c>
    </row>
    <row r="273" spans="1:21" ht="17.25" customHeight="1" x14ac:dyDescent="0.2">
      <c r="A273" s="1674"/>
      <c r="B273" s="1675"/>
      <c r="C273" s="1751"/>
      <c r="D273" s="391"/>
      <c r="E273" s="1439" t="s">
        <v>394</v>
      </c>
      <c r="F273" s="2446"/>
      <c r="G273" s="2194"/>
      <c r="H273" s="1432"/>
      <c r="I273" s="1430"/>
      <c r="J273" s="350"/>
      <c r="K273" s="67"/>
      <c r="L273" s="103"/>
      <c r="M273" s="65"/>
      <c r="N273" s="518"/>
      <c r="O273" s="1191"/>
      <c r="P273" s="1191"/>
      <c r="Q273" s="1191"/>
      <c r="R273" s="342"/>
    </row>
    <row r="274" spans="1:21" ht="15.75" customHeight="1" x14ac:dyDescent="0.2">
      <c r="A274" s="1674"/>
      <c r="B274" s="1675"/>
      <c r="C274" s="1751"/>
      <c r="D274" s="391"/>
      <c r="E274" s="1728" t="s">
        <v>396</v>
      </c>
      <c r="F274" s="2447"/>
      <c r="G274" s="2448"/>
      <c r="H274" s="1433"/>
      <c r="I274" s="1431"/>
      <c r="J274" s="132"/>
      <c r="K274" s="1657"/>
      <c r="L274" s="155"/>
      <c r="M274" s="1661"/>
      <c r="N274" s="520"/>
      <c r="O274" s="1740"/>
      <c r="P274" s="1191"/>
      <c r="Q274" s="413"/>
      <c r="R274" s="342"/>
    </row>
    <row r="275" spans="1:21" ht="14.25" customHeight="1" thickBot="1" x14ac:dyDescent="0.25">
      <c r="A275" s="72"/>
      <c r="B275" s="1702"/>
      <c r="C275" s="189"/>
      <c r="D275" s="283"/>
      <c r="E275" s="396"/>
      <c r="F275" s="397"/>
      <c r="G275" s="189"/>
      <c r="H275" s="367"/>
      <c r="I275" s="141" t="s">
        <v>6</v>
      </c>
      <c r="J275" s="212">
        <f>SUM(J224:J270)</f>
        <v>6031.3</v>
      </c>
      <c r="K275" s="212">
        <f>SUM(K224:K274)</f>
        <v>4254</v>
      </c>
      <c r="L275" s="212">
        <f>SUM(L224:L274)</f>
        <v>4156.7</v>
      </c>
      <c r="M275" s="212">
        <f t="shared" ref="M275" si="5">SUM(M224:M274)</f>
        <v>4463.7</v>
      </c>
      <c r="N275" s="398"/>
      <c r="O275" s="1438"/>
      <c r="P275" s="387"/>
      <c r="Q275" s="387"/>
      <c r="R275" s="388"/>
    </row>
    <row r="276" spans="1:21" ht="26.25" customHeight="1" x14ac:dyDescent="0.2">
      <c r="A276" s="1727" t="s">
        <v>5</v>
      </c>
      <c r="B276" s="1686" t="s">
        <v>33</v>
      </c>
      <c r="C276" s="226" t="s">
        <v>7</v>
      </c>
      <c r="D276" s="2031"/>
      <c r="E276" s="2140" t="s">
        <v>152</v>
      </c>
      <c r="F276" s="2123" t="s">
        <v>47</v>
      </c>
      <c r="G276" s="2215" t="s">
        <v>43</v>
      </c>
      <c r="H276" s="2503" t="s">
        <v>124</v>
      </c>
      <c r="I276" s="65" t="s">
        <v>25</v>
      </c>
      <c r="J276" s="87">
        <f>100-30-34-10.2</f>
        <v>25.8</v>
      </c>
      <c r="K276" s="65"/>
      <c r="L276" s="65">
        <v>111</v>
      </c>
      <c r="M276" s="65">
        <v>199.3</v>
      </c>
      <c r="N276" s="548" t="s">
        <v>162</v>
      </c>
      <c r="O276" s="206"/>
      <c r="P276" s="206"/>
      <c r="Q276" s="504">
        <v>1</v>
      </c>
      <c r="R276" s="505"/>
    </row>
    <row r="277" spans="1:21" ht="26.25" customHeight="1" x14ac:dyDescent="0.2">
      <c r="A277" s="1727"/>
      <c r="B277" s="1686"/>
      <c r="C277" s="226"/>
      <c r="D277" s="2031"/>
      <c r="E277" s="2141"/>
      <c r="F277" s="2123"/>
      <c r="G277" s="2215"/>
      <c r="H277" s="2504"/>
      <c r="I277" s="65" t="s">
        <v>62</v>
      </c>
      <c r="J277" s="87">
        <v>64</v>
      </c>
      <c r="K277" s="65">
        <v>83.9</v>
      </c>
      <c r="L277" s="65"/>
      <c r="M277" s="65"/>
      <c r="N277" s="89" t="s">
        <v>264</v>
      </c>
      <c r="O277" s="25">
        <v>50</v>
      </c>
      <c r="P277" s="25">
        <v>100</v>
      </c>
      <c r="Q277" s="330"/>
      <c r="R277" s="26"/>
    </row>
    <row r="278" spans="1:21" ht="26.25" customHeight="1" x14ac:dyDescent="0.2">
      <c r="A278" s="1727"/>
      <c r="B278" s="1686"/>
      <c r="C278" s="226"/>
      <c r="D278" s="1687"/>
      <c r="E278" s="2141"/>
      <c r="F278" s="2123"/>
      <c r="G278" s="2436"/>
      <c r="H278" s="2504"/>
      <c r="I278" s="1661"/>
      <c r="J278" s="90"/>
      <c r="K278" s="1661"/>
      <c r="L278" s="1661"/>
      <c r="M278" s="1661"/>
      <c r="N278" s="1784" t="s">
        <v>157</v>
      </c>
      <c r="O278" s="399"/>
      <c r="P278" s="399"/>
      <c r="Q278" s="1643">
        <v>30</v>
      </c>
      <c r="R278" s="211">
        <v>100</v>
      </c>
    </row>
    <row r="279" spans="1:21" ht="17.25" customHeight="1" thickBot="1" x14ac:dyDescent="0.25">
      <c r="A279" s="72"/>
      <c r="B279" s="1702"/>
      <c r="C279" s="99"/>
      <c r="D279" s="104"/>
      <c r="E279" s="2213"/>
      <c r="F279" s="2214"/>
      <c r="G279" s="2217"/>
      <c r="H279" s="2505"/>
      <c r="I279" s="141" t="s">
        <v>6</v>
      </c>
      <c r="J279" s="212">
        <f>SUM(J276:J277)</f>
        <v>89.8</v>
      </c>
      <c r="K279" s="141">
        <f>SUM(K276:K277)</f>
        <v>83.9</v>
      </c>
      <c r="L279" s="141">
        <f>SUM(L276:L277)</f>
        <v>111</v>
      </c>
      <c r="M279" s="141">
        <f>SUM(M276:M277)</f>
        <v>199.3</v>
      </c>
      <c r="N279" s="1680"/>
      <c r="O279" s="205"/>
      <c r="P279" s="205"/>
      <c r="Q279" s="815"/>
      <c r="R279" s="892"/>
    </row>
    <row r="280" spans="1:21" ht="14.25" customHeight="1" thickBot="1" x14ac:dyDescent="0.25">
      <c r="A280" s="72" t="s">
        <v>5</v>
      </c>
      <c r="B280" s="1702" t="s">
        <v>33</v>
      </c>
      <c r="C280" s="2235" t="s">
        <v>8</v>
      </c>
      <c r="D280" s="2235"/>
      <c r="E280" s="2235"/>
      <c r="F280" s="2235"/>
      <c r="G280" s="2235"/>
      <c r="H280" s="2235"/>
      <c r="I280" s="2437"/>
      <c r="J280" s="878">
        <f>J279+J275</f>
        <v>6121.1</v>
      </c>
      <c r="K280" s="705">
        <f>K279+K275</f>
        <v>4337.8999999999996</v>
      </c>
      <c r="L280" s="705">
        <f>L279+L275</f>
        <v>4267.7</v>
      </c>
      <c r="M280" s="705">
        <f>M279+M275</f>
        <v>4663</v>
      </c>
      <c r="N280" s="2433"/>
      <c r="O280" s="2433"/>
      <c r="P280" s="2433"/>
      <c r="Q280" s="2433"/>
      <c r="R280" s="2434"/>
    </row>
    <row r="281" spans="1:21" ht="14.25" customHeight="1" thickBot="1" x14ac:dyDescent="0.25">
      <c r="A281" s="94" t="s">
        <v>5</v>
      </c>
      <c r="B281" s="2237" t="s">
        <v>9</v>
      </c>
      <c r="C281" s="2238"/>
      <c r="D281" s="2238"/>
      <c r="E281" s="2238"/>
      <c r="F281" s="2238"/>
      <c r="G281" s="2238"/>
      <c r="H281" s="2238"/>
      <c r="I281" s="2239"/>
      <c r="J281" s="72">
        <f>J280+J221+J168+J121</f>
        <v>28292.799999999999</v>
      </c>
      <c r="K281" s="145">
        <f>K280+K221+K168+K121</f>
        <v>27482.3</v>
      </c>
      <c r="L281" s="145">
        <f>L280+L221+L168+L121</f>
        <v>37059</v>
      </c>
      <c r="M281" s="145">
        <f>M280+M221+M168+M121</f>
        <v>29296.6</v>
      </c>
      <c r="N281" s="2241"/>
      <c r="O281" s="2241"/>
      <c r="P281" s="2241"/>
      <c r="Q281" s="2241"/>
      <c r="R281" s="2242"/>
    </row>
    <row r="282" spans="1:21" ht="14.25" customHeight="1" thickBot="1" x14ac:dyDescent="0.25">
      <c r="A282" s="105" t="s">
        <v>35</v>
      </c>
      <c r="B282" s="2243" t="s">
        <v>58</v>
      </c>
      <c r="C282" s="2244"/>
      <c r="D282" s="2244"/>
      <c r="E282" s="2244"/>
      <c r="F282" s="2244"/>
      <c r="G282" s="2244"/>
      <c r="H282" s="2244"/>
      <c r="I282" s="2245"/>
      <c r="J282" s="886">
        <f t="shared" ref="J282:M282" si="6">SUM(J281)</f>
        <v>28292.799999999999</v>
      </c>
      <c r="K282" s="146">
        <f>SUM(K281)</f>
        <v>27482.3</v>
      </c>
      <c r="L282" s="146">
        <f>SUM(L281)</f>
        <v>37059</v>
      </c>
      <c r="M282" s="146">
        <f t="shared" si="6"/>
        <v>29296.6</v>
      </c>
      <c r="N282" s="2247"/>
      <c r="O282" s="2247"/>
      <c r="P282" s="2247"/>
      <c r="Q282" s="2247"/>
      <c r="R282" s="2248"/>
    </row>
    <row r="283" spans="1:21" s="5" customFormat="1" ht="17.25" customHeight="1" x14ac:dyDescent="0.2">
      <c r="A283" s="2527" t="s">
        <v>410</v>
      </c>
      <c r="B283" s="2528"/>
      <c r="C283" s="2528"/>
      <c r="D283" s="2528"/>
      <c r="E283" s="2528"/>
      <c r="F283" s="2528"/>
      <c r="G283" s="2528"/>
      <c r="H283" s="2528"/>
      <c r="I283" s="2528"/>
      <c r="J283" s="2528"/>
      <c r="K283" s="2528"/>
      <c r="L283" s="2528"/>
      <c r="M283" s="2528"/>
      <c r="N283" s="341"/>
      <c r="O283" s="341"/>
      <c r="P283" s="341"/>
      <c r="Q283" s="341"/>
      <c r="R283" s="341"/>
      <c r="S283" s="4"/>
      <c r="U283" s="1"/>
    </row>
    <row r="284" spans="1:21" s="4" customFormat="1" ht="9" customHeight="1" x14ac:dyDescent="0.2">
      <c r="A284" s="1135"/>
      <c r="B284" s="1136"/>
      <c r="C284" s="1136"/>
      <c r="D284" s="1136"/>
      <c r="E284" s="1136"/>
      <c r="F284" s="1136"/>
      <c r="G284" s="1136"/>
      <c r="H284" s="1136"/>
      <c r="I284" s="1136"/>
      <c r="J284" s="1136"/>
      <c r="K284" s="1136"/>
      <c r="L284" s="1136"/>
      <c r="M284" s="1136"/>
      <c r="N284" s="1136"/>
      <c r="O284" s="1135"/>
      <c r="P284" s="1135"/>
      <c r="Q284" s="1135"/>
      <c r="R284" s="1135"/>
      <c r="U284" s="1"/>
    </row>
    <row r="285" spans="1:21" s="4" customFormat="1" ht="17.25" customHeight="1" x14ac:dyDescent="0.2">
      <c r="A285" s="1135"/>
      <c r="B285" s="1136"/>
      <c r="C285" s="1136"/>
      <c r="D285" s="1136"/>
      <c r="E285" s="1136"/>
      <c r="F285" s="1136"/>
      <c r="G285" s="1136"/>
      <c r="H285" s="1136"/>
      <c r="I285" s="1136"/>
      <c r="J285" s="1136"/>
      <c r="K285" s="1136"/>
      <c r="L285" s="1136"/>
      <c r="M285" s="1136"/>
      <c r="N285" s="1136"/>
      <c r="O285" s="1135"/>
      <c r="P285" s="1135"/>
      <c r="Q285" s="1135"/>
      <c r="R285" s="1135"/>
      <c r="U285" s="1"/>
    </row>
    <row r="286" spans="1:21" s="5" customFormat="1" ht="15" customHeight="1" thickBot="1" x14ac:dyDescent="0.25">
      <c r="A286" s="2284" t="s">
        <v>13</v>
      </c>
      <c r="B286" s="2284"/>
      <c r="C286" s="2284"/>
      <c r="D286" s="2284"/>
      <c r="E286" s="2284"/>
      <c r="F286" s="2284"/>
      <c r="G286" s="2284"/>
      <c r="H286" s="2284"/>
      <c r="I286" s="2284"/>
      <c r="J286" s="156"/>
      <c r="K286" s="156"/>
      <c r="L286" s="156"/>
      <c r="M286" s="156"/>
      <c r="N286" s="106"/>
      <c r="O286" s="106"/>
      <c r="P286" s="106"/>
      <c r="Q286" s="106"/>
      <c r="R286" s="106"/>
      <c r="S286" s="4"/>
      <c r="U286" s="1"/>
    </row>
    <row r="287" spans="1:21" ht="62.25" customHeight="1" thickBot="1" x14ac:dyDescent="0.25">
      <c r="A287" s="2451" t="s">
        <v>10</v>
      </c>
      <c r="B287" s="2452"/>
      <c r="C287" s="2452"/>
      <c r="D287" s="2452"/>
      <c r="E287" s="2452"/>
      <c r="F287" s="2452"/>
      <c r="G287" s="2452"/>
      <c r="H287" s="2452"/>
      <c r="I287" s="2453"/>
      <c r="J287" s="1023" t="s">
        <v>298</v>
      </c>
      <c r="K287" s="1023" t="s">
        <v>322</v>
      </c>
      <c r="L287" s="1047" t="s">
        <v>186</v>
      </c>
      <c r="M287" s="1047" t="s">
        <v>311</v>
      </c>
      <c r="N287" s="14"/>
      <c r="O287" s="14"/>
      <c r="P287" s="14"/>
      <c r="Q287" s="14"/>
      <c r="R287" s="14"/>
    </row>
    <row r="288" spans="1:21" ht="14.25" customHeight="1" x14ac:dyDescent="0.2">
      <c r="A288" s="2288" t="s">
        <v>14</v>
      </c>
      <c r="B288" s="2289"/>
      <c r="C288" s="2289"/>
      <c r="D288" s="2289"/>
      <c r="E288" s="2289"/>
      <c r="F288" s="2289"/>
      <c r="G288" s="2289"/>
      <c r="H288" s="2289"/>
      <c r="I288" s="2290"/>
      <c r="J288" s="1024">
        <f>J289+J297+J298+J299+J296</f>
        <v>26015.5</v>
      </c>
      <c r="K288" s="1024">
        <f t="shared" ref="K288:M288" si="7">K289+K297+K298+K299+K296</f>
        <v>24700.1</v>
      </c>
      <c r="L288" s="1024">
        <f t="shared" si="7"/>
        <v>17571</v>
      </c>
      <c r="M288" s="1650">
        <f t="shared" si="7"/>
        <v>17487.8</v>
      </c>
      <c r="N288" s="14"/>
      <c r="O288" s="14"/>
      <c r="P288" s="14"/>
      <c r="Q288" s="14"/>
      <c r="R288" s="14"/>
    </row>
    <row r="289" spans="1:18" ht="14.25" customHeight="1" x14ac:dyDescent="0.2">
      <c r="A289" s="2223" t="s">
        <v>96</v>
      </c>
      <c r="B289" s="2224"/>
      <c r="C289" s="2224"/>
      <c r="D289" s="2224"/>
      <c r="E289" s="2224"/>
      <c r="F289" s="2224"/>
      <c r="G289" s="2224"/>
      <c r="H289" s="2224"/>
      <c r="I289" s="2225"/>
      <c r="J289" s="1025">
        <f>SUM(J290:J295)</f>
        <v>18063.2</v>
      </c>
      <c r="K289" s="1025">
        <f>SUM(K290:K295)</f>
        <v>18319.8</v>
      </c>
      <c r="L289" s="1025">
        <f t="shared" ref="L289:M289" si="8">SUM(L290:L295)</f>
        <v>12959.5</v>
      </c>
      <c r="M289" s="1649">
        <f t="shared" si="8"/>
        <v>12751.1</v>
      </c>
      <c r="N289" s="14"/>
      <c r="O289" s="14"/>
      <c r="P289" s="14"/>
      <c r="Q289" s="14"/>
      <c r="R289" s="14"/>
    </row>
    <row r="290" spans="1:18" ht="14.25" customHeight="1" x14ac:dyDescent="0.2">
      <c r="A290" s="2226" t="s">
        <v>19</v>
      </c>
      <c r="B290" s="2227"/>
      <c r="C290" s="2227"/>
      <c r="D290" s="2227"/>
      <c r="E290" s="2227"/>
      <c r="F290" s="2227"/>
      <c r="G290" s="2227"/>
      <c r="H290" s="2227"/>
      <c r="I290" s="2228"/>
      <c r="J290" s="1026">
        <f>SUMIF(I13:I282,"SB",J13:J282)</f>
        <v>10933.2</v>
      </c>
      <c r="K290" s="1661">
        <f>SUMIF(I13:I282,"SB",K13:K282)</f>
        <v>12051.4</v>
      </c>
      <c r="L290" s="1661">
        <f>SUMIF(I12:I282,"SB",L12:L282)</f>
        <v>11100.2</v>
      </c>
      <c r="M290" s="1661">
        <f>SUMIF(I12:I282,"SB",M12:M282)</f>
        <v>11034.2</v>
      </c>
      <c r="N290" s="14"/>
      <c r="O290" s="14"/>
      <c r="P290" s="14"/>
      <c r="Q290" s="14"/>
      <c r="R290" s="14"/>
    </row>
    <row r="291" spans="1:18" ht="14.25" customHeight="1" x14ac:dyDescent="0.2">
      <c r="A291" s="2229" t="s">
        <v>20</v>
      </c>
      <c r="B291" s="2230"/>
      <c r="C291" s="2230"/>
      <c r="D291" s="2230"/>
      <c r="E291" s="2230"/>
      <c r="F291" s="2230"/>
      <c r="G291" s="2230"/>
      <c r="H291" s="2230"/>
      <c r="I291" s="2231"/>
      <c r="J291" s="1027">
        <f>SUMIF(I18:I282,"SB(P)",J18:J282)</f>
        <v>0</v>
      </c>
      <c r="K291" s="58">
        <f>SUMIF(I18:I282,"SB(P)",K18:K282)</f>
        <v>0</v>
      </c>
      <c r="L291" s="58">
        <f>SUMIF(I18:I282,"SB(P)",L18:L282)</f>
        <v>0</v>
      </c>
      <c r="M291" s="58">
        <f>SUMIF(I18:I282,"SB(P)",M18:M282)</f>
        <v>0</v>
      </c>
      <c r="N291" s="14"/>
      <c r="O291" s="14"/>
      <c r="P291" s="14"/>
      <c r="Q291" s="14"/>
      <c r="R291" s="14"/>
    </row>
    <row r="292" spans="1:18" ht="14.25" customHeight="1" x14ac:dyDescent="0.2">
      <c r="A292" s="2229" t="s">
        <v>71</v>
      </c>
      <c r="B292" s="2230"/>
      <c r="C292" s="2230"/>
      <c r="D292" s="2230"/>
      <c r="E292" s="2230"/>
      <c r="F292" s="2230"/>
      <c r="G292" s="2230"/>
      <c r="H292" s="2230"/>
      <c r="I292" s="2231"/>
      <c r="J292" s="1026">
        <f>SUMIF(I18:I282,"SB(VR)",J18:J282)</f>
        <v>1506.4</v>
      </c>
      <c r="K292" s="1661">
        <f>SUMIF(I18:I282,"SB(VR)",K18:K282)</f>
        <v>1770.6</v>
      </c>
      <c r="L292" s="1661">
        <f>SUMIF(I18:I282,"SB(VR)",L18:L282)</f>
        <v>1736.5</v>
      </c>
      <c r="M292" s="1661">
        <f>SUMIF(I18:I282,"SB(VR)",M18:M282)</f>
        <v>1672.2</v>
      </c>
      <c r="N292" s="14"/>
      <c r="O292" s="14"/>
      <c r="P292" s="14"/>
      <c r="Q292" s="14"/>
      <c r="R292" s="14"/>
    </row>
    <row r="293" spans="1:18" ht="14.25" customHeight="1" x14ac:dyDescent="0.2">
      <c r="A293" s="2232" t="s">
        <v>177</v>
      </c>
      <c r="B293" s="2233"/>
      <c r="C293" s="2233"/>
      <c r="D293" s="2233"/>
      <c r="E293" s="2233"/>
      <c r="F293" s="2233"/>
      <c r="G293" s="2233"/>
      <c r="H293" s="2233"/>
      <c r="I293" s="2234"/>
      <c r="J293" s="1027">
        <f>SUMIF(I13:I276,"SB(ES)",J13:J276)</f>
        <v>1624.5</v>
      </c>
      <c r="K293" s="58">
        <f>SUMIF(I13:I276,"SB(ES)",K13:K276)</f>
        <v>4497.8</v>
      </c>
      <c r="L293" s="58">
        <f>SUMIF(I13:I277,"SB(ES)",L13:L277)</f>
        <v>122.8</v>
      </c>
      <c r="M293" s="58">
        <f>SUMIF(I13:I276,"SB(ES)",M13:M276)</f>
        <v>0</v>
      </c>
      <c r="N293" s="14"/>
      <c r="O293" s="14"/>
      <c r="P293" s="14"/>
      <c r="Q293" s="14"/>
      <c r="R293" s="14"/>
    </row>
    <row r="294" spans="1:18" ht="14.25" customHeight="1" x14ac:dyDescent="0.2">
      <c r="A294" s="2232" t="s">
        <v>369</v>
      </c>
      <c r="B294" s="2233"/>
      <c r="C294" s="2233"/>
      <c r="D294" s="2233"/>
      <c r="E294" s="2233"/>
      <c r="F294" s="2233"/>
      <c r="G294" s="2233"/>
      <c r="H294" s="2233"/>
      <c r="I294" s="2234"/>
      <c r="J294" s="1026">
        <f>SUMIF(I12:I282,"SB(VB)",J1:J282)</f>
        <v>0</v>
      </c>
      <c r="K294" s="58">
        <f>SUMIF(I18:I277,"SB(VB)",K18:K277)</f>
        <v>0</v>
      </c>
      <c r="L294" s="58">
        <f>SUMIF(I18:I278,"SB(VB)",L18:L278)</f>
        <v>0</v>
      </c>
      <c r="M294" s="58">
        <f>SUMIF(I18:I277,"SB(VB)",M18:M277)</f>
        <v>44.7</v>
      </c>
      <c r="N294" s="14"/>
      <c r="O294" s="14"/>
      <c r="P294" s="14"/>
      <c r="Q294" s="14"/>
      <c r="R294" s="14"/>
    </row>
    <row r="295" spans="1:18" ht="15.75" customHeight="1" x14ac:dyDescent="0.2">
      <c r="A295" s="2274" t="s">
        <v>452</v>
      </c>
      <c r="B295" s="2275"/>
      <c r="C295" s="2275"/>
      <c r="D295" s="2275"/>
      <c r="E295" s="2275"/>
      <c r="F295" s="2275"/>
      <c r="G295" s="2275"/>
      <c r="H295" s="2275"/>
      <c r="I295" s="2276"/>
      <c r="J295" s="1026">
        <f>SUMIF(I21:I284,"SB(KPP)",J21:J284)</f>
        <v>3999.1</v>
      </c>
      <c r="K295" s="58">
        <f>SUMIF(I15:I284,"SB(KP)",K15:K284)</f>
        <v>0</v>
      </c>
      <c r="L295" s="58">
        <f>SUMIF(I15:I284,"SB(KP)",L15:L284)</f>
        <v>0</v>
      </c>
      <c r="M295" s="58">
        <f>SUMIF(I15:I284,"SB(KP)",M15:M284)</f>
        <v>0</v>
      </c>
      <c r="N295" s="14"/>
      <c r="O295" s="14"/>
      <c r="P295" s="14"/>
      <c r="Q295" s="14"/>
      <c r="R295" s="14"/>
    </row>
    <row r="296" spans="1:18" ht="15.75" customHeight="1" x14ac:dyDescent="0.2">
      <c r="A296" s="2280" t="s">
        <v>453</v>
      </c>
      <c r="B296" s="2449"/>
      <c r="C296" s="2449"/>
      <c r="D296" s="2449"/>
      <c r="E296" s="2449"/>
      <c r="F296" s="2449"/>
      <c r="G296" s="2449"/>
      <c r="H296" s="2449"/>
      <c r="I296" s="2450"/>
      <c r="J296" s="1028">
        <v>0</v>
      </c>
      <c r="K296" s="286">
        <f>SUMIF(I12:I284,"SB(KPP)",K12:K284)</f>
        <v>4738.8</v>
      </c>
      <c r="L296" s="286">
        <f>SUMIF(I10:I282,"SB(KPP)",L10:L282)</f>
        <v>4611.5</v>
      </c>
      <c r="M296" s="286">
        <f>SUMIF(I12:I282,"SB(KPP)",M12:M282)</f>
        <v>4736.7</v>
      </c>
      <c r="N296" s="14"/>
      <c r="O296" s="14"/>
      <c r="P296" s="14"/>
      <c r="Q296" s="14"/>
      <c r="R296" s="14"/>
    </row>
    <row r="297" spans="1:18" ht="14.25" customHeight="1" x14ac:dyDescent="0.2">
      <c r="A297" s="2277" t="s">
        <v>101</v>
      </c>
      <c r="B297" s="2278"/>
      <c r="C297" s="2278"/>
      <c r="D297" s="2278"/>
      <c r="E297" s="2278"/>
      <c r="F297" s="2278"/>
      <c r="G297" s="2278"/>
      <c r="H297" s="2278"/>
      <c r="I297" s="2279"/>
      <c r="J297" s="1028">
        <f>SUMIF(I18:I281,"SB(VRL)",J18:J281)</f>
        <v>768.9</v>
      </c>
      <c r="K297" s="286">
        <f>SUMIF(I18:I281,"SB(VRL)",K18:K281)</f>
        <v>394.2</v>
      </c>
      <c r="L297" s="286">
        <f>SUMIF(I18:I281,"SB(VRL)",L18:L281)</f>
        <v>0</v>
      </c>
      <c r="M297" s="286">
        <f>SUMIF(I18:I281,"SB(VRL)",M18:M281)</f>
        <v>0</v>
      </c>
      <c r="N297" s="14"/>
      <c r="O297" s="14"/>
      <c r="P297" s="14"/>
      <c r="Q297" s="14"/>
      <c r="R297" s="14"/>
    </row>
    <row r="298" spans="1:18" ht="14.25" customHeight="1" x14ac:dyDescent="0.2">
      <c r="A298" s="2280" t="s">
        <v>102</v>
      </c>
      <c r="B298" s="2278"/>
      <c r="C298" s="2278"/>
      <c r="D298" s="2278"/>
      <c r="E298" s="2278"/>
      <c r="F298" s="2278"/>
      <c r="G298" s="2278"/>
      <c r="H298" s="2278"/>
      <c r="I298" s="2279"/>
      <c r="J298" s="1028">
        <f>SUMIF(I10:I282,"SB(ŽPL)",J10:J282)</f>
        <v>1527.4</v>
      </c>
      <c r="K298" s="286">
        <f>SUMIF(I18:I282,"SB(ŽPL)",K18:K282)</f>
        <v>328.7</v>
      </c>
      <c r="L298" s="286">
        <f>SUMIF(I18:I282,"SB(ŽPL)",L18:L282)</f>
        <v>0</v>
      </c>
      <c r="M298" s="286">
        <f>SUMIF(I18:I282,"SB(ŽPL)",M18:M282)</f>
        <v>0</v>
      </c>
      <c r="N298" s="14"/>
      <c r="O298" s="14"/>
      <c r="P298" s="14"/>
      <c r="Q298" s="14"/>
      <c r="R298" s="14"/>
    </row>
    <row r="299" spans="1:18" ht="14.25" customHeight="1" x14ac:dyDescent="0.2">
      <c r="A299" s="2281" t="s">
        <v>191</v>
      </c>
      <c r="B299" s="2282"/>
      <c r="C299" s="2282"/>
      <c r="D299" s="2282"/>
      <c r="E299" s="2282"/>
      <c r="F299" s="2282"/>
      <c r="G299" s="2282"/>
      <c r="H299" s="2282"/>
      <c r="I299" s="2283"/>
      <c r="J299" s="1028">
        <f>SUMIF(I18:I282,"SB(L)",J18:J282)</f>
        <v>5656</v>
      </c>
      <c r="K299" s="286">
        <f>SUMIF(I18:I282,"SB(L)",K18:K282)</f>
        <v>918.6</v>
      </c>
      <c r="L299" s="286">
        <f>SUMIF(I18:I282,"SB(L)",L18:L282)</f>
        <v>0</v>
      </c>
      <c r="M299" s="286">
        <f>SUMIF(I18:I280,"SB(L)",M18:M282)</f>
        <v>0</v>
      </c>
      <c r="N299" s="14"/>
      <c r="O299" s="14"/>
      <c r="P299" s="14"/>
      <c r="Q299" s="14"/>
      <c r="R299" s="14"/>
    </row>
    <row r="300" spans="1:18" ht="14.25" customHeight="1" x14ac:dyDescent="0.2">
      <c r="A300" s="2262" t="s">
        <v>15</v>
      </c>
      <c r="B300" s="2263"/>
      <c r="C300" s="2263"/>
      <c r="D300" s="2263"/>
      <c r="E300" s="2263"/>
      <c r="F300" s="2263"/>
      <c r="G300" s="2263"/>
      <c r="H300" s="2263"/>
      <c r="I300" s="2264"/>
      <c r="J300" s="1029">
        <f>SUM(J301:J305)</f>
        <v>2277.3000000000002</v>
      </c>
      <c r="K300" s="287">
        <f>K303+K304+K305+K301+K302</f>
        <v>2782.2</v>
      </c>
      <c r="L300" s="287">
        <f>L303+L304+L305+L301+L302</f>
        <v>19488</v>
      </c>
      <c r="M300" s="287">
        <f t="shared" ref="M300" si="9">M303+M304+M305+M301+M302</f>
        <v>11808.8</v>
      </c>
      <c r="N300" s="14"/>
      <c r="O300" s="14"/>
      <c r="P300" s="14"/>
      <c r="Q300" s="14"/>
      <c r="R300" s="14"/>
    </row>
    <row r="301" spans="1:18" ht="14.25" customHeight="1" x14ac:dyDescent="0.2">
      <c r="A301" s="2232" t="s">
        <v>21</v>
      </c>
      <c r="B301" s="2233"/>
      <c r="C301" s="2233"/>
      <c r="D301" s="2233"/>
      <c r="E301" s="2233"/>
      <c r="F301" s="2233"/>
      <c r="G301" s="2233"/>
      <c r="H301" s="2233"/>
      <c r="I301" s="2234"/>
      <c r="J301" s="1027">
        <f>SUMIF(I13:I282,"ES",J13:J282)</f>
        <v>579.5</v>
      </c>
      <c r="K301" s="58">
        <f>SUMIF(I13:I282,"ES",K13:K282)</f>
        <v>993.4</v>
      </c>
      <c r="L301" s="58">
        <f>SUMIF(I13:I282,"ES",L13:L282)</f>
        <v>1653</v>
      </c>
      <c r="M301" s="58">
        <f>SUMIF(I13:I282,"ES",M13:M282)</f>
        <v>1799.7</v>
      </c>
      <c r="N301" s="14"/>
      <c r="O301" s="14"/>
      <c r="P301" s="14"/>
      <c r="Q301" s="14"/>
      <c r="R301" s="14"/>
    </row>
    <row r="302" spans="1:18" ht="14.25" customHeight="1" x14ac:dyDescent="0.2">
      <c r="A302" s="2265" t="s">
        <v>451</v>
      </c>
      <c r="B302" s="2266"/>
      <c r="C302" s="2266"/>
      <c r="D302" s="2266"/>
      <c r="E302" s="2266"/>
      <c r="F302" s="2266"/>
      <c r="G302" s="2266"/>
      <c r="H302" s="2266"/>
      <c r="I302" s="2267"/>
      <c r="J302" s="1027">
        <f>SUMIF(I12:I281,"KPP(VIP)",J12:J281)</f>
        <v>0</v>
      </c>
      <c r="K302" s="1027">
        <f>SUMIF(I12:I281,"KPP(VIP)",K12:K281)</f>
        <v>0</v>
      </c>
      <c r="L302" s="1027">
        <f>SUMIF(I12:I281,"KPP(VIP)",L12:L281)</f>
        <v>11200</v>
      </c>
      <c r="M302" s="1648">
        <f>SUMIF(I12:I281,"KPP(VIP)",M12:M281)</f>
        <v>1400</v>
      </c>
      <c r="N302" s="14"/>
      <c r="O302" s="14"/>
      <c r="P302" s="14"/>
      <c r="Q302" s="14"/>
      <c r="R302" s="14"/>
    </row>
    <row r="303" spans="1:18" ht="14.25" customHeight="1" x14ac:dyDescent="0.2">
      <c r="A303" s="2265" t="s">
        <v>22</v>
      </c>
      <c r="B303" s="2266"/>
      <c r="C303" s="2266"/>
      <c r="D303" s="2266"/>
      <c r="E303" s="2266"/>
      <c r="F303" s="2266"/>
      <c r="G303" s="2266"/>
      <c r="H303" s="2266"/>
      <c r="I303" s="2267"/>
      <c r="J303" s="1027">
        <f>SUMIF(I18:I282,"KVJUD",J18:J282)</f>
        <v>1593.4</v>
      </c>
      <c r="K303" s="58">
        <f>SUMIF(I18:I282,"KVJUD",K18:K282)</f>
        <v>1662.4</v>
      </c>
      <c r="L303" s="58">
        <f>SUMIF(I18:I282,"KVJUD",L18:L282)</f>
        <v>1500</v>
      </c>
      <c r="M303" s="58">
        <f>SUMIF(I18:I282,"KVJUD",M18:M282)</f>
        <v>0</v>
      </c>
      <c r="N303" s="52"/>
      <c r="O303" s="52"/>
      <c r="P303" s="52"/>
      <c r="Q303" s="52"/>
      <c r="R303" s="52"/>
    </row>
    <row r="304" spans="1:18" ht="14.25" customHeight="1" x14ac:dyDescent="0.2">
      <c r="A304" s="2229" t="s">
        <v>23</v>
      </c>
      <c r="B304" s="2230"/>
      <c r="C304" s="2230"/>
      <c r="D304" s="2230"/>
      <c r="E304" s="2230"/>
      <c r="F304" s="2230"/>
      <c r="G304" s="2230"/>
      <c r="H304" s="2230"/>
      <c r="I304" s="2231"/>
      <c r="J304" s="1027">
        <f>SUMIF(I18:I282,"LRVB",J18:J282)</f>
        <v>0</v>
      </c>
      <c r="K304" s="58">
        <f>SUMIF(I18:I282,"LRVB",K18:K282)</f>
        <v>0</v>
      </c>
      <c r="L304" s="58">
        <f>SUMIF(I18:I282,"LRVB",L18:L282)</f>
        <v>5000</v>
      </c>
      <c r="M304" s="58">
        <f>SUMIF(I18:I282,"LRVB",M18:M282)</f>
        <v>8609.1</v>
      </c>
      <c r="N304" s="52"/>
      <c r="O304" s="52"/>
      <c r="P304" s="52"/>
      <c r="Q304" s="52"/>
      <c r="R304" s="52"/>
    </row>
    <row r="305" spans="1:18" ht="14.25" customHeight="1" x14ac:dyDescent="0.2">
      <c r="A305" s="2268" t="s">
        <v>24</v>
      </c>
      <c r="B305" s="2269"/>
      <c r="C305" s="2269"/>
      <c r="D305" s="2269"/>
      <c r="E305" s="2269"/>
      <c r="F305" s="2269"/>
      <c r="G305" s="2269"/>
      <c r="H305" s="2269"/>
      <c r="I305" s="2270"/>
      <c r="J305" s="1027">
        <f>SUMIF(I18:I282,"Kt",J18:J282)</f>
        <v>104.4</v>
      </c>
      <c r="K305" s="58">
        <f>SUMIF(I18:I282,"Kt",K18:K282)</f>
        <v>126.4</v>
      </c>
      <c r="L305" s="58">
        <f>SUMIF(I18:I282,"Kt",L18:L282)</f>
        <v>135</v>
      </c>
      <c r="M305" s="58">
        <f>SUMIF(I18:I282,"Kt",M18:M282)</f>
        <v>0</v>
      </c>
      <c r="N305" s="52"/>
      <c r="O305" s="52"/>
      <c r="P305" s="52"/>
      <c r="Q305" s="52"/>
      <c r="R305" s="52"/>
    </row>
    <row r="306" spans="1:18" ht="14.25" customHeight="1" thickBot="1" x14ac:dyDescent="0.25">
      <c r="A306" s="2271" t="s">
        <v>16</v>
      </c>
      <c r="B306" s="2272"/>
      <c r="C306" s="2272"/>
      <c r="D306" s="2272"/>
      <c r="E306" s="2272"/>
      <c r="F306" s="2272"/>
      <c r="G306" s="2272"/>
      <c r="H306" s="2272"/>
      <c r="I306" s="2273"/>
      <c r="J306" s="1022">
        <f>SUM(J288,J300)</f>
        <v>28292.799999999999</v>
      </c>
      <c r="K306" s="288">
        <f>SUM(K288,K300)</f>
        <v>27482.3</v>
      </c>
      <c r="L306" s="288">
        <f>SUM(L288,L300)</f>
        <v>37059</v>
      </c>
      <c r="M306" s="288">
        <f>SUM(M288,M300)</f>
        <v>29296.6</v>
      </c>
      <c r="N306" s="52"/>
      <c r="O306" s="52"/>
      <c r="P306" s="52"/>
      <c r="Q306" s="52"/>
      <c r="R306" s="52"/>
    </row>
    <row r="307" spans="1:18" x14ac:dyDescent="0.2">
      <c r="I307" s="921"/>
      <c r="J307" s="922"/>
      <c r="K307" s="922"/>
      <c r="L307" s="922"/>
      <c r="M307" s="922"/>
      <c r="N307" s="4"/>
    </row>
    <row r="308" spans="1:18" x14ac:dyDescent="0.2">
      <c r="I308" s="921"/>
      <c r="J308" s="993"/>
      <c r="K308" s="4"/>
      <c r="L308" s="4"/>
      <c r="M308" s="4"/>
      <c r="N308" s="4"/>
    </row>
    <row r="309" spans="1:18" x14ac:dyDescent="0.2">
      <c r="I309" s="921"/>
      <c r="J309" s="4"/>
      <c r="K309" s="993"/>
      <c r="L309" s="993"/>
      <c r="M309" s="4"/>
      <c r="N309" s="4"/>
    </row>
    <row r="310" spans="1:18" x14ac:dyDescent="0.2">
      <c r="A310" s="1"/>
      <c r="B310" s="1"/>
      <c r="C310" s="1"/>
      <c r="D310" s="1"/>
      <c r="E310" s="1"/>
      <c r="F310" s="1"/>
      <c r="G310" s="1"/>
      <c r="H310" s="1"/>
      <c r="I310" s="1"/>
      <c r="J310" s="52"/>
      <c r="K310" s="52"/>
      <c r="L310" s="52"/>
      <c r="M310" s="52"/>
      <c r="N310" s="1"/>
      <c r="O310" s="1"/>
      <c r="P310" s="1"/>
      <c r="Q310" s="1"/>
      <c r="R310" s="1"/>
    </row>
    <row r="311" spans="1:18" x14ac:dyDescent="0.2">
      <c r="A311" s="1"/>
      <c r="B311" s="1"/>
      <c r="C311" s="1"/>
      <c r="D311" s="1"/>
      <c r="E311" s="1"/>
      <c r="F311" s="1"/>
      <c r="G311" s="1"/>
      <c r="H311" s="1"/>
      <c r="I311" s="1"/>
      <c r="J311" s="52"/>
      <c r="K311" s="52"/>
      <c r="L311" s="52"/>
      <c r="M311" s="52"/>
      <c r="N311" s="1"/>
      <c r="O311" s="1"/>
      <c r="P311" s="1"/>
      <c r="Q311" s="1"/>
      <c r="R311" s="1"/>
    </row>
    <row r="312" spans="1:18" x14ac:dyDescent="0.2">
      <c r="L312" s="14"/>
      <c r="M312" s="14"/>
    </row>
  </sheetData>
  <mergeCells count="340">
    <mergeCell ref="N1:R1"/>
    <mergeCell ref="A2:R2"/>
    <mergeCell ref="A3:R3"/>
    <mergeCell ref="A4:R4"/>
    <mergeCell ref="N5:R5"/>
    <mergeCell ref="A6:A8"/>
    <mergeCell ref="B6:B8"/>
    <mergeCell ref="C6:C8"/>
    <mergeCell ref="D6:D8"/>
    <mergeCell ref="E6:E8"/>
    <mergeCell ref="A10:R10"/>
    <mergeCell ref="B11:R11"/>
    <mergeCell ref="C12:R12"/>
    <mergeCell ref="E14:E17"/>
    <mergeCell ref="H14:H17"/>
    <mergeCell ref="N14:N15"/>
    <mergeCell ref="F15:F17"/>
    <mergeCell ref="L6:L8"/>
    <mergeCell ref="M6:M8"/>
    <mergeCell ref="N6:R6"/>
    <mergeCell ref="N7:N8"/>
    <mergeCell ref="O7:R7"/>
    <mergeCell ref="A9:R9"/>
    <mergeCell ref="F6:F8"/>
    <mergeCell ref="G6:G8"/>
    <mergeCell ref="H6:H8"/>
    <mergeCell ref="I6:I8"/>
    <mergeCell ref="J6:J8"/>
    <mergeCell ref="K6:K8"/>
    <mergeCell ref="A32:A34"/>
    <mergeCell ref="B32:B34"/>
    <mergeCell ref="C32:C34"/>
    <mergeCell ref="D32:D34"/>
    <mergeCell ref="E32:E34"/>
    <mergeCell ref="H18:H22"/>
    <mergeCell ref="F19:F22"/>
    <mergeCell ref="N20:N21"/>
    <mergeCell ref="A23:A26"/>
    <mergeCell ref="B23:B26"/>
    <mergeCell ref="C23:C26"/>
    <mergeCell ref="D23:D26"/>
    <mergeCell ref="E23:E26"/>
    <mergeCell ref="G23:G26"/>
    <mergeCell ref="A18:A22"/>
    <mergeCell ref="B18:B22"/>
    <mergeCell ref="C18:C22"/>
    <mergeCell ref="D18:D22"/>
    <mergeCell ref="E18:E22"/>
    <mergeCell ref="G18:G22"/>
    <mergeCell ref="G32:G34"/>
    <mergeCell ref="N32:N33"/>
    <mergeCell ref="F33:F34"/>
    <mergeCell ref="D35:D36"/>
    <mergeCell ref="E35:E36"/>
    <mergeCell ref="G35:G36"/>
    <mergeCell ref="E27:E29"/>
    <mergeCell ref="H27:H29"/>
    <mergeCell ref="N27:N28"/>
    <mergeCell ref="F28:F29"/>
    <mergeCell ref="E30:E31"/>
    <mergeCell ref="E47:E48"/>
    <mergeCell ref="D49:D50"/>
    <mergeCell ref="E49:E50"/>
    <mergeCell ref="F49:F50"/>
    <mergeCell ref="G49:G50"/>
    <mergeCell ref="H49:H50"/>
    <mergeCell ref="N39:N40"/>
    <mergeCell ref="A44:A46"/>
    <mergeCell ref="B44:B46"/>
    <mergeCell ref="C44:C46"/>
    <mergeCell ref="D44:D46"/>
    <mergeCell ref="E44:E46"/>
    <mergeCell ref="G44:G46"/>
    <mergeCell ref="N44:N45"/>
    <mergeCell ref="A39:A43"/>
    <mergeCell ref="B39:B43"/>
    <mergeCell ref="C39:C43"/>
    <mergeCell ref="E39:E43"/>
    <mergeCell ref="G39:G43"/>
    <mergeCell ref="H39:H43"/>
    <mergeCell ref="D51:D52"/>
    <mergeCell ref="E51:E52"/>
    <mergeCell ref="F51:F52"/>
    <mergeCell ref="G51:G52"/>
    <mergeCell ref="H51:H52"/>
    <mergeCell ref="D53:D54"/>
    <mergeCell ref="E53:E54"/>
    <mergeCell ref="F53:F54"/>
    <mergeCell ref="G53:G54"/>
    <mergeCell ref="H53:H54"/>
    <mergeCell ref="G57:G64"/>
    <mergeCell ref="H57:H63"/>
    <mergeCell ref="N57:N58"/>
    <mergeCell ref="D65:D68"/>
    <mergeCell ref="E65:E68"/>
    <mergeCell ref="G65:G68"/>
    <mergeCell ref="H65:H68"/>
    <mergeCell ref="A57:A64"/>
    <mergeCell ref="B57:B64"/>
    <mergeCell ref="C57:C64"/>
    <mergeCell ref="D57:D64"/>
    <mergeCell ref="E57:E59"/>
    <mergeCell ref="F57:F64"/>
    <mergeCell ref="G75:G80"/>
    <mergeCell ref="H75:H80"/>
    <mergeCell ref="N75:N76"/>
    <mergeCell ref="N79:N80"/>
    <mergeCell ref="D69:D70"/>
    <mergeCell ref="E69:E70"/>
    <mergeCell ref="F69:F70"/>
    <mergeCell ref="G69:G70"/>
    <mergeCell ref="N69:N70"/>
    <mergeCell ref="D71:D72"/>
    <mergeCell ref="E71:E72"/>
    <mergeCell ref="F71:F72"/>
    <mergeCell ref="G71:G72"/>
    <mergeCell ref="H71:H72"/>
    <mergeCell ref="A81:A83"/>
    <mergeCell ref="B81:B83"/>
    <mergeCell ref="C81:C83"/>
    <mergeCell ref="D81:D83"/>
    <mergeCell ref="E81:E83"/>
    <mergeCell ref="F81:F83"/>
    <mergeCell ref="D75:D80"/>
    <mergeCell ref="E75:E80"/>
    <mergeCell ref="F75:F80"/>
    <mergeCell ref="E90:E91"/>
    <mergeCell ref="H90:H91"/>
    <mergeCell ref="E92:E94"/>
    <mergeCell ref="F92:F94"/>
    <mergeCell ref="H92:H94"/>
    <mergeCell ref="E95:E96"/>
    <mergeCell ref="G81:G83"/>
    <mergeCell ref="H81:H83"/>
    <mergeCell ref="N82:N83"/>
    <mergeCell ref="E86:E89"/>
    <mergeCell ref="H86:H89"/>
    <mergeCell ref="N86:N87"/>
    <mergeCell ref="F87:F89"/>
    <mergeCell ref="Q95:Q96"/>
    <mergeCell ref="E97:E98"/>
    <mergeCell ref="H97:H98"/>
    <mergeCell ref="E99:E100"/>
    <mergeCell ref="H99:H100"/>
    <mergeCell ref="E103:E108"/>
    <mergeCell ref="F103:F105"/>
    <mergeCell ref="H103:H108"/>
    <mergeCell ref="N104:N105"/>
    <mergeCell ref="C121:I121"/>
    <mergeCell ref="C122:R122"/>
    <mergeCell ref="H124:H127"/>
    <mergeCell ref="E125:E127"/>
    <mergeCell ref="E130:E131"/>
    <mergeCell ref="N130:N132"/>
    <mergeCell ref="E109:E111"/>
    <mergeCell ref="H113:H114"/>
    <mergeCell ref="N114:N116"/>
    <mergeCell ref="E118:E119"/>
    <mergeCell ref="H118:H119"/>
    <mergeCell ref="N118:N119"/>
    <mergeCell ref="E135:E136"/>
    <mergeCell ref="N135:N136"/>
    <mergeCell ref="A137:A138"/>
    <mergeCell ref="B137:B138"/>
    <mergeCell ref="C137:C138"/>
    <mergeCell ref="D137:D138"/>
    <mergeCell ref="E137:E138"/>
    <mergeCell ref="F137:F138"/>
    <mergeCell ref="G137:G138"/>
    <mergeCell ref="N137:N138"/>
    <mergeCell ref="O137:O138"/>
    <mergeCell ref="P137:P138"/>
    <mergeCell ref="Q137:Q138"/>
    <mergeCell ref="R137:R138"/>
    <mergeCell ref="A139:A141"/>
    <mergeCell ref="B139:B141"/>
    <mergeCell ref="C139:C141"/>
    <mergeCell ref="D139:D141"/>
    <mergeCell ref="E139:E141"/>
    <mergeCell ref="F139:F141"/>
    <mergeCell ref="G139:G141"/>
    <mergeCell ref="H139:H141"/>
    <mergeCell ref="A146:A147"/>
    <mergeCell ref="B146:B147"/>
    <mergeCell ref="C146:C147"/>
    <mergeCell ref="D146:D147"/>
    <mergeCell ref="E146:E147"/>
    <mergeCell ref="F146:F147"/>
    <mergeCell ref="G146:G147"/>
    <mergeCell ref="E161:E162"/>
    <mergeCell ref="A164:A167"/>
    <mergeCell ref="B164:B167"/>
    <mergeCell ref="C164:C167"/>
    <mergeCell ref="D164:D167"/>
    <mergeCell ref="E164:E166"/>
    <mergeCell ref="E148:E149"/>
    <mergeCell ref="H148:H149"/>
    <mergeCell ref="E153:E155"/>
    <mergeCell ref="F153:F155"/>
    <mergeCell ref="H153:H154"/>
    <mergeCell ref="E157:E159"/>
    <mergeCell ref="H157:H160"/>
    <mergeCell ref="E171:E182"/>
    <mergeCell ref="F171:F173"/>
    <mergeCell ref="H171:H182"/>
    <mergeCell ref="N178:N179"/>
    <mergeCell ref="N181:N182"/>
    <mergeCell ref="E187:E189"/>
    <mergeCell ref="H187:H188"/>
    <mergeCell ref="N187:N188"/>
    <mergeCell ref="G164:G167"/>
    <mergeCell ref="H164:H167"/>
    <mergeCell ref="N164:N166"/>
    <mergeCell ref="C168:I168"/>
    <mergeCell ref="N168:R168"/>
    <mergeCell ref="C169:R169"/>
    <mergeCell ref="R190:R191"/>
    <mergeCell ref="E194:E195"/>
    <mergeCell ref="H194:H195"/>
    <mergeCell ref="N194:N195"/>
    <mergeCell ref="D196:D197"/>
    <mergeCell ref="E196:E197"/>
    <mergeCell ref="O187:O188"/>
    <mergeCell ref="P187:P188"/>
    <mergeCell ref="Q187:Q188"/>
    <mergeCell ref="R187:R188"/>
    <mergeCell ref="E190:E191"/>
    <mergeCell ref="H190:H191"/>
    <mergeCell ref="N190:N191"/>
    <mergeCell ref="O190:O191"/>
    <mergeCell ref="P190:P191"/>
    <mergeCell ref="Q190:Q191"/>
    <mergeCell ref="G199:G201"/>
    <mergeCell ref="H199:H201"/>
    <mergeCell ref="E202:E203"/>
    <mergeCell ref="F202:F203"/>
    <mergeCell ref="A204:A208"/>
    <mergeCell ref="B204:B208"/>
    <mergeCell ref="C204:C208"/>
    <mergeCell ref="E204:E208"/>
    <mergeCell ref="F204:F208"/>
    <mergeCell ref="H204:H208"/>
    <mergeCell ref="A199:A201"/>
    <mergeCell ref="B199:B201"/>
    <mergeCell ref="C199:C201"/>
    <mergeCell ref="D199:D201"/>
    <mergeCell ref="E199:E201"/>
    <mergeCell ref="F199:F201"/>
    <mergeCell ref="A216:A219"/>
    <mergeCell ref="B216:B219"/>
    <mergeCell ref="C216:C219"/>
    <mergeCell ref="D216:D219"/>
    <mergeCell ref="E216:E219"/>
    <mergeCell ref="F216:F219"/>
    <mergeCell ref="N210:N211"/>
    <mergeCell ref="A212:A214"/>
    <mergeCell ref="B212:B214"/>
    <mergeCell ref="C212:C214"/>
    <mergeCell ref="D212:D214"/>
    <mergeCell ref="E212:E214"/>
    <mergeCell ref="F212:F214"/>
    <mergeCell ref="G212:G214"/>
    <mergeCell ref="H212:H214"/>
    <mergeCell ref="A209:A210"/>
    <mergeCell ref="B209:B210"/>
    <mergeCell ref="C209:C210"/>
    <mergeCell ref="E209:E211"/>
    <mergeCell ref="F209:F211"/>
    <mergeCell ref="H209:H210"/>
    <mergeCell ref="D225:D231"/>
    <mergeCell ref="D233:D237"/>
    <mergeCell ref="D238:D239"/>
    <mergeCell ref="E238:E239"/>
    <mergeCell ref="D240:D247"/>
    <mergeCell ref="E248:E250"/>
    <mergeCell ref="G216:G219"/>
    <mergeCell ref="H216:H219"/>
    <mergeCell ref="N216:N217"/>
    <mergeCell ref="C221:I221"/>
    <mergeCell ref="N221:R221"/>
    <mergeCell ref="C222:R222"/>
    <mergeCell ref="A251:A252"/>
    <mergeCell ref="B251:B252"/>
    <mergeCell ref="C251:C252"/>
    <mergeCell ref="E251:E252"/>
    <mergeCell ref="N251:N252"/>
    <mergeCell ref="A253:A263"/>
    <mergeCell ref="B253:B263"/>
    <mergeCell ref="C253:C263"/>
    <mergeCell ref="D253:D263"/>
    <mergeCell ref="E253:E256"/>
    <mergeCell ref="P262:P263"/>
    <mergeCell ref="Q262:Q263"/>
    <mergeCell ref="R262:R263"/>
    <mergeCell ref="E264:E265"/>
    <mergeCell ref="N264:N265"/>
    <mergeCell ref="E266:E268"/>
    <mergeCell ref="F253:F263"/>
    <mergeCell ref="G253:G263"/>
    <mergeCell ref="N254:N255"/>
    <mergeCell ref="N259:N260"/>
    <mergeCell ref="N262:N263"/>
    <mergeCell ref="O262:O263"/>
    <mergeCell ref="H276:H279"/>
    <mergeCell ref="C280:I280"/>
    <mergeCell ref="N280:R280"/>
    <mergeCell ref="B281:I281"/>
    <mergeCell ref="N281:R281"/>
    <mergeCell ref="B282:I282"/>
    <mergeCell ref="N282:R282"/>
    <mergeCell ref="D269:D270"/>
    <mergeCell ref="E269:E270"/>
    <mergeCell ref="F272:F274"/>
    <mergeCell ref="G272:G274"/>
    <mergeCell ref="D276:D277"/>
    <mergeCell ref="E276:E279"/>
    <mergeCell ref="F276:F279"/>
    <mergeCell ref="G276:G279"/>
    <mergeCell ref="A291:I291"/>
    <mergeCell ref="A292:I292"/>
    <mergeCell ref="A293:I293"/>
    <mergeCell ref="A294:I294"/>
    <mergeCell ref="A295:I295"/>
    <mergeCell ref="A296:I296"/>
    <mergeCell ref="A283:M283"/>
    <mergeCell ref="A286:I286"/>
    <mergeCell ref="A287:I287"/>
    <mergeCell ref="A288:I288"/>
    <mergeCell ref="A289:I289"/>
    <mergeCell ref="A290:I290"/>
    <mergeCell ref="A303:I303"/>
    <mergeCell ref="A304:I304"/>
    <mergeCell ref="A305:I305"/>
    <mergeCell ref="A306:I306"/>
    <mergeCell ref="A297:I297"/>
    <mergeCell ref="A298:I298"/>
    <mergeCell ref="A299:I299"/>
    <mergeCell ref="A300:I300"/>
    <mergeCell ref="A301:I301"/>
    <mergeCell ref="A302:I302"/>
  </mergeCells>
  <printOptions horizontalCentered="1"/>
  <pageMargins left="0.59055118110236227" right="0.19685039370078741" top="0.59055118110236227" bottom="0.39370078740157483" header="0" footer="0"/>
  <pageSetup paperSize="9" scale="58" orientation="portrait" r:id="rId1"/>
  <headerFooter alignWithMargins="0"/>
  <rowBreaks count="4" manualBreakCount="4">
    <brk id="62" max="17" man="1"/>
    <brk id="128" max="17" man="1"/>
    <brk id="189" max="17" man="1"/>
    <brk id="258" max="17"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8</vt:i4>
      </vt:variant>
    </vt:vector>
  </HeadingPairs>
  <TitlesOfParts>
    <vt:vector size="12" baseType="lpstr">
      <vt:lpstr>Lyginamasis variantas</vt:lpstr>
      <vt:lpstr>6 programa</vt:lpstr>
      <vt:lpstr>aiškinamoji lentelė </vt:lpstr>
      <vt:lpstr>aiškinamoji lentelė  (2)</vt:lpstr>
      <vt:lpstr>'6 programa'!Print_Area</vt:lpstr>
      <vt:lpstr>'aiškinamoji lentelė '!Print_Area</vt:lpstr>
      <vt:lpstr>'aiškinamoji lentelė  (2)'!Print_Area</vt:lpstr>
      <vt:lpstr>'Lyginamasis variantas'!Print_Area</vt:lpstr>
      <vt:lpstr>'6 programa'!Print_Titles</vt:lpstr>
      <vt:lpstr>'aiškinamoji lentelė '!Print_Titles</vt:lpstr>
      <vt:lpstr>'aiškinamoji lentelė  (2)'!Print_Titles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2019-01-11T07:22:22Z</cp:lastPrinted>
  <dcterms:created xsi:type="dcterms:W3CDTF">2007-07-27T10:32:34Z</dcterms:created>
  <dcterms:modified xsi:type="dcterms:W3CDTF">2019-01-11T07:22:30Z</dcterms:modified>
</cp:coreProperties>
</file>