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480" yWindow="300" windowWidth="20730" windowHeight="11580"/>
  </bookViews>
  <sheets>
    <sheet name="Ataskaita" sheetId="4" r:id="rId1"/>
    <sheet name="12 programa" sheetId="1" r:id="rId2"/>
    <sheet name="Aiškinamoji lentelė" sheetId="2" state="hidden" r:id="rId3"/>
    <sheet name="Lyginamasis variantas" sheetId="3" state="hidden" r:id="rId4"/>
  </sheets>
  <definedNames>
    <definedName name="_xlnm.Print_Area" localSheetId="1">'12 programa'!$A$1:$O$211</definedName>
    <definedName name="_xlnm.Print_Area" localSheetId="2">'Aiškinamoji lentelė'!$A$1:$V$240</definedName>
    <definedName name="_xlnm.Print_Area" localSheetId="0">Ataskaita!$A$1:$F$28</definedName>
    <definedName name="_xlnm.Print_Area" localSheetId="3">'Lyginamasis variantas'!$A$1:$U$150</definedName>
    <definedName name="_xlnm.Print_Titles" localSheetId="1">'12 programa'!$4:$6</definedName>
    <definedName name="_xlnm.Print_Titles" localSheetId="2">'Aiškinamoji lentelė'!$6:$8</definedName>
    <definedName name="_xlnm.Print_Titles" localSheetId="3">'Lyginamasis variantas'!$6:$8</definedName>
  </definedNames>
  <calcPr calcId="162913"/>
</workbook>
</file>

<file path=xl/calcChain.xml><?xml version="1.0" encoding="utf-8"?>
<calcChain xmlns="http://schemas.openxmlformats.org/spreadsheetml/2006/main">
  <c r="J161" i="1" l="1"/>
  <c r="J148" i="1"/>
  <c r="J147" i="1"/>
  <c r="J146" i="1"/>
  <c r="J207" i="1" l="1"/>
  <c r="I207" i="1"/>
  <c r="H207" i="1"/>
  <c r="I206" i="1"/>
  <c r="H206" i="1"/>
  <c r="J205" i="1"/>
  <c r="H205" i="1"/>
  <c r="I203" i="1"/>
  <c r="H203" i="1"/>
  <c r="J202" i="1"/>
  <c r="I202" i="1"/>
  <c r="H202" i="1"/>
  <c r="J201" i="1"/>
  <c r="I201" i="1"/>
  <c r="H201" i="1"/>
  <c r="J200" i="1"/>
  <c r="I200" i="1"/>
  <c r="H200" i="1"/>
  <c r="J199" i="1"/>
  <c r="H199" i="1"/>
  <c r="J198" i="1"/>
  <c r="I198" i="1"/>
  <c r="H198" i="1"/>
  <c r="J197" i="1"/>
  <c r="I197" i="1"/>
  <c r="H197" i="1"/>
  <c r="J196" i="1"/>
  <c r="J187" i="1"/>
  <c r="I187" i="1"/>
  <c r="H187" i="1"/>
  <c r="J183" i="1"/>
  <c r="I183" i="1"/>
  <c r="H183" i="1"/>
  <c r="J172" i="1"/>
  <c r="I172" i="1"/>
  <c r="H172" i="1"/>
  <c r="J170" i="1"/>
  <c r="I170" i="1"/>
  <c r="H170" i="1"/>
  <c r="J166" i="1"/>
  <c r="I166" i="1"/>
  <c r="H166" i="1"/>
  <c r="J162" i="1"/>
  <c r="H161" i="1"/>
  <c r="H162" i="1" s="1"/>
  <c r="I147" i="1"/>
  <c r="I199" i="1" s="1"/>
  <c r="I146" i="1"/>
  <c r="J143" i="1"/>
  <c r="I141" i="1"/>
  <c r="H141" i="1"/>
  <c r="H196" i="1" s="1"/>
  <c r="J140" i="1"/>
  <c r="I140" i="1"/>
  <c r="H140" i="1"/>
  <c r="J136" i="1"/>
  <c r="I136" i="1"/>
  <c r="H136" i="1"/>
  <c r="J132" i="1"/>
  <c r="I132" i="1"/>
  <c r="H132" i="1"/>
  <c r="J130" i="1"/>
  <c r="I130" i="1"/>
  <c r="H130" i="1"/>
  <c r="J126" i="1"/>
  <c r="I126" i="1"/>
  <c r="H126" i="1"/>
  <c r="J118" i="1"/>
  <c r="I118" i="1"/>
  <c r="H118" i="1"/>
  <c r="J108" i="1"/>
  <c r="I108" i="1"/>
  <c r="H108" i="1"/>
  <c r="H106" i="1"/>
  <c r="J75" i="1"/>
  <c r="I74" i="1"/>
  <c r="I205" i="1" s="1"/>
  <c r="J71" i="1"/>
  <c r="J65" i="1"/>
  <c r="I65" i="1"/>
  <c r="H65" i="1"/>
  <c r="J62" i="1"/>
  <c r="I62" i="1"/>
  <c r="H62" i="1"/>
  <c r="I60" i="1"/>
  <c r="H60" i="1"/>
  <c r="J59" i="1"/>
  <c r="J60" i="1" s="1"/>
  <c r="I58" i="1"/>
  <c r="H58" i="1"/>
  <c r="J57" i="1"/>
  <c r="J58" i="1" s="1"/>
  <c r="J53" i="1"/>
  <c r="I53" i="1"/>
  <c r="H53" i="1"/>
  <c r="J51" i="1"/>
  <c r="I51" i="1"/>
  <c r="H51" i="1"/>
  <c r="J48" i="1"/>
  <c r="I48" i="1"/>
  <c r="H48" i="1"/>
  <c r="J44" i="1"/>
  <c r="I44" i="1"/>
  <c r="H44" i="1"/>
  <c r="J42" i="1"/>
  <c r="I42" i="1"/>
  <c r="H42" i="1"/>
  <c r="J40" i="1"/>
  <c r="I40" i="1"/>
  <c r="H40" i="1"/>
  <c r="J38" i="1"/>
  <c r="I38" i="1"/>
  <c r="H38" i="1"/>
  <c r="J36" i="1"/>
  <c r="I36" i="1"/>
  <c r="H36" i="1"/>
  <c r="I204" i="1" l="1"/>
  <c r="I106" i="1"/>
  <c r="I196" i="1"/>
  <c r="I195" i="1" s="1"/>
  <c r="I208" i="1" s="1"/>
  <c r="J106" i="1"/>
  <c r="J144" i="1" s="1"/>
  <c r="I161" i="1"/>
  <c r="I162" i="1" s="1"/>
  <c r="I173" i="1"/>
  <c r="I188" i="1" s="1"/>
  <c r="H195" i="1"/>
  <c r="H208" i="1" s="1"/>
  <c r="H173" i="1"/>
  <c r="H188" i="1" s="1"/>
  <c r="J173" i="1"/>
  <c r="J188" i="1" s="1"/>
  <c r="H204" i="1"/>
  <c r="I56" i="1"/>
  <c r="I66" i="1" s="1"/>
  <c r="J56" i="1"/>
  <c r="H56" i="1"/>
  <c r="H66" i="1" s="1"/>
  <c r="J66" i="1"/>
  <c r="J203" i="1"/>
  <c r="J195" i="1" s="1"/>
  <c r="J208" i="1" s="1"/>
  <c r="H143" i="1"/>
  <c r="H144" i="1" s="1"/>
  <c r="J206" i="1"/>
  <c r="J204" i="1" s="1"/>
  <c r="I143" i="1"/>
  <c r="I144" i="1" s="1"/>
  <c r="P40" i="3"/>
  <c r="J189" i="1" l="1"/>
  <c r="J190" i="1" s="1"/>
  <c r="H189" i="1"/>
  <c r="H190" i="1" s="1"/>
  <c r="I189" i="1"/>
  <c r="I190" i="1" s="1"/>
  <c r="I14" i="3"/>
  <c r="I32" i="3"/>
  <c r="O32" i="3" l="1"/>
  <c r="P33" i="3"/>
  <c r="P32" i="3"/>
  <c r="P29" i="3"/>
  <c r="M33" i="3"/>
  <c r="M32" i="3"/>
  <c r="L32" i="3"/>
  <c r="M29" i="3"/>
  <c r="J29" i="3"/>
  <c r="I29" i="3" l="1"/>
  <c r="I20" i="3" l="1"/>
  <c r="J60" i="3" l="1"/>
  <c r="I60" i="3"/>
  <c r="I71" i="3"/>
  <c r="P146" i="3" l="1"/>
  <c r="P145" i="3"/>
  <c r="P144" i="3"/>
  <c r="P142" i="3"/>
  <c r="P141" i="3"/>
  <c r="P140" i="3"/>
  <c r="P139" i="3"/>
  <c r="P138" i="3"/>
  <c r="P137" i="3" s="1"/>
  <c r="M138" i="3"/>
  <c r="P112" i="3"/>
  <c r="P111" i="3"/>
  <c r="O111" i="3"/>
  <c r="M112" i="3"/>
  <c r="M111" i="3"/>
  <c r="K111" i="3"/>
  <c r="L111" i="3"/>
  <c r="N111" i="3"/>
  <c r="J44" i="3" l="1"/>
  <c r="J45" i="3" l="1"/>
  <c r="J30" i="3" l="1"/>
  <c r="J24" i="3"/>
  <c r="I22" i="3"/>
  <c r="J22" i="3" s="1"/>
  <c r="J20" i="3"/>
  <c r="P106" i="3" l="1"/>
  <c r="P105" i="3"/>
  <c r="M105" i="3"/>
  <c r="M107" i="3" s="1"/>
  <c r="N104" i="3"/>
  <c r="O104" i="3"/>
  <c r="L104" i="3"/>
  <c r="K104" i="3"/>
  <c r="P102" i="3"/>
  <c r="P107" i="3" l="1"/>
  <c r="P101" i="3"/>
  <c r="P104" i="3" s="1"/>
  <c r="M101" i="3"/>
  <c r="M104" i="3" s="1"/>
  <c r="K107" i="3" l="1"/>
  <c r="L107" i="3"/>
  <c r="N107" i="3"/>
  <c r="O107" i="3"/>
  <c r="I107" i="3"/>
  <c r="O141" i="3" l="1"/>
  <c r="O140" i="3"/>
  <c r="O139" i="3"/>
  <c r="O142" i="3"/>
  <c r="O146" i="3"/>
  <c r="O144" i="3"/>
  <c r="N146" i="3"/>
  <c r="N144" i="3"/>
  <c r="N142" i="3"/>
  <c r="N141" i="3"/>
  <c r="N140" i="3"/>
  <c r="N139" i="3"/>
  <c r="L139" i="3"/>
  <c r="L146" i="3"/>
  <c r="L144" i="3"/>
  <c r="L141" i="3"/>
  <c r="L140" i="3"/>
  <c r="K146" i="3"/>
  <c r="K144" i="3"/>
  <c r="K142" i="3"/>
  <c r="K141" i="3"/>
  <c r="K140" i="3"/>
  <c r="K139" i="3"/>
  <c r="N46" i="3"/>
  <c r="N57" i="3" s="1"/>
  <c r="O131" i="3"/>
  <c r="O128" i="3"/>
  <c r="O117" i="3"/>
  <c r="O110" i="3"/>
  <c r="O85" i="3"/>
  <c r="O82" i="3"/>
  <c r="O80" i="3"/>
  <c r="O71" i="3"/>
  <c r="O77" i="3" s="1"/>
  <c r="O70" i="3"/>
  <c r="O59" i="3"/>
  <c r="O46" i="3"/>
  <c r="O57" i="3" s="1"/>
  <c r="O39" i="3"/>
  <c r="O37" i="3"/>
  <c r="O35" i="3"/>
  <c r="O27" i="3"/>
  <c r="O25" i="3"/>
  <c r="O23" i="3"/>
  <c r="O21" i="3"/>
  <c r="O14" i="3"/>
  <c r="O19" i="3" s="1"/>
  <c r="N131" i="3"/>
  <c r="N128" i="3"/>
  <c r="N117" i="3"/>
  <c r="N112" i="3"/>
  <c r="N110" i="3"/>
  <c r="N85" i="3"/>
  <c r="N82" i="3"/>
  <c r="N80" i="3"/>
  <c r="N71" i="3"/>
  <c r="N77" i="3" s="1"/>
  <c r="N70" i="3"/>
  <c r="N59" i="3"/>
  <c r="N39" i="3"/>
  <c r="N37" i="3"/>
  <c r="N35" i="3"/>
  <c r="N32" i="3"/>
  <c r="N27" i="3"/>
  <c r="N25" i="3"/>
  <c r="N23" i="3"/>
  <c r="N21" i="3"/>
  <c r="N14" i="3"/>
  <c r="K46" i="3"/>
  <c r="K57" i="3" s="1"/>
  <c r="L131" i="3"/>
  <c r="L128" i="3"/>
  <c r="L117" i="3"/>
  <c r="L110" i="3"/>
  <c r="L85" i="3"/>
  <c r="L82" i="3"/>
  <c r="L80" i="3"/>
  <c r="L77" i="3"/>
  <c r="L71" i="3"/>
  <c r="L70" i="3"/>
  <c r="L59" i="3"/>
  <c r="L46" i="3"/>
  <c r="L145" i="3" s="1"/>
  <c r="L39" i="3"/>
  <c r="L37" i="3"/>
  <c r="L35" i="3"/>
  <c r="L27" i="3"/>
  <c r="L25" i="3"/>
  <c r="L23" i="3"/>
  <c r="L21" i="3"/>
  <c r="L14" i="3"/>
  <c r="L138" i="3" s="1"/>
  <c r="K131" i="3"/>
  <c r="K128" i="3"/>
  <c r="K117" i="3"/>
  <c r="I110" i="3"/>
  <c r="J110" i="3"/>
  <c r="K110" i="3"/>
  <c r="K112" i="3" s="1"/>
  <c r="H110" i="3"/>
  <c r="I104" i="3"/>
  <c r="H104" i="3"/>
  <c r="K85" i="3"/>
  <c r="K82" i="3"/>
  <c r="K80" i="3"/>
  <c r="K71" i="3"/>
  <c r="K77" i="3" s="1"/>
  <c r="K70" i="3"/>
  <c r="K59" i="3"/>
  <c r="K39" i="3"/>
  <c r="K37" i="3"/>
  <c r="K35" i="3"/>
  <c r="K32" i="3"/>
  <c r="K27" i="3"/>
  <c r="K25" i="3"/>
  <c r="K23" i="3"/>
  <c r="K21" i="3"/>
  <c r="K14" i="3"/>
  <c r="I46" i="3"/>
  <c r="J46" i="3" s="1"/>
  <c r="N132" i="3" l="1"/>
  <c r="O33" i="3"/>
  <c r="K138" i="3"/>
  <c r="K137" i="3" s="1"/>
  <c r="N138" i="3"/>
  <c r="N137" i="3" s="1"/>
  <c r="O86" i="3"/>
  <c r="O132" i="3"/>
  <c r="K19" i="3"/>
  <c r="K33" i="3" s="1"/>
  <c r="K40" i="3" s="1"/>
  <c r="L19" i="3"/>
  <c r="L33" i="3" s="1"/>
  <c r="L40" i="3" s="1"/>
  <c r="K132" i="3"/>
  <c r="M46" i="3"/>
  <c r="N19" i="3"/>
  <c r="O138" i="3"/>
  <c r="O137" i="3" s="1"/>
  <c r="K145" i="3"/>
  <c r="K143" i="3" s="1"/>
  <c r="L132" i="3"/>
  <c r="L57" i="3"/>
  <c r="L86" i="3" s="1"/>
  <c r="P46" i="3"/>
  <c r="O145" i="3"/>
  <c r="O143" i="3" s="1"/>
  <c r="N145" i="3"/>
  <c r="N143" i="3" s="1"/>
  <c r="L112" i="3"/>
  <c r="O112" i="3"/>
  <c r="L143" i="3"/>
  <c r="N86" i="3"/>
  <c r="O40" i="3"/>
  <c r="K86" i="3"/>
  <c r="I78" i="3"/>
  <c r="J78" i="3" s="1"/>
  <c r="I96" i="3"/>
  <c r="J96" i="3" s="1"/>
  <c r="N33" i="3" l="1"/>
  <c r="N40" i="3" s="1"/>
  <c r="N133" i="3" s="1"/>
  <c r="N134" i="3" s="1"/>
  <c r="K133" i="3"/>
  <c r="K134" i="3" s="1"/>
  <c r="K147" i="3"/>
  <c r="O133" i="3"/>
  <c r="O134" i="3" s="1"/>
  <c r="P57" i="3"/>
  <c r="P86" i="3" s="1"/>
  <c r="P133" i="3" s="1"/>
  <c r="P134" i="3" s="1"/>
  <c r="L133" i="3"/>
  <c r="L134" i="3" s="1"/>
  <c r="M57" i="3"/>
  <c r="M86" i="3" s="1"/>
  <c r="M133" i="3" s="1"/>
  <c r="M134" i="3" s="1"/>
  <c r="M145" i="3"/>
  <c r="O147" i="3"/>
  <c r="N147" i="3"/>
  <c r="H146" i="3" l="1"/>
  <c r="H145" i="3"/>
  <c r="H144" i="3"/>
  <c r="H142" i="3"/>
  <c r="H140" i="3"/>
  <c r="H139" i="3"/>
  <c r="H14" i="3"/>
  <c r="J105" i="3"/>
  <c r="J107" i="3" s="1"/>
  <c r="J101" i="3"/>
  <c r="J104" i="3" s="1"/>
  <c r="J97" i="3"/>
  <c r="H95" i="3"/>
  <c r="H91" i="3"/>
  <c r="H89" i="3"/>
  <c r="H82" i="3"/>
  <c r="H80" i="3"/>
  <c r="H71" i="3"/>
  <c r="H77" i="3" s="1"/>
  <c r="H60" i="3"/>
  <c r="H70" i="3" s="1"/>
  <c r="H58" i="3"/>
  <c r="H59" i="3" s="1"/>
  <c r="H57" i="3"/>
  <c r="H13" i="3"/>
  <c r="H141" i="3" s="1"/>
  <c r="P143" i="3" l="1"/>
  <c r="H111" i="3"/>
  <c r="H112" i="3" s="1"/>
  <c r="J14" i="3"/>
  <c r="H138" i="3"/>
  <c r="H137" i="3" s="1"/>
  <c r="H147" i="3" s="1"/>
  <c r="H143" i="3"/>
  <c r="P147" i="3" l="1"/>
  <c r="J142" i="3"/>
  <c r="I142" i="3"/>
  <c r="I141" i="3" l="1"/>
  <c r="J83" i="3" l="1"/>
  <c r="J85" i="3" s="1"/>
  <c r="I85" i="3"/>
  <c r="H85" i="3"/>
  <c r="H86" i="3" s="1"/>
  <c r="T42" i="3" l="1"/>
  <c r="S42" i="3"/>
  <c r="I58" i="3" l="1"/>
  <c r="J58" i="3" s="1"/>
  <c r="H32" i="3" l="1"/>
  <c r="I91" i="3" l="1"/>
  <c r="I89" i="3" l="1"/>
  <c r="J71" i="3" l="1"/>
  <c r="J89" i="3" l="1"/>
  <c r="J91" i="3"/>
  <c r="I95" i="3"/>
  <c r="I111" i="3" s="1"/>
  <c r="I112" i="3" s="1"/>
  <c r="J42" i="3"/>
  <c r="J95" i="3" l="1"/>
  <c r="J111" i="3" s="1"/>
  <c r="J112" i="3" s="1"/>
  <c r="R42" i="3"/>
  <c r="H131" i="3"/>
  <c r="H128" i="3"/>
  <c r="H117" i="3"/>
  <c r="H39" i="3"/>
  <c r="H37" i="3"/>
  <c r="H35" i="3"/>
  <c r="H27" i="3"/>
  <c r="H25" i="3"/>
  <c r="H23" i="3"/>
  <c r="H21" i="3"/>
  <c r="J13" i="3" l="1"/>
  <c r="J141" i="3" s="1"/>
  <c r="H19" i="3"/>
  <c r="H132" i="3"/>
  <c r="H33" i="3" l="1"/>
  <c r="H40" i="3" s="1"/>
  <c r="I140" i="3" l="1"/>
  <c r="I57" i="3" l="1"/>
  <c r="J140" i="3" l="1"/>
  <c r="J128" i="3" l="1"/>
  <c r="I131" i="3"/>
  <c r="I128" i="3"/>
  <c r="I117" i="3"/>
  <c r="I80" i="3"/>
  <c r="I70" i="3"/>
  <c r="I59" i="3"/>
  <c r="I39" i="3"/>
  <c r="I37" i="3"/>
  <c r="I35" i="3"/>
  <c r="I27" i="3"/>
  <c r="I25" i="3"/>
  <c r="I23" i="3"/>
  <c r="I21" i="3"/>
  <c r="J82" i="3"/>
  <c r="J77" i="3"/>
  <c r="I82" i="3"/>
  <c r="J146" i="3"/>
  <c r="I146" i="3"/>
  <c r="J145" i="3"/>
  <c r="J144" i="3"/>
  <c r="I144" i="3"/>
  <c r="J139" i="3"/>
  <c r="I139" i="3"/>
  <c r="J131" i="3"/>
  <c r="J117" i="3"/>
  <c r="J80" i="3"/>
  <c r="I77" i="3"/>
  <c r="J70" i="3"/>
  <c r="J59" i="3"/>
  <c r="J57" i="3"/>
  <c r="J39" i="3"/>
  <c r="J37" i="3"/>
  <c r="J35" i="3"/>
  <c r="J32" i="3"/>
  <c r="J27" i="3"/>
  <c r="J25" i="3"/>
  <c r="J23" i="3"/>
  <c r="J19" i="3"/>
  <c r="I86" i="3" l="1"/>
  <c r="J86" i="3"/>
  <c r="I19" i="3"/>
  <c r="I132" i="3"/>
  <c r="J132" i="3"/>
  <c r="J143" i="3"/>
  <c r="I145" i="3"/>
  <c r="I143" i="3" s="1"/>
  <c r="N135" i="2"/>
  <c r="R134" i="2"/>
  <c r="Q134" i="2"/>
  <c r="M17" i="2"/>
  <c r="I33" i="3" l="1"/>
  <c r="I40" i="3" s="1"/>
  <c r="I133" i="3" s="1"/>
  <c r="I134" i="3" s="1"/>
  <c r="J21" i="3"/>
  <c r="J33" i="3" s="1"/>
  <c r="M18" i="2"/>
  <c r="J40" i="3" l="1"/>
  <c r="J133" i="3" s="1"/>
  <c r="R66" i="2"/>
  <c r="Q66" i="2"/>
  <c r="R124" i="2"/>
  <c r="R123" i="2"/>
  <c r="R122" i="2"/>
  <c r="Q122" i="2"/>
  <c r="R121" i="2"/>
  <c r="R119" i="2"/>
  <c r="R118" i="2"/>
  <c r="Q131" i="2"/>
  <c r="R143" i="2"/>
  <c r="R136" i="2"/>
  <c r="Q136" i="2"/>
  <c r="Q137" i="2"/>
  <c r="P137" i="2"/>
  <c r="R132" i="2"/>
  <c r="R135" i="2" s="1"/>
  <c r="R110" i="2"/>
  <c r="Q109" i="2"/>
  <c r="N109" i="2"/>
  <c r="R109" i="2" s="1"/>
  <c r="N106" i="2"/>
  <c r="R102" i="2"/>
  <c r="Q102" i="2"/>
  <c r="Q101" i="2"/>
  <c r="N101" i="2"/>
  <c r="R101" i="2" s="1"/>
  <c r="Q96" i="2"/>
  <c r="N96" i="2"/>
  <c r="R96" i="2" s="1"/>
  <c r="N93" i="2"/>
  <c r="R84" i="2"/>
  <c r="Q84" i="2"/>
  <c r="R55" i="2"/>
  <c r="Q55" i="2"/>
  <c r="Q47" i="2"/>
  <c r="N47" i="2"/>
  <c r="R47" i="2" s="1"/>
  <c r="Q45" i="2"/>
  <c r="N45" i="2"/>
  <c r="R45" i="2" s="1"/>
  <c r="N43" i="2"/>
  <c r="Q33" i="2"/>
  <c r="Q31" i="2"/>
  <c r="N39" i="2"/>
  <c r="N36" i="2"/>
  <c r="N31" i="2"/>
  <c r="R31" i="2" s="1"/>
  <c r="N29" i="2"/>
  <c r="Q27" i="2"/>
  <c r="Q22" i="2"/>
  <c r="M139" i="3" l="1"/>
  <c r="M142" i="3"/>
  <c r="M140" i="3"/>
  <c r="M144" i="3"/>
  <c r="M141" i="3"/>
  <c r="M146" i="3"/>
  <c r="L142" i="3"/>
  <c r="L137" i="3" s="1"/>
  <c r="L147" i="3" s="1"/>
  <c r="J134" i="3"/>
  <c r="N21" i="2"/>
  <c r="M137" i="3" l="1"/>
  <c r="M143" i="3"/>
  <c r="R87" i="2"/>
  <c r="M147" i="3" l="1"/>
  <c r="N105" i="2"/>
  <c r="O105" i="2"/>
  <c r="P105" i="2"/>
  <c r="Q105" i="2"/>
  <c r="R105" i="2"/>
  <c r="M105" i="2"/>
  <c r="K105" i="2"/>
  <c r="Q92" i="2"/>
  <c r="K92" i="2"/>
  <c r="M90" i="2"/>
  <c r="M92" i="2" s="1"/>
  <c r="M77" i="2"/>
  <c r="N61" i="2"/>
  <c r="O61" i="2"/>
  <c r="R238" i="2"/>
  <c r="Q238" i="2"/>
  <c r="M238" i="2"/>
  <c r="L238" i="2"/>
  <c r="K238" i="2"/>
  <c r="L237" i="2"/>
  <c r="R236" i="2"/>
  <c r="Q236" i="2"/>
  <c r="M236" i="2"/>
  <c r="L236" i="2"/>
  <c r="K236" i="2"/>
  <c r="M234" i="2"/>
  <c r="K234" i="2"/>
  <c r="R233" i="2"/>
  <c r="Q233" i="2"/>
  <c r="M233" i="2"/>
  <c r="L233" i="2"/>
  <c r="K233" i="2"/>
  <c r="M232" i="2"/>
  <c r="K232" i="2"/>
  <c r="L231" i="2"/>
  <c r="K231" i="2"/>
  <c r="L230" i="2"/>
  <c r="K230" i="2"/>
  <c r="L229" i="2"/>
  <c r="K229" i="2"/>
  <c r="R219" i="2"/>
  <c r="Q219" i="2"/>
  <c r="P219" i="2"/>
  <c r="M219" i="2"/>
  <c r="L219" i="2"/>
  <c r="K219" i="2"/>
  <c r="R215" i="2"/>
  <c r="Q215" i="2"/>
  <c r="P215" i="2"/>
  <c r="O215" i="2"/>
  <c r="O220" i="2" s="1"/>
  <c r="M215" i="2"/>
  <c r="L215" i="2"/>
  <c r="K215" i="2"/>
  <c r="N208" i="2"/>
  <c r="N215" i="2" s="1"/>
  <c r="N220" i="2" s="1"/>
  <c r="R202" i="2"/>
  <c r="Q202" i="2"/>
  <c r="P202" i="2"/>
  <c r="M202" i="2"/>
  <c r="K202" i="2"/>
  <c r="L199" i="2"/>
  <c r="L234" i="2" s="1"/>
  <c r="L192" i="2"/>
  <c r="K192" i="2"/>
  <c r="L189" i="2"/>
  <c r="K189" i="2"/>
  <c r="L185" i="2"/>
  <c r="K185" i="2"/>
  <c r="O180" i="2"/>
  <c r="O194" i="2" s="1"/>
  <c r="L179" i="2"/>
  <c r="K179" i="2"/>
  <c r="L177" i="2"/>
  <c r="K177" i="2"/>
  <c r="R173" i="2"/>
  <c r="R171" i="2"/>
  <c r="Q171" i="2"/>
  <c r="N168" i="2"/>
  <c r="M168" i="2"/>
  <c r="L165" i="2"/>
  <c r="K165" i="2"/>
  <c r="P164" i="2"/>
  <c r="P165" i="2" s="1"/>
  <c r="P163" i="2"/>
  <c r="M163" i="2"/>
  <c r="L163" i="2"/>
  <c r="K163" i="2"/>
  <c r="N161" i="2"/>
  <c r="M161" i="2"/>
  <c r="L161" i="2"/>
  <c r="K161" i="2"/>
  <c r="Q158" i="2"/>
  <c r="Q180" i="2" s="1"/>
  <c r="Q194" i="2" s="1"/>
  <c r="P158" i="2"/>
  <c r="M158" i="2"/>
  <c r="L152" i="2"/>
  <c r="K152" i="2"/>
  <c r="L150" i="2"/>
  <c r="K150" i="2"/>
  <c r="R147" i="2"/>
  <c r="Q147" i="2"/>
  <c r="R144" i="2"/>
  <c r="N144" i="2"/>
  <c r="L144" i="2"/>
  <c r="K144" i="2"/>
  <c r="M143" i="2"/>
  <c r="Q143" i="2" s="1"/>
  <c r="Q144" i="2" s="1"/>
  <c r="P142" i="2"/>
  <c r="O142" i="2"/>
  <c r="L142" i="2"/>
  <c r="M141" i="2"/>
  <c r="K141" i="2"/>
  <c r="K142" i="2" s="1"/>
  <c r="M139" i="2"/>
  <c r="M138" i="2"/>
  <c r="P135" i="2"/>
  <c r="O135" i="2"/>
  <c r="L135" i="2"/>
  <c r="K135" i="2"/>
  <c r="M133" i="2"/>
  <c r="M132" i="2"/>
  <c r="Q132" i="2" s="1"/>
  <c r="Q135" i="2" s="1"/>
  <c r="M131" i="2"/>
  <c r="P126" i="2"/>
  <c r="O126" i="2"/>
  <c r="N126" i="2"/>
  <c r="L126" i="2"/>
  <c r="K126" i="2"/>
  <c r="M124" i="2"/>
  <c r="Q124" i="2" s="1"/>
  <c r="M123" i="2"/>
  <c r="Q123" i="2" s="1"/>
  <c r="M121" i="2"/>
  <c r="Q121" i="2" s="1"/>
  <c r="Q120" i="2"/>
  <c r="M120" i="2"/>
  <c r="M119" i="2"/>
  <c r="Q119" i="2" s="1"/>
  <c r="M118" i="2"/>
  <c r="Q118" i="2" s="1"/>
  <c r="N116" i="2"/>
  <c r="M116" i="2" s="1"/>
  <c r="L116" i="2"/>
  <c r="K116" i="2"/>
  <c r="Q115" i="2"/>
  <c r="Q116" i="2" s="1"/>
  <c r="N113" i="2"/>
  <c r="M113" i="2"/>
  <c r="P111" i="2"/>
  <c r="O111" i="2"/>
  <c r="N111" i="2"/>
  <c r="K111" i="2"/>
  <c r="M110" i="2"/>
  <c r="Q110" i="2" s="1"/>
  <c r="M107" i="2"/>
  <c r="Q106" i="2"/>
  <c r="P98" i="2"/>
  <c r="O98" i="2"/>
  <c r="N98" i="2"/>
  <c r="K98" i="2"/>
  <c r="M97" i="2"/>
  <c r="M98" i="2" s="1"/>
  <c r="Q93" i="2"/>
  <c r="Q98" i="2" s="1"/>
  <c r="P92" i="2"/>
  <c r="O92" i="2"/>
  <c r="N92" i="2"/>
  <c r="P86" i="2"/>
  <c r="O86" i="2"/>
  <c r="K86" i="2"/>
  <c r="M82" i="2"/>
  <c r="M86" i="2" s="1"/>
  <c r="R77" i="2"/>
  <c r="Q77" i="2"/>
  <c r="P77" i="2"/>
  <c r="O77" i="2"/>
  <c r="K77" i="2"/>
  <c r="P68" i="2"/>
  <c r="O68" i="2"/>
  <c r="K68" i="2"/>
  <c r="M64" i="2"/>
  <c r="R61" i="2"/>
  <c r="Q61" i="2"/>
  <c r="P61" i="2"/>
  <c r="K61" i="2"/>
  <c r="L56" i="2"/>
  <c r="L232" i="2" s="1"/>
  <c r="M54" i="2"/>
  <c r="M61" i="2" s="1"/>
  <c r="R50" i="2"/>
  <c r="Q50" i="2"/>
  <c r="N50" i="2"/>
  <c r="M50" i="2" s="1"/>
  <c r="R48" i="2"/>
  <c r="Q48" i="2"/>
  <c r="N48" i="2"/>
  <c r="M48" i="2" s="1"/>
  <c r="L48" i="2"/>
  <c r="K48" i="2"/>
  <c r="R46" i="2"/>
  <c r="Q46" i="2"/>
  <c r="N46" i="2"/>
  <c r="M46" i="2" s="1"/>
  <c r="L46" i="2"/>
  <c r="K46" i="2"/>
  <c r="N44" i="2"/>
  <c r="M44" i="2" s="1"/>
  <c r="L44" i="2"/>
  <c r="K44" i="2"/>
  <c r="R43" i="2"/>
  <c r="Q43" i="2"/>
  <c r="Q44" i="2" s="1"/>
  <c r="O41" i="2"/>
  <c r="N41" i="2"/>
  <c r="L41" i="2"/>
  <c r="K41" i="2"/>
  <c r="M40" i="2"/>
  <c r="M38" i="2"/>
  <c r="R36" i="2"/>
  <c r="R41" i="2" s="1"/>
  <c r="Q36" i="2"/>
  <c r="Q41" i="2" s="1"/>
  <c r="Q34" i="2"/>
  <c r="L34" i="2"/>
  <c r="K34" i="2"/>
  <c r="N33" i="2"/>
  <c r="R32" i="2"/>
  <c r="Q32" i="2"/>
  <c r="N32" i="2"/>
  <c r="M32" i="2" s="1"/>
  <c r="L32" i="2"/>
  <c r="K32" i="2"/>
  <c r="O30" i="2"/>
  <c r="N30" i="2"/>
  <c r="M30" i="2" s="1"/>
  <c r="L30" i="2"/>
  <c r="K30" i="2"/>
  <c r="Q29" i="2"/>
  <c r="Q30" i="2" s="1"/>
  <c r="P28" i="2"/>
  <c r="O28" i="2"/>
  <c r="M28" i="2"/>
  <c r="L28" i="2"/>
  <c r="K28" i="2"/>
  <c r="N27" i="2"/>
  <c r="R27" i="2" s="1"/>
  <c r="Q25" i="2"/>
  <c r="N25" i="2"/>
  <c r="R25" i="2" s="1"/>
  <c r="R24" i="2"/>
  <c r="Q24" i="2"/>
  <c r="N24" i="2"/>
  <c r="Q23" i="2"/>
  <c r="R23" i="2" s="1"/>
  <c r="N23" i="2"/>
  <c r="R22" i="2"/>
  <c r="N22" i="2"/>
  <c r="Q21" i="2"/>
  <c r="R21" i="2" s="1"/>
  <c r="P20" i="2"/>
  <c r="O20" i="2"/>
  <c r="L20" i="2"/>
  <c r="K20" i="2"/>
  <c r="M19" i="2"/>
  <c r="M20" i="2" s="1"/>
  <c r="R18" i="2"/>
  <c r="Q18" i="2"/>
  <c r="N18" i="2"/>
  <c r="R17" i="2"/>
  <c r="Q17" i="2"/>
  <c r="N17" i="2"/>
  <c r="R15" i="2"/>
  <c r="Q15" i="2"/>
  <c r="Q141" i="2" l="1"/>
  <c r="Q142" i="2" s="1"/>
  <c r="R141" i="2"/>
  <c r="R142" i="2" s="1"/>
  <c r="Q20" i="2"/>
  <c r="N34" i="2"/>
  <c r="M34" i="2" s="1"/>
  <c r="R33" i="2"/>
  <c r="R34" i="2" s="1"/>
  <c r="Q111" i="2"/>
  <c r="Q126" i="2"/>
  <c r="N64" i="2"/>
  <c r="N68" i="2" s="1"/>
  <c r="Q64" i="2"/>
  <c r="M135" i="2"/>
  <c r="M68" i="2"/>
  <c r="L235" i="2"/>
  <c r="Q86" i="2"/>
  <c r="M41" i="2"/>
  <c r="M42" i="2" s="1"/>
  <c r="M51" i="2" s="1"/>
  <c r="N20" i="2"/>
  <c r="L228" i="2"/>
  <c r="N86" i="2"/>
  <c r="R220" i="2"/>
  <c r="L42" i="2"/>
  <c r="Q220" i="2"/>
  <c r="R115" i="2"/>
  <c r="R116" i="2" s="1"/>
  <c r="R120" i="2"/>
  <c r="R126" i="2" s="1"/>
  <c r="M220" i="2"/>
  <c r="P51" i="2"/>
  <c r="M126" i="2"/>
  <c r="M237" i="2"/>
  <c r="M235" i="2" s="1"/>
  <c r="N142" i="2"/>
  <c r="Q232" i="2"/>
  <c r="Q237" i="2"/>
  <c r="Q235" i="2" s="1"/>
  <c r="M230" i="2"/>
  <c r="N77" i="2"/>
  <c r="R93" i="2"/>
  <c r="R98" i="2" s="1"/>
  <c r="R106" i="2"/>
  <c r="R111" i="2" s="1"/>
  <c r="R180" i="2"/>
  <c r="R194" i="2" s="1"/>
  <c r="K228" i="2"/>
  <c r="N28" i="2"/>
  <c r="P114" i="2"/>
  <c r="P153" i="2" s="1"/>
  <c r="O114" i="2"/>
  <c r="O153" i="2" s="1"/>
  <c r="L114" i="2"/>
  <c r="L153" i="2" s="1"/>
  <c r="N180" i="2"/>
  <c r="N194" i="2" s="1"/>
  <c r="K180" i="2"/>
  <c r="P220" i="2"/>
  <c r="Q28" i="2"/>
  <c r="R29" i="2"/>
  <c r="R30" i="2" s="1"/>
  <c r="K42" i="2"/>
  <c r="K51" i="2" s="1"/>
  <c r="O42" i="2"/>
  <c r="O51" i="2" s="1"/>
  <c r="K114" i="2"/>
  <c r="K153" i="2" s="1"/>
  <c r="M111" i="2"/>
  <c r="M114" i="2" s="1"/>
  <c r="L180" i="2"/>
  <c r="K193" i="2"/>
  <c r="K220" i="2"/>
  <c r="R28" i="2"/>
  <c r="L193" i="2"/>
  <c r="L51" i="2"/>
  <c r="P180" i="2"/>
  <c r="P194" i="2" s="1"/>
  <c r="M165" i="2"/>
  <c r="M180" i="2" s="1"/>
  <c r="M194" i="2" s="1"/>
  <c r="R44" i="2"/>
  <c r="L202" i="2"/>
  <c r="L220" i="2" s="1"/>
  <c r="K237" i="2"/>
  <c r="K235" i="2" s="1"/>
  <c r="M142" i="2"/>
  <c r="M144" i="2"/>
  <c r="R20" i="2"/>
  <c r="N42" i="2" l="1"/>
  <c r="N51" i="2" s="1"/>
  <c r="R64" i="2"/>
  <c r="R230" i="2" s="1"/>
  <c r="Q230" i="2"/>
  <c r="L239" i="2"/>
  <c r="R86" i="2"/>
  <c r="N114" i="2"/>
  <c r="N153" i="2" s="1"/>
  <c r="N221" i="2" s="1"/>
  <c r="N222" i="2" s="1"/>
  <c r="R42" i="2"/>
  <c r="R51" i="2" s="1"/>
  <c r="Q42" i="2"/>
  <c r="Q51" i="2" s="1"/>
  <c r="O221" i="2"/>
  <c r="O222" i="2" s="1"/>
  <c r="R237" i="2"/>
  <c r="R235" i="2" s="1"/>
  <c r="M153" i="2"/>
  <c r="M221" i="2" s="1"/>
  <c r="M222" i="2" s="1"/>
  <c r="K239" i="2"/>
  <c r="L194" i="2"/>
  <c r="R232" i="2"/>
  <c r="M229" i="2"/>
  <c r="M228" i="2" s="1"/>
  <c r="M239" i="2" s="1"/>
  <c r="K194" i="2"/>
  <c r="K221" i="2" s="1"/>
  <c r="K222" i="2" s="1"/>
  <c r="K240" i="2" s="1"/>
  <c r="P221" i="2"/>
  <c r="P222" i="2" s="1"/>
  <c r="L221" i="2"/>
  <c r="L222" i="2" s="1"/>
  <c r="Q68" i="2"/>
  <c r="Q229" i="2"/>
  <c r="Q228" i="2" s="1"/>
  <c r="Q239" i="2" s="1"/>
  <c r="R68" i="2" l="1"/>
  <c r="L240" i="2"/>
  <c r="M240" i="2"/>
  <c r="Q114" i="2"/>
  <c r="Q153" i="2" s="1"/>
  <c r="Q221" i="2" s="1"/>
  <c r="Q222" i="2" s="1"/>
  <c r="Q240" i="2" s="1"/>
  <c r="R92" i="2"/>
  <c r="R114" i="2" s="1"/>
  <c r="R153" i="2" s="1"/>
  <c r="R221" i="2" s="1"/>
  <c r="R222" i="2" s="1"/>
  <c r="R229" i="2"/>
  <c r="R228" i="2" s="1"/>
  <c r="R239" i="2" s="1"/>
  <c r="R240" i="2" l="1"/>
  <c r="I138" i="3"/>
  <c r="H133" i="3"/>
  <c r="H134" i="3" s="1"/>
  <c r="J138" i="3"/>
  <c r="J137" i="3" l="1"/>
  <c r="J147" i="3" s="1"/>
  <c r="I137" i="3"/>
  <c r="I147" i="3" s="1"/>
</calcChain>
</file>

<file path=xl/comments1.xml><?xml version="1.0" encoding="utf-8"?>
<comments xmlns="http://schemas.openxmlformats.org/spreadsheetml/2006/main">
  <authors>
    <author>Snieguole Kacerauskaite</author>
  </authors>
  <commentList>
    <comment ref="O21" authorId="0" shapeId="0">
      <text>
        <r>
          <rPr>
            <sz val="9"/>
            <color indexed="81"/>
            <rFont val="Tahoma"/>
            <family val="2"/>
            <charset val="186"/>
          </rPr>
          <t xml:space="preserve">2019 m. vasario 1 d. socialinio būsto eilėje buvo 602 gyventojai
</t>
        </r>
      </text>
    </comment>
    <comment ref="K111" authorId="0" shapeId="0">
      <text>
        <r>
          <rPr>
            <sz val="9"/>
            <color indexed="81"/>
            <rFont val="Tahoma"/>
            <family val="2"/>
            <charset val="186"/>
          </rPr>
          <t xml:space="preserve">VšĮ Klaipėdos specialioji mokykla - daugiafunkcinis centras „Svetliačiok“
</t>
        </r>
      </text>
    </comment>
    <comment ref="K113" authorId="0" shapeId="0">
      <text>
        <r>
          <rPr>
            <sz val="9"/>
            <color indexed="81"/>
            <rFont val="Tahoma"/>
            <family val="2"/>
            <charset val="186"/>
          </rPr>
          <t xml:space="preserve">LPF „Dienvidis“ ir LPF „DPJC“
</t>
        </r>
      </text>
    </comment>
    <comment ref="D151"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List>
</comments>
</file>

<file path=xl/comments2.xml><?xml version="1.0" encoding="utf-8"?>
<comments xmlns="http://schemas.openxmlformats.org/spreadsheetml/2006/main">
  <authors>
    <author>Snieguole Kacerauskaite</author>
    <author>Indre Buteniene</author>
  </authors>
  <commentList>
    <comment ref="L54" authorId="0" shapeId="0">
      <text>
        <r>
          <rPr>
            <b/>
            <sz val="9"/>
            <color indexed="81"/>
            <rFont val="Tahoma"/>
            <family val="2"/>
            <charset val="186"/>
          </rPr>
          <t>Bendra visų įstaigų SB suma pagal 2015-10-29sprendimą Nr. T2-265</t>
        </r>
        <r>
          <rPr>
            <sz val="9"/>
            <color indexed="81"/>
            <rFont val="Tahoma"/>
            <family val="2"/>
            <charset val="186"/>
          </rPr>
          <t xml:space="preserve">
</t>
        </r>
      </text>
    </comment>
    <comment ref="E123" authorId="1"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sharedStrings.xml><?xml version="1.0" encoding="utf-8"?>
<sst xmlns="http://schemas.openxmlformats.org/spreadsheetml/2006/main" count="1582" uniqueCount="571">
  <si>
    <t xml:space="preserve">2016–2018 M. KLAIPĖDOS MIESTO SAVIVALDYBĖS  </t>
  </si>
  <si>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</si>
  <si>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</si>
  <si>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</si>
  <si>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</si>
  <si>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</si>
  <si>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</si>
  <si>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</si>
  <si>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</si>
  <si>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r>
      <t xml:space="preserve">Funkcinės klasifikacijos kodas* </t>
    </r>
    <r>
      <rPr>
        <b/>
        <sz val="10"/>
        <rFont val="Times New Roman"/>
        <family val="1"/>
      </rPr>
      <t xml:space="preserve"> </t>
    </r>
  </si>
  <si>
    <t>Asignavimų valdytojo kodas</t>
  </si>
  <si>
    <t>Finansavimo šaltinis</t>
  </si>
  <si>
    <t>2016-ųjų metų asignavimų planas</t>
  </si>
  <si>
    <t>2017-ųjų metų lėšų projektas</t>
  </si>
  <si>
    <t>2018-ųjų metų lėšų projektas</t>
  </si>
  <si>
    <t>Produkto kriterijaus</t>
  </si>
  <si>
    <t>Planas</t>
  </si>
  <si>
    <t>2016-ieji metai</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</si>
  <si>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</si>
  <si>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</si>
  <si>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</si>
  <si>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</si>
  <si>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</si>
  <si>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</si>
  <si>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</si>
  <si>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</si>
  <si>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</si>
  <si>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</si>
  <si>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</si>
  <si>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Vidutinis išmokamų kompensacijų nepriklausomybes gynejams skaičius per mėn.</t>
  </si>
  <si>
    <t xml:space="preserve">Piniginės socialinės paramos nepasiturinčioms šeimoms ir vieniems gyvenantiems asmenims bei paramos mirties atveju teikimas, išmokant pašalpas ir kompensacijas </t>
  </si>
  <si>
    <t>SB</t>
  </si>
  <si>
    <t>Vidutinškai per mėn. išmokamų laidojimo pašalpų skaičius</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</si>
  <si>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</si>
  <si>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</si>
  <si>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</si>
  <si>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</si>
  <si>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</si>
  <si>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</si>
  <si>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</si>
  <si>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</si>
  <si>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</si>
  <si>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</si>
  <si>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2100</t>
  </si>
  <si>
    <t>1600</t>
  </si>
  <si>
    <t>Mokinių iš mažas pajamas gaunančių šeimų nemokamo maitinimo gamybos išlaidų padengimas</t>
  </si>
  <si>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</si>
  <si>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t>Asmenų su sunkia negalia, kuriems teikiamos socialinės globos paslaugos, skaičius, iš jų:</t>
  </si>
  <si>
    <t xml:space="preserve"> - BĮ Neįgaliųjų centre „Klaipėdos lakštutė“</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</si>
  <si>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</si>
  <si>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</si>
  <si>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</si>
  <si>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</si>
  <si>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</si>
  <si>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</si>
  <si>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</si>
  <si>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</si>
  <si>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Vienkartinių išmokų socialiai pažeidžiamiems žmonėms išmokėjimas</t>
  </si>
  <si>
    <t xml:space="preserve">Vidutinis vienkartinių išmokų socialiai pažeidžiamiems asmenims skaičius per mėn. </t>
  </si>
  <si>
    <t>05</t>
  </si>
  <si>
    <t>Pagalbos šeimoms, globojančioms be tėvų globos likusius vaikus, teikimas (periodinė išmoka)</t>
  </si>
  <si>
    <t>Vidutinis naujai šeimoje paskirtų globėjų skaičius per mėn.</t>
  </si>
  <si>
    <t>Iš viso uždaviniui:</t>
  </si>
  <si>
    <t xml:space="preserve">Teikti visuomenės poreikius atitinkančias socialines paslaugas įvairioms gyventojų grupėms </t>
  </si>
  <si>
    <t>Socialinių paslaugų teikimas socialinėse įstaigose:</t>
  </si>
  <si>
    <t>Paslaugų gavėjų skaičius, iš jų:</t>
  </si>
  <si>
    <t>BĮ Klaipėdos miesto globos namuose;</t>
  </si>
  <si>
    <t>BĮ Klaipėdos miesto socialinės paramos centre;</t>
  </si>
  <si>
    <t>SB(SP)</t>
  </si>
  <si>
    <t>631</t>
  </si>
  <si>
    <t>BĮ Neįgaliųjų centre „Klaipėdos lakštutė“;</t>
  </si>
  <si>
    <t>Kt</t>
  </si>
  <si>
    <t>Išduota techninės pagalbos priemonių, vnt. / asm.</t>
  </si>
  <si>
    <t>1400/ 992</t>
  </si>
  <si>
    <t>BĮ Klaipėdos miesto šeimos ir vaiko gerovės centre, iš jų:</t>
  </si>
  <si>
    <t>450</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</si>
  <si>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</si>
  <si>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</si>
  <si>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</si>
  <si>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</si>
  <si>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</si>
  <si>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</si>
  <si>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</si>
  <si>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</si>
  <si>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</si>
  <si>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</si>
  <si>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</si>
  <si>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</si>
  <si>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</si>
  <si>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</si>
  <si>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</si>
  <si>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</si>
  <si>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</si>
  <si>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</si>
  <si>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</si>
  <si>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</si>
  <si>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</si>
  <si>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</si>
  <si>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r>
      <rPr>
        <b/>
        <sz val="10"/>
        <rFont val="Times New Roman"/>
        <family val="1"/>
        <charset val="186"/>
      </rPr>
      <t>Vietos bendruomenių savivaldos 2016 m. programos</t>
    </r>
    <r>
      <rPr>
        <sz val="10"/>
        <rFont val="Times New Roman"/>
        <family val="1"/>
        <charset val="186"/>
      </rPr>
      <t xml:space="preserve"> įgyvendinimas </t>
    </r>
  </si>
  <si>
    <t>Finansuotų projektų skaičius</t>
  </si>
  <si>
    <t>07</t>
  </si>
  <si>
    <t>Senyvo amžiaus asmenų globos paslaugų plėtra</t>
  </si>
  <si>
    <t>Parengtas techninis projektas</t>
  </si>
  <si>
    <t>ES</t>
  </si>
  <si>
    <t>Atlikta statybos darbų, proc.</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</si>
  <si>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</si>
  <si>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</si>
  <si>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</si>
  <si>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Atlikta remonto darbų, proc</t>
  </si>
  <si>
    <t>BĮ Neįgaliųjų centro „Klaipėdos lakštutė“ (Lakštučių g. 6) rūsio  remontas</t>
  </si>
  <si>
    <t>Atlikti darbai, proc.</t>
  </si>
  <si>
    <t>Pakeisti stoglangiai, vnt.</t>
  </si>
  <si>
    <t>Patalpų pritaikymas BĮ Klaipėdos miesto šeimos ir vaiko gerovės centro veiklai patalpose Debreceno g. 48</t>
  </si>
  <si>
    <t>Pritaikytos patalpos, proc.</t>
  </si>
  <si>
    <t>BĮ Klaipėdos miesto socialinės paramos centro pastato (Taikos pr.76) remonto darbai</t>
  </si>
  <si>
    <t>I</t>
  </si>
  <si>
    <t xml:space="preserve">Parengtas investicijų projektas
</t>
  </si>
  <si>
    <t>Atlikta darbų, proc.</t>
  </si>
  <si>
    <t>Parengtas investicijų projektas</t>
  </si>
  <si>
    <t xml:space="preserve">Užtikrinti Klaipėdos miesto socialinio būsto fondo plėtrą ir valstybės politikos, padedančios apsirūpinti būstu, įgyvendinimą </t>
  </si>
  <si>
    <t>Socialinio būsto fondo plėtra:</t>
  </si>
  <si>
    <t>Savivaldybės socialinio būsto fondo gyvenamojo namo statyba žemės sklypuose Irklų g. 1 ir Rambyno g. 14</t>
  </si>
  <si>
    <t>Įgyvendintas projektas, proc.</t>
  </si>
  <si>
    <t>Savivaldybės gyvenamųjų patalpų  tinkamos fizinės būklės užtikrinimas ir nuomos administravimas:</t>
  </si>
  <si>
    <t xml:space="preserve">Savivaldybės gyvenamųjų patalpų techninės būklės vertinimas ir remontas </t>
  </si>
  <si>
    <t>P1.3.5.3</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</si>
  <si>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</si>
  <si>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</si>
  <si>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</si>
  <si>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</si>
  <si>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</si>
  <si>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</si>
  <si>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</si>
  <si>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</si>
  <si>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</si>
  <si>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 xml:space="preserve">Butų pirkimas politinių kalinių ir tremtiniams bei jų šeimų nariams </t>
  </si>
  <si>
    <t>1</t>
  </si>
  <si>
    <t>Iš viso tikslui:</t>
  </si>
  <si>
    <t>12</t>
  </si>
  <si>
    <t xml:space="preserve">Iš viso programai: </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</si>
  <si>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</si>
  <si>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</si>
  <si>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</si>
  <si>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</si>
  <si>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</si>
  <si>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</si>
  <si>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</si>
  <si>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</si>
  <si>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</si>
  <si>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Europos Sąjungos paramos lėšos </t>
    </r>
    <r>
      <rPr>
        <b/>
        <sz val="10"/>
        <rFont val="Times New Roman"/>
        <family val="1"/>
      </rPr>
      <t>ES</t>
    </r>
  </si>
  <si>
    <r>
      <t xml:space="preserve">Valstybės biudžeto lėšos </t>
    </r>
    <r>
      <rPr>
        <b/>
        <sz val="10"/>
        <rFont val="Times New Roman"/>
        <family val="1"/>
      </rPr>
      <t>LRVB</t>
    </r>
  </si>
  <si>
    <r>
      <t xml:space="preserve">Kiti finansavimo šaltiniai </t>
    </r>
    <r>
      <rPr>
        <b/>
        <sz val="10"/>
        <rFont val="Times New Roman"/>
        <family val="1"/>
      </rPr>
      <t>Kt</t>
    </r>
  </si>
  <si>
    <t>IŠ VISO:</t>
  </si>
  <si>
    <t>Eur</t>
  </si>
  <si>
    <t>Vykdytojas (skyrius / asmuo)</t>
  </si>
  <si>
    <t>2015 m. patvirtintas asignavimų planas**</t>
  </si>
  <si>
    <t>2015 m. asignavimų plano pakeitimas***</t>
  </si>
  <si>
    <t>Iš viso</t>
  </si>
  <si>
    <t>Išlaidoms</t>
  </si>
  <si>
    <t>Turtui įsigyti ir finansiniams įsipareigojimams vykdyti</t>
  </si>
  <si>
    <t>Iš jų darbo užmokesčiui</t>
  </si>
  <si>
    <t>Socialinės paramos skyrius</t>
  </si>
  <si>
    <t xml:space="preserve"> 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</si>
  <si>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</si>
  <si>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</si>
  <si>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</si>
  <si>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</si>
  <si>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</si>
  <si>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</si>
  <si>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Kūdikių su sunkia negalia, gaunančių „atokvėpio“ paslaugą, skaičius (Sutrikusio vystymosi kūdikių namai)</t>
  </si>
  <si>
    <t>BĮ Neįgaliųjų centre „Klaipėdos lakštutė“</t>
  </si>
  <si>
    <t>Slaugytojų padėjėjų 3 mėn. DUF, etatų sk.</t>
  </si>
  <si>
    <t>(BĮ Klaipėdos miesto socialines paramos centre</t>
  </si>
  <si>
    <t>BĮ Klaipėdos miesto globos namuose</t>
  </si>
  <si>
    <t>Vietų skaičius įstaigoje</t>
  </si>
  <si>
    <t>Darbuotojų skaičius įstaigoje</t>
  </si>
  <si>
    <t>SB(L)</t>
  </si>
  <si>
    <t>Įsigyta skalbimo mašina</t>
  </si>
  <si>
    <t>SB(SPL)</t>
  </si>
  <si>
    <t>BĮ Klaipėdos miesto socialinės paramos centre</t>
  </si>
  <si>
    <t>300/55</t>
  </si>
  <si>
    <t>325/55</t>
  </si>
  <si>
    <t>Įsigyta kompiuterinės įrangos, vnt.</t>
  </si>
  <si>
    <t>Suteikta transporto paslaugų, asmenų skaičius</t>
  </si>
  <si>
    <t>70/35</t>
  </si>
  <si>
    <t>Priežiūrą namuose gaunančių asmenų skaičius</t>
  </si>
  <si>
    <t>37</t>
  </si>
  <si>
    <t>Pakeista terasa, kv m</t>
  </si>
  <si>
    <t>Kondensacinio katilo įsigyjimas, vnt</t>
  </si>
  <si>
    <t>Terasos stoginės įrengimas, kv m</t>
  </si>
  <si>
    <t>Įsigyta kompiuterių, vnt.</t>
  </si>
  <si>
    <t xml:space="preserve">Įsigytas multimedia projektorius </t>
  </si>
  <si>
    <t xml:space="preserve">Įsigyta greitaeigė indaplovė </t>
  </si>
  <si>
    <t xml:space="preserve">Darbo vietų įrengimas Debreceno g. 48 , vnt. </t>
  </si>
  <si>
    <t>Darbuotojų, teikiančių prevencines paslaugas šeimoms, patiriančioms rizikas, sk. (2 soc. darbuotojai, 1 psichologas)</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</si>
  <si>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</si>
  <si>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</si>
  <si>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</si>
  <si>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</si>
  <si>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 xml:space="preserve"> - projekto „Kompleksinė pagalba Klaipėdos miesto socialinės grupės vaikams ir jaunimui“ įgyvendinimas</t>
  </si>
  <si>
    <t>BĮ Klaipėdos miesto nakvynės namuose</t>
  </si>
  <si>
    <t>Socialinės rizikos asmenų, kuriems suteiktos trumpalaikės socialinės globos paslaugos/ laikino apnakvindinimo paslaugos per metus, skaičius</t>
  </si>
  <si>
    <t>275/ 340</t>
  </si>
  <si>
    <t>74</t>
  </si>
  <si>
    <t>Įsigytas automobilis, vnt</t>
  </si>
  <si>
    <t>BĮ Klaipėdos vaikų globos namuose „Smiltelė“</t>
  </si>
  <si>
    <t>Socialinę globą teikiančių darbuotojų dalis bendroje vaikų globos namų  personalo struktūroje</t>
  </si>
  <si>
    <t>BĮ Klaipėdos socialinių paslaugų centre „Danė“</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</si>
  <si>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</si>
  <si>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</si>
  <si>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</si>
  <si>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</si>
  <si>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Suorganizuotas renginys – sporto šventė „Gatvės krepšinio 3x3 turnyras“</t>
  </si>
  <si>
    <t>Jaunuolių, kuriems teikamos „Apsaugoto būsto“ paslaugos, sk.</t>
  </si>
  <si>
    <t>09</t>
  </si>
  <si>
    <t>Biudžetinių įstaigų patalpų būklės gerinimas</t>
  </si>
  <si>
    <t xml:space="preserve"> Socislinės paramos skyrius</t>
  </si>
  <si>
    <t>Dienos socialinės globos paslaugų teikimas asmenims su psichine negalia dienos socialinės globos centre</t>
  </si>
  <si>
    <t>Dienos socialinę globą per mėn. gaunančių asmenų  su psichine negalia skaičius dienos socialinės globos centre</t>
  </si>
  <si>
    <t>Dienos socialinės globos paslaugų teikimas vaikams su negalia dienos socialinės globos centre</t>
  </si>
  <si>
    <t>Dienos socialinę globą per mėn. gaunančių vaikų su negalia skaičius dienos socialinės globos centre</t>
  </si>
  <si>
    <t>Dienos socialinės priežiūros paslauga vaikams iš socialinės rizikos šeimų vaikų dienos centruose</t>
  </si>
  <si>
    <t>Vidutiniškai per mėn. paslaugas gaunančių socialinės rizikos ir rizikos šeimų vaikų skaičius Dienos centre</t>
  </si>
  <si>
    <t>Pagalbos į namus paslaugos teikimas senyvo amžiaus asmenims ir suaugusiems asmenims su negalia</t>
  </si>
  <si>
    <t xml:space="preserve">Nemokamo maitinimo organizavimas labdaros valgykloje Klaipėdos mieste gyvenantiems asmenims, nepajėgiantiems maitintis savo namuose </t>
  </si>
  <si>
    <t>Vidutiniškai per dieną maitinimo paslaugas gaunančių asmenų skaičius</t>
  </si>
  <si>
    <t xml:space="preserve">Laikinai benamių asmenų, piktnaudžiaujančių alkoholiu ir psichotropinėmis medžiagomis, apgyvendinamas, esant krizinei situacijai  </t>
  </si>
  <si>
    <t>Vidutiniškai per dieną apnakvindinimo paslaugas gaunančių asmenų skaičius</t>
  </si>
  <si>
    <t>Atlikta kompleksinė viešųjų ryšių metodų analizė ir įgyvendinta įvaikinimo skatinimo informacinė kampanija</t>
  </si>
  <si>
    <t>Vidutinis šeimų, auginančių vaiką su negalia ir patiriančių krizes, skaičius per mėn., kurioms reikalingos psichosocialinės paslaugos</t>
  </si>
  <si>
    <t>Nevyriausybinių organizacijų socialinių projektų dalinis finansavimas</t>
  </si>
  <si>
    <t>Nevyriausybinių organizacijų socialinių projektų, skirtų šeimoms, turinčioms socialinių problemų, stiprinimui, dalinis finansavimas</t>
  </si>
  <si>
    <t>Nevyriausybinių organizacijų socialinių projektų, skirtų šeimoms, turinčioms socialinių problemų, stiprinimui, skaicius</t>
  </si>
  <si>
    <t>Iš dalies finansuotų projektų skaičius</t>
  </si>
  <si>
    <t>20</t>
  </si>
  <si>
    <t>Socialinės infrastruktūros poskyris</t>
  </si>
  <si>
    <t xml:space="preserve">Keltuvų, kuriems reikia eksploatavimo ir priežiūros, skaičius </t>
  </si>
  <si>
    <t>IED Projektų skyrius</t>
  </si>
  <si>
    <r>
      <t xml:space="preserve">Projekto </t>
    </r>
    <r>
      <rPr>
        <b/>
        <sz val="10"/>
        <rFont val="Times New Roman"/>
        <family val="1"/>
      </rPr>
      <t>„Ilgalaikės socialinės globos paslaugų infrastruktūros plėtra Klaipėdos mieste“</t>
    </r>
    <r>
      <rPr>
        <sz val="10"/>
        <rFont val="Times New Roman"/>
        <family val="1"/>
      </rPr>
      <t xml:space="preserve"> įgyvendinimas</t>
    </r>
  </si>
  <si>
    <t>Socialinės paramos skyrius, LSIŽG bendrija  ,,Klaipėdos viltis"</t>
  </si>
  <si>
    <t xml:space="preserve">Senjorų metų paminėjimas Klaipėdoje </t>
  </si>
  <si>
    <t>Socialinės infrastruktūros priežiūros sk.</t>
  </si>
  <si>
    <r>
      <rPr>
        <b/>
        <sz val="10"/>
        <rFont val="Times New Roman"/>
        <family val="1"/>
      </rPr>
      <t xml:space="preserve">Pastato adresu Kretingos g. 44, Klaipėda, I–IV aukštų rekonstrukcija, pritaikant Klaipėdos vaikų globos namams „Danė" </t>
    </r>
    <r>
      <rPr>
        <sz val="10"/>
        <rFont val="Times New Roman"/>
        <family val="1"/>
      </rPr>
      <t>(energiją taupančių priemonių, vykdant projektą „Energetikos efektyvumo didinimas Klaipėdos vaikų globos namuose „Danė“ (II etapas), įgyvendinimas ir kitų rekonstrukcijos darbų atlikimas)</t>
    </r>
  </si>
  <si>
    <t>BĮ Neįgaliųjų centro „Klaipėdos lakštutė“ (Suaugusių asmenų su protine negalia dienos socialinės globos centras, Panevėžio g. 2) tvoros įrengimas</t>
  </si>
  <si>
    <t>Socialinės infrastruktūros priežiūros skyrius</t>
  </si>
  <si>
    <t>Nestacionarių socialinių paslaugų infrastruktūros plėtros projektų įgyvendinimas:</t>
  </si>
  <si>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</si>
  <si>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t xml:space="preserve">I   </t>
  </si>
  <si>
    <t>Projektų skyrius</t>
  </si>
  <si>
    <t>SB(P)</t>
  </si>
  <si>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</si>
  <si>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„Suaugusių asmenų su proto negalia dienos socialinės globos centras (2 spec. mokykla, III a.)“</t>
    </r>
    <r>
      <rPr>
        <sz val="10"/>
        <rFont val="Times New Roman"/>
        <family val="1"/>
        <charset val="186"/>
      </rPr>
      <t xml:space="preserve"> įgyvendinimas</t>
    </r>
  </si>
  <si>
    <t>Socialinių butų pirkimas</t>
  </si>
  <si>
    <t>Turto skyrius</t>
  </si>
  <si>
    <t>Socialinio būsto skyrius</t>
  </si>
  <si>
    <t xml:space="preserve">Laikinai neišnuomotų gyvenamųjų patalpų priežiūra </t>
  </si>
  <si>
    <t>** pagal Klaipėdos miesto savivaldybės tarybos 2015 m. vasario 19 d. sprendimą Nr. T2-12</t>
  </si>
  <si>
    <t>Lėšų poreikis  2016 m.</t>
  </si>
  <si>
    <t>2017 m. projektas</t>
  </si>
  <si>
    <t>2018 m. projektas</t>
  </si>
  <si>
    <r>
      <t xml:space="preserve">Pajamos už atsitiktines paslaugas likutis </t>
    </r>
    <r>
      <rPr>
        <b/>
        <sz val="10"/>
        <rFont val="Times New Roman"/>
        <family val="1"/>
        <charset val="186"/>
      </rPr>
      <t>SB(SPL)</t>
    </r>
  </si>
  <si>
    <r>
      <t>Paskolos lėšos</t>
    </r>
    <r>
      <rPr>
        <sz val="10"/>
        <rFont val="Times New Roman"/>
        <family val="1"/>
        <charset val="186"/>
      </rPr>
      <t xml:space="preserve"> </t>
    </r>
    <r>
      <rPr>
        <b/>
        <sz val="10"/>
        <rFont val="Times New Roman"/>
        <family val="1"/>
        <charset val="186"/>
      </rPr>
      <t>SB(P)</t>
    </r>
  </si>
  <si>
    <r>
      <t xml:space="preserve">Programų lėšų likučių laikinai laisvos lėšos </t>
    </r>
    <r>
      <rPr>
        <b/>
        <sz val="10"/>
        <rFont val="Times New Roman"/>
        <family val="1"/>
        <charset val="186"/>
      </rPr>
      <t xml:space="preserve">SB(L) </t>
    </r>
  </si>
  <si>
    <t xml:space="preserve"> Socialinės paramos sk.</t>
  </si>
  <si>
    <t>Butų, pritaikytų neįgaliesiems su judėjimo sutrikimu, skaičius</t>
  </si>
  <si>
    <t>Sutrumpėjęs nuomininkų pasirinktos garantijos įvykdymo terminas, mėn.</t>
  </si>
  <si>
    <t>Vidutiniškai per mėn. išmokamų laidojimo pašalpų skaičius</t>
  </si>
  <si>
    <t>Vidutinis išmokamų kompensacijų nepriklausomybės gynėjams skaičius per mėn.</t>
  </si>
  <si>
    <t xml:space="preserve"> - BĮ Klaipėdos miesto socialinės paramos centre</t>
  </si>
  <si>
    <t>Savarankiško gyvenimo namų steigimas socialinės rizikos asmenims</t>
  </si>
  <si>
    <t>Būsto nuomos ar išperkamosios būsto nuomos mokesčių dalies kompensaciją gavusių asmenų skaičius</t>
  </si>
  <si>
    <t>Nemokamą maitinimą gaunančių mokinių skaičius</t>
  </si>
  <si>
    <t>Nestacionarių socialinių paslaugų gavėjai, skaičius</t>
  </si>
  <si>
    <t>Stacionarių socialinių paslaugų gavėjai, skaičius</t>
  </si>
  <si>
    <t>Atliktas ilgalaikio turto remontas socialinėse biudžetinėse įstaigose, įstaigų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</si>
  <si>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</si>
  <si>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</si>
  <si>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</si>
  <si>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</si>
  <si>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Nupirktų butų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</si>
  <si>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</si>
  <si>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</si>
  <si>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</si>
  <si>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</si>
  <si>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Laikinai benamių asmenų, piktnaudžiaujančių alkoholiu ir psichotropinėmis medžiagomis, apgyvendinamas, esant krizinei situacijai</t>
  </si>
  <si>
    <t>Nakvynės namų pastato (Viršutinė g. 21) techninio projekto parengimas ir remontas</t>
  </si>
  <si>
    <r>
      <t>BĮ Klaipėdos miesto globos namų pastato</t>
    </r>
    <r>
      <rPr>
        <sz val="10"/>
        <rFont val="Times New Roman"/>
        <family val="1"/>
        <charset val="186"/>
      </rPr>
      <t xml:space="preserve"> (Žalgirio g. 3A) </t>
    </r>
    <r>
      <rPr>
        <sz val="10"/>
        <rFont val="Times New Roman"/>
        <family val="1"/>
      </rPr>
      <t xml:space="preserve">konstrukcijos pažeidimų pašalinimas </t>
    </r>
  </si>
  <si>
    <t>Sutvarkytas fasadas, kv. m</t>
  </si>
  <si>
    <t>Atlikta remonto darbų, proc.</t>
  </si>
  <si>
    <t>Būsto nuomos ar išperkamosios būsto nuomos mokesčių dalies kompensacija gavusių asmenų skaičius</t>
  </si>
  <si>
    <t>Slaugytojų padėjėjų 3 mėn. DUF, etatų skaičius</t>
  </si>
  <si>
    <t>Įsigyta funkcinių lovų, skaičius</t>
  </si>
  <si>
    <t>Senyvo amžiaus asmenims ir suaugusiems asmenims su negalia asmens namuose teikiamos paslaugos (pagalba į namus; dienos socialine globa asmens namuose)/asmenų skaičius</t>
  </si>
  <si>
    <t>Dienos socialinės globos paslaugas  įstaigoje/asmens namuose gaunančių asmenų skaičius</t>
  </si>
  <si>
    <t>Vietų skaičius įstagoje</t>
  </si>
  <si>
    <t>Įsigytas kompiuteris ir programinė įranga</t>
  </si>
  <si>
    <t>San. mazgo patalpų remontas Viršutinė g. 21, skaičius</t>
  </si>
  <si>
    <t>Butų, pritaikytų neįgaliesiems, skaičius</t>
  </si>
  <si>
    <t>Laikino apnakvindinimo,  apgyvendinimo  namų infrastruktūros modernizavimas (Šilutės pl. 8, nakvynės namai)</t>
  </si>
  <si>
    <t>Aiškinamojo rašto priedas Nr.3</t>
  </si>
  <si>
    <t xml:space="preserve"> TIKSLŲ, UŽDAVINIŲ, PRIEMONIŲ, PRIEMONIŲ IŠLAIDŲ IR PRODUKTO KRITERIJŲ DETALI SUVESTINĖ</t>
  </si>
  <si>
    <t>Socialinės srities renginių organizavimas</t>
  </si>
  <si>
    <t>Suorganizuota renginių, skaičius</t>
  </si>
  <si>
    <t>2</t>
  </si>
  <si>
    <t>*** pagal Klaipėdos miesto savivaldybės tarybos 2015 m. lapkričio 26 d. sprendimą Nr. T2-.322</t>
  </si>
  <si>
    <r>
      <t>Ne savivaldybės įsteigtų įstaigų, teikiančių ilgalaikės socialinės globos paslaugas senyvo amžiaus asmenims</t>
    </r>
    <r>
      <rPr>
        <sz val="10"/>
        <rFont val="Times New Roman"/>
        <family val="1"/>
        <charset val="186"/>
      </rPr>
      <t xml:space="preserve"> ir neįgaliems asmenims bei dienos socialinę globą neįgaliems asmenims institucijoje,</t>
    </r>
    <r>
      <rPr>
        <sz val="10"/>
        <rFont val="Times New Roman"/>
        <family val="1"/>
      </rPr>
      <t xml:space="preserve"> projektų, skirtų socialinių paslaugų infrastruktūrai gerinti</t>
    </r>
  </si>
  <si>
    <t>Lyginamasis variantas</t>
  </si>
  <si>
    <t>Suorganizuota renginių</t>
  </si>
  <si>
    <t>Siūlomas keisti 2016-ųjų m. asignavimų planas</t>
  </si>
  <si>
    <t>Skirtumas</t>
  </si>
  <si>
    <t>Siūlomas keisti asignavimų planas</t>
  </si>
  <si>
    <t>1.3.1.5</t>
  </si>
  <si>
    <t>1.3.2.1</t>
  </si>
  <si>
    <t>1.3.2.2</t>
  </si>
  <si>
    <t>1.3.2.5</t>
  </si>
  <si>
    <t>1.3.3.1</t>
  </si>
  <si>
    <t>1.3.5.3</t>
  </si>
  <si>
    <t>1.3.1.4, 1.3.2.3</t>
  </si>
  <si>
    <t xml:space="preserve"> 1.3.2.3, 1.3.3.3</t>
  </si>
  <si>
    <t xml:space="preserve"> 1.3.3.2, 1.3.3.3, 1.3.3.5</t>
  </si>
  <si>
    <t>1.3.1.2, 1.3.1.3, 1.3.2.1,  1.3.2.3, 1.3.3.1, 1.3.3.2, 1.3.3.6</t>
  </si>
  <si>
    <t>1.3.3.6</t>
  </si>
  <si>
    <t>1.3.3.8</t>
  </si>
  <si>
    <t>1.3.3.1, 1.3.4.3</t>
  </si>
  <si>
    <t>1.3.2.3, 1.3.3.3</t>
  </si>
  <si>
    <t>1.3.5.2</t>
  </si>
  <si>
    <t>PAAIŠKINIMAI</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</si>
  <si>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</si>
  <si>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</si>
  <si>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Įsigyta būstų, vnt.</t>
  </si>
  <si>
    <t>Apgyvendinta vaikų, asm.</t>
  </si>
  <si>
    <t>Liftų keitimas BĮ Klaipėdos miesto globos namų pastate (Žalgirio g. 3A)</t>
  </si>
  <si>
    <t xml:space="preserve">Parengta paraiška, vnt. </t>
  </si>
  <si>
    <t>Paslaugų gavėjų skaičius</t>
  </si>
  <si>
    <t>SB(ES)</t>
  </si>
  <si>
    <r>
      <t>Europos Sąjungos paramos lėšos (dotacija)</t>
    </r>
    <r>
      <rPr>
        <b/>
        <sz val="10"/>
        <rFont val="Times New Roman"/>
        <family val="1"/>
        <charset val="186"/>
      </rPr>
      <t xml:space="preserve"> SB(ES)</t>
    </r>
  </si>
  <si>
    <t>1515/ 1037</t>
  </si>
  <si>
    <t>Projekto „Kompleksinės paslaugos šeimai Klaipėdos mieste“ įgyvendinimas</t>
  </si>
  <si>
    <t>Pakeistas liftų, vnt.</t>
  </si>
  <si>
    <t xml:space="preserve">BĮ Klaipėdos miesto globos namų pastato (Žalgirio g. 3A) konstrukcijos pažeidimų pašalinimas </t>
  </si>
  <si>
    <r>
      <t xml:space="preserve">07 </t>
    </r>
    <r>
      <rPr>
        <b/>
        <strike/>
        <sz val="10"/>
        <color rgb="FFFF0000"/>
        <rFont val="Times New Roman"/>
        <family val="1"/>
      </rPr>
      <t>08</t>
    </r>
  </si>
  <si>
    <r>
      <rPr>
        <sz val="10"/>
        <rFont val="Times New Roman"/>
        <family val="1"/>
        <charset val="186"/>
      </rPr>
      <t xml:space="preserve">Projekto </t>
    </r>
    <r>
      <rPr>
        <b/>
        <sz val="10"/>
        <rFont val="Times New Roman"/>
        <family val="1"/>
        <charset val="186"/>
      </rPr>
      <t>„Kompleksinės paslaugos šeimai Klaipėdos mieste“</t>
    </r>
    <r>
      <rPr>
        <sz val="10"/>
        <rFont val="Times New Roman"/>
        <family val="1"/>
        <charset val="186"/>
      </rPr>
      <t xml:space="preserve"> įgyvendinimas</t>
    </r>
  </si>
  <si>
    <t>Asmenų, kuriems teikiamos integracijos paslaugos, skaičius</t>
  </si>
  <si>
    <t>2017-ųjų metų asignavimų planas</t>
  </si>
  <si>
    <t>Siūlomas keisti 2017-ųjų m. asignavimų planas</t>
  </si>
  <si>
    <t>Siūlomas keisti 2018-ųjų m. asignavimų planas</t>
  </si>
  <si>
    <t>2018-ųjų metų asignavimų planas</t>
  </si>
  <si>
    <t>2017 m. asignavimų planas</t>
  </si>
  <si>
    <t>2018 m. asignavimų planas</t>
  </si>
  <si>
    <r>
      <t xml:space="preserve">Laikino apnakvindinimo namų steigimas </t>
    </r>
    <r>
      <rPr>
        <strike/>
        <sz val="10"/>
        <color rgb="FFFF0000"/>
        <rFont val="Times New Roman"/>
        <family val="1"/>
        <charset val="186"/>
      </rPr>
      <t xml:space="preserve">Savarankiško gyvenimo namų steigimas socialinės rizikos asmenims </t>
    </r>
  </si>
  <si>
    <t xml:space="preserve">Parengta galimybių studija </t>
  </si>
  <si>
    <r>
      <t xml:space="preserve">Laikino apnakvindinimo,  apgyvendinimo namų infrastruktūros modernizavimas (Šilutės pl. 8, </t>
    </r>
    <r>
      <rPr>
        <strike/>
        <sz val="10"/>
        <color rgb="FFFF0000"/>
        <rFont val="Times New Roman"/>
        <family val="1"/>
        <charset val="186"/>
      </rPr>
      <t>nakvynės namai)</t>
    </r>
  </si>
  <si>
    <r>
      <t>Projekto „</t>
    </r>
    <r>
      <rPr>
        <b/>
        <sz val="10"/>
        <rFont val="Times New Roman"/>
        <family val="1"/>
        <charset val="186"/>
      </rPr>
      <t xml:space="preserve">Integrali pagalba į namus </t>
    </r>
    <r>
      <rPr>
        <b/>
        <strike/>
        <sz val="10"/>
        <rFont val="Times New Roman"/>
        <family val="1"/>
        <charset val="186"/>
      </rPr>
      <t xml:space="preserve">Integralios socialinės globos paslaugų teikimas </t>
    </r>
    <r>
      <rPr>
        <b/>
        <sz val="10"/>
        <rFont val="Times New Roman"/>
        <family val="1"/>
      </rPr>
      <t>Klaipėdos mieste</t>
    </r>
    <r>
      <rPr>
        <sz val="10"/>
        <rFont val="Times New Roman"/>
        <family val="1"/>
      </rPr>
      <t xml:space="preserve">“ įgyvendinimas (dienos socialinės globos ir slaugos paslaugos į namus)                   </t>
    </r>
  </si>
  <si>
    <r>
      <rPr>
        <strike/>
        <sz val="10"/>
        <color rgb="FFFF0000"/>
        <rFont val="Times New Roman"/>
        <family val="1"/>
        <charset val="186"/>
      </rPr>
      <t>196</t>
    </r>
    <r>
      <rPr>
        <sz val="10"/>
        <color rgb="FFFF0000"/>
        <rFont val="Times New Roman"/>
        <family val="1"/>
        <charset val="186"/>
      </rPr>
      <t xml:space="preserve"> 186</t>
    </r>
  </si>
  <si>
    <r>
      <rPr>
        <strike/>
        <sz val="10"/>
        <color rgb="FFFF0000"/>
        <rFont val="Times New Roman"/>
        <family val="1"/>
        <charset val="186"/>
      </rPr>
      <t>6</t>
    </r>
    <r>
      <rPr>
        <sz val="10"/>
        <color rgb="FFFF0000"/>
        <rFont val="Times New Roman"/>
        <family val="1"/>
        <charset val="186"/>
      </rPr>
      <t xml:space="preserve"> 5</t>
    </r>
  </si>
  <si>
    <r>
      <rPr>
        <strike/>
        <sz val="10"/>
        <color rgb="FFFF0000"/>
        <rFont val="Times New Roman"/>
        <family val="1"/>
        <charset val="186"/>
      </rPr>
      <t>16280</t>
    </r>
    <r>
      <rPr>
        <sz val="10"/>
        <color rgb="FFFF0000"/>
        <rFont val="Times New Roman"/>
        <family val="1"/>
        <charset val="186"/>
      </rPr>
      <t xml:space="preserve"> 15800</t>
    </r>
  </si>
  <si>
    <t>2) dėl padidėjusios minimalios mėnesinės algos, sumažėjusios bedarbystės sumažėjo žmonių, turinčių teisę gauti pašalpas ir kompensacijas, skaičius (-25,5 tūkst. Eur SB);                                                                           3)  užsienyje mirusių (žuvusių) LR piliečių palaikams parvežti (SB(VB) didinama 3,52 tūkst. Eur)</t>
  </si>
  <si>
    <r>
      <t xml:space="preserve">760 </t>
    </r>
    <r>
      <rPr>
        <strike/>
        <sz val="10"/>
        <color rgb="FFFF0000"/>
        <rFont val="Times New Roman"/>
        <family val="1"/>
      </rPr>
      <t xml:space="preserve">639 </t>
    </r>
  </si>
  <si>
    <r>
      <t xml:space="preserve">1610 </t>
    </r>
    <r>
      <rPr>
        <strike/>
        <sz val="10"/>
        <color rgb="FFFF0000"/>
        <rFont val="Times New Roman"/>
        <family val="1"/>
      </rPr>
      <t>2100</t>
    </r>
  </si>
  <si>
    <r>
      <t xml:space="preserve">108 </t>
    </r>
    <r>
      <rPr>
        <strike/>
        <sz val="10"/>
        <color rgb="FFFF0000"/>
        <rFont val="Times New Roman"/>
        <family val="1"/>
        <charset val="186"/>
      </rPr>
      <t xml:space="preserve"> 68</t>
    </r>
  </si>
  <si>
    <r>
      <t xml:space="preserve">108  </t>
    </r>
    <r>
      <rPr>
        <strike/>
        <sz val="10"/>
        <color rgb="FFFF0000"/>
        <rFont val="Times New Roman"/>
        <family val="1"/>
        <charset val="186"/>
      </rPr>
      <t>68</t>
    </r>
  </si>
  <si>
    <r>
      <t xml:space="preserve">28  </t>
    </r>
    <r>
      <rPr>
        <strike/>
        <sz val="10"/>
        <color rgb="FFFF0000"/>
        <rFont val="Times New Roman"/>
        <family val="1"/>
      </rPr>
      <t>25</t>
    </r>
  </si>
  <si>
    <r>
      <t xml:space="preserve">40 </t>
    </r>
    <r>
      <rPr>
        <strike/>
        <sz val="10"/>
        <color rgb="FFFF0000"/>
        <rFont val="Times New Roman"/>
        <family val="1"/>
        <charset val="186"/>
      </rPr>
      <t xml:space="preserve"> 43</t>
    </r>
  </si>
  <si>
    <r>
      <t xml:space="preserve">40  </t>
    </r>
    <r>
      <rPr>
        <strike/>
        <sz val="10"/>
        <color rgb="FFFF0000"/>
        <rFont val="Times New Roman"/>
        <family val="1"/>
        <charset val="186"/>
      </rPr>
      <t>43</t>
    </r>
  </si>
  <si>
    <t>VšĮ Ori senatvė</t>
  </si>
  <si>
    <r>
      <t xml:space="preserve">10 </t>
    </r>
    <r>
      <rPr>
        <strike/>
        <sz val="10"/>
        <color rgb="FFFF0000"/>
        <rFont val="Times New Roman"/>
        <family val="1"/>
        <charset val="186"/>
      </rPr>
      <t xml:space="preserve"> 9</t>
    </r>
  </si>
  <si>
    <t>Atlikta rekonstrukcija, proc.</t>
  </si>
  <si>
    <t>Reikalinga sumažinti priemonės finansavimo apimtį ir patikslinti produkto vertinimo kriterijų reikšmes dėl šių priežasčių: 1) Socialinės apsaugos ir darbo ministro  2016-09-29 įsakymu Nr.A1-539 mažinama suma, skirta būsto nuomos ar išperkamosios būsto nuomos mokesčių dalies kompensacijoms ir laidojimo pašalpoms;</t>
  </si>
  <si>
    <r>
      <t xml:space="preserve">1510  </t>
    </r>
    <r>
      <rPr>
        <strike/>
        <sz val="10"/>
        <color rgb="FFFF0000"/>
        <rFont val="Times New Roman"/>
        <family val="1"/>
      </rPr>
      <t>1600</t>
    </r>
  </si>
  <si>
    <t xml:space="preserve">Reikalinga padidinti priemonės finansavimo apimtį ir patikslinti produkto vertinimo kriterijų reikšmes, nes Socialinės apsaugos ir darbo ministro  2016-09-29 įsakymu Nr.A1-539 padidinta suma, skirta socialinėms paslaugoms  </t>
  </si>
  <si>
    <t>Reikalinga padidinti priemonės finansavimo apimtį, nes Socialinės apsaugos ir darbo ministro  2016-09-29 įsakymu Nr.A1-539 padidinta suma, skirta pagalbos socialinės rizikos šeimoms teikimui  (skirta darbuotojų kvalifikacijos kėlimui)</t>
  </si>
  <si>
    <t>Siūloma sumažinti priemonės finansavimo apimtį, nes  papriemonei „Dienos socialinės globos paslaugų teikimas asmenims su psichine negalia dienos socialinės globos centre“  lėšų bus panaudota mažiau nei planuota.</t>
  </si>
  <si>
    <r>
      <t xml:space="preserve">Reikalinga sumažinti priemonės finansavimo apimtį ir patikslinti produkto vertinimo kriterijaus reikšmę, nes </t>
    </r>
    <r>
      <rPr>
        <sz val="10"/>
        <rFont val="Times New Roman"/>
        <family val="1"/>
      </rPr>
      <t>Socialinės apsaugos ir darbo ministro  2016-09-29 įsakymu Nr.A1-539 mažinama suma, skirta mokinių nemokamam maitinimui  SB(VB) -95,3 tūkst. Eur</t>
    </r>
  </si>
  <si>
    <t>Siūloma padidinti finansavimo apimtį šiai priemonei  ir patikslinti produkto vertinimo kriterijų reikšmes dėl šių priežasčių: 1) skirta valstybės dotacija minimaliai mėnesinei algai (MMA) padidinti 16,9 tūkst. Eur; 2) BĮ Klaipėdos miesto nakvynės namai ir Globos namai didina pajamų įmokas už paslaugas (SB(SP)) 39,3 tūkst. Eur; 3) BĮ Klaipėdos miesto socialinės paramos centras, vykdydamas Klaipėdos miesto savivaldybės tarybos 2015-10-29 sprendimą Nr. T2-269 „Dėl prieglobstį gavusių užsieniečių socialinės integracijos Klaipėdos mieste kvotų patvirtinimo“, organizuoja užsieniečių, gavusių prieglobstį Lietuvoje, integraciją Klaipėdos mieste. Dėl šios priežasties reikalinga įtraukti naują papriemonę - projekto „Lietuva - kitataučių užuovėja“ vykdymas, kuri bus finansuojama iš ES Prieglobsčio, migracijos ir integracijos fondo.</t>
  </si>
  <si>
    <t xml:space="preserve">Siūloma didinti finansavimo apimtį, nes papriemonei „Socialinės reabilitacijos paslaugų neįgaliesiems bendruomenėje projektų dalinis finansavimas“ įgyvendinti suplanuotos lėšos  yra 16 Eur mažesnės nei reglamentuota
</t>
  </si>
  <si>
    <t xml:space="preserve">Siūloma padidinti finansavimo apimtį priemonei, nes pradėjus įgyvendinti projektą, teikiamos paslaugos didesniam sunkią negalią turinčių klientų skaičiui. Klaipėdos miesto administracijos direktoriaus 2016-05-30 įsakymais P1-562 ir P1-563 buvo padidintas įstaigose didžiausias leistinas pareigybių skaičius (SPC-3,5 et. ir „Klaipėdos lakštutė“-5,5 et.). Taip pat reikalinga patikslinti projekto pavadinimą ir vertinimo kriterijus bei jų reikšmes siekiant atitikimo projekto paraiškoje nurodytiems duomenims ir Klaipėdos miesto savivaldybės tarybos 2016 m. kovo 31 d. sprendimu Nr. T2-80 patvirtintai jungtinės veiklos sutarčiai. 
</t>
  </si>
  <si>
    <t xml:space="preserve">Senyvo amžiaus asmenų globos paslaugų plėtra </t>
  </si>
  <si>
    <t xml:space="preserve"> - projekto „Lietuva – kitataučių užuovėja“ įgyvendinimas</t>
  </si>
  <si>
    <t>Siūloma padidinti finansavimo apimtį priemonei dėl šių priežasčių: 1) iškilo būtinybė atlikti papildomus BĮ Klaipėdos miesto socialinės paramos centro pastato (Taikos pr.76) remonto darbus - centro prieigų (cokolinės įėjimo dalies) bei nutrupėjusių laiptų remontą;                     2)  anksčiau, nei planuota,  gautas Regioninės plėtros departamento prie VRM kvietimas teikti projektinius pasiūlymus Klaipėdos regiono projektų sąrašui sudaryti pagal 2014–2020 m. ES fondų investicijų veiksmų programos 8 prioriteto „Socialinės įtraukties didinimas ir kova su skurdu“ įgyvendinimo priemonę Nr. 08.1.1-</t>
  </si>
  <si>
    <t xml:space="preserve">CPVA-R-407 „Socialinių paslaugų infrastruktūros plėtra“.                Pagal šią priemonę planuojama modernizuoti Nakvynės namų, adresu Šilutės pl. 8, 1-ą aukštą, kuriame teikiama laikino apgyvendinimo paslauga. Laikino apnakvindinimo paslaugą (vietų poreikis 50 asmenų) planuojama iš Šilutės pl. 8 rūsio iškelti į teritoriją adresu Dubysosg. 39a. Siūloma šioje teritorijoje laikino apnakvindinimo  paslaugos teikimui pastatyti  gyvenamuosius konteinerius/ modulinius namus. Jau pasirašytos Investicijų projektų rengiimo paslaugų ir galimybių tyrimo paslaugos sutartys (8,3 tūkst. Eur), atitinkamai tikslinamos 2017-2018 m. lėšos ir kriterijai;                                    3) tikslinamas pavadinimas „Senyvo amžiaus asmenų globos paslaugų plėtra“, nes atsilaisvinus patalpoms Vaivos g. 23, Melnragėje, siūloma rekonstruoti esamą pastatą ir pritaikyti jį Senyvo amžiaus asmenų globos namams 
</t>
  </si>
  <si>
    <t xml:space="preserve">STRATEGINIO VEIKLOS PLANO VYKDYMO ATASKAITA </t>
  </si>
  <si>
    <t>(SOCIALINĖS ATSKIRTIES MAŽINIMO PROGRAMA (NR. 12))</t>
  </si>
  <si>
    <t>Informacija apie pasiektus rezultatus, duomenys apie programai skirtų asignavimų panaudojimo tikslingumą</t>
  </si>
  <si>
    <t>Priežastys, dėl kurių planuotos rodiklių reikšmės nepasiektos</t>
  </si>
  <si>
    <t>planuotos reikšmės</t>
  </si>
  <si>
    <t>faktinės reikšmės</t>
  </si>
  <si>
    <t>Teikiamų bendrųjų socialinių paslaugų rūšių skaičius</t>
  </si>
  <si>
    <t>Bendrąsias socialines paslaugas gaunančių gyventojų dalis, palyginti su prašymus pateikusiais asmenimis</t>
  </si>
  <si>
    <t>Savivaldybės socialinių paslaugų (išskyrus bendrąsias socialines paslaugas) gavėjų dalis nuo visų socialinių paslaugų gavėjų, proc.</t>
  </si>
  <si>
    <t>Vidutiniškai per mėnesį dėl socialinių išmokų aptarnautas gyventojų skaičius, vnt.</t>
  </si>
  <si>
    <t>Vidutinis vaikų, apgyvendintų vaikų globos namuose, skaičius</t>
  </si>
  <si>
    <t>Surinkta nuomos mokesčio už išnuomotas savivaldybės gyvenamąsias patalpas (proc. nuo priskaičiuoto nuomos mokesčio)</t>
  </si>
  <si>
    <t>Suremontuotų tuščių savivaldybės gyvenamųjų patalpų skaičius</t>
  </si>
  <si>
    <t>ĮVYKDYMO ATASKAITA</t>
  </si>
  <si>
    <r>
      <t>Programą vykdė:</t>
    </r>
    <r>
      <rPr>
        <sz val="12"/>
        <rFont val="Times New Roman"/>
        <family val="1"/>
        <charset val="186"/>
      </rPr>
      <t xml:space="preserve"> Socialinio departamento Socialinės paramos ir Socialinio būsto skyriai,  Miesto ūkio departamento Socialinės infrastruktūros priežiūros skyrius, Investicijų ir ekonomikos departamento Projektų bei Statybos ir infrastruktūros plėtros skyriai, Finansų ir turto departamento Turto skyrius.</t>
    </r>
  </si>
  <si>
    <t>faktiškai įvykdyta –</t>
  </si>
  <si>
    <t>(pagal planą arba geriau);</t>
  </si>
  <si>
    <t>iš dalies įvykdyta –</t>
  </si>
  <si>
    <r>
      <t xml:space="preserve">Asignavimų valdytojai: </t>
    </r>
    <r>
      <rPr>
        <sz val="12"/>
        <rFont val="Times New Roman"/>
        <family val="1"/>
      </rPr>
      <t>Klaipėdos miesto savivaldybės administracija (1), Socialinių reikalų departamentas (3), Investicijų ir ekonomikos departamentas (5), Miesto ūkio departamentas (6).</t>
    </r>
    <r>
      <rPr>
        <b/>
        <sz val="12"/>
        <rFont val="Times New Roman"/>
        <family val="1"/>
      </rPr>
      <t xml:space="preserve">
</t>
    </r>
  </si>
  <si>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</si>
  <si>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</si>
  <si>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1) priemonė ir papriemonė laikoma visiškai įvykdyta, jei pasiektos visos planuotų ataskaitiniais metais vertinimo kriterijų reikšmės;</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</si>
  <si>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</si>
  <si>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Socialinės pašalpos gavėjų skaičius, tenkantis 1 tūkst. savivaldybės gyventojų (proc.)</t>
  </si>
  <si>
    <t>Perkamų (ir kompensuojamų) socialinių paslaugų vietų dalis, palyginti su savivaldybės įstaigų teikiamų paslaugų vietų skaičiumi, proc.</t>
  </si>
  <si>
    <t>Vidutinė laukimo eilėje nuo dienos socialinės globos asmens namuose paskyrimo iki jos gavimo dienos trukmė, dienų skaičius</t>
  </si>
  <si>
    <t>Vidutinė laukimo eilėje nuo pagalbos į namus paslaugos paskyrimo asmenims iki jos gavimo trukmė, dienų skaičius</t>
  </si>
  <si>
    <t>1. nupirkta butų;</t>
  </si>
  <si>
    <t>2. pastatyta butų</t>
  </si>
  <si>
    <t>Laukimo (buvimo sąraše) išsinuomoti socialinį būstą laikas (metais)</t>
  </si>
  <si>
    <t>Į Lietuvą grįžtantiems politiniams kaliniams ir tremtiniams bei jų šeimų nariams apgyvendinti įgytas butų skaičius</t>
  </si>
  <si>
    <t xml:space="preserve"> </t>
  </si>
  <si>
    <t>Asmenų su sunkia negalia, kuriems teikiamos socialinės globos paslaugos, skaičius</t>
  </si>
  <si>
    <t>SB(ESL)</t>
  </si>
  <si>
    <t>Socialinio globėjo veiklos organizavimas</t>
  </si>
  <si>
    <t>Vietos bendruomenių savivaldos programos įgyvendinimas</t>
  </si>
  <si>
    <t>Iš dalies finansuota projektų</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</si>
  <si>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</si>
  <si>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</si>
  <si>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t>SB(ESA)</t>
  </si>
  <si>
    <t xml:space="preserve"> - projekto „Jungtinio kompetencijų centro kūrimas ir išmaniųjų socialinių paslaugų senyvo amžiaus asmenims teikimas“ įgyvendinimas</t>
  </si>
  <si>
    <t>Asmenų, pasinaudojusių įdiegtomis inovatyviosiomis  paslaugomis, skaičius</t>
  </si>
  <si>
    <t xml:space="preserve"> - projekto „Lietuva – kitataučių užuovėja“ įgyvendinimas;</t>
  </si>
  <si>
    <t>0</t>
  </si>
  <si>
    <t xml:space="preserve"> - projekto „Atrask save Lietuvoje“ įgyvendinimas</t>
  </si>
  <si>
    <t xml:space="preserve"> - kovos su prekyba žmonėmis prevencinių priemonių  įgyvendinimas</t>
  </si>
  <si>
    <t xml:space="preserve"> - smurto artimoje aplinkoje prevencijos priemonių įgyvendinimas</t>
  </si>
  <si>
    <t>Prižiūrima eksploatuojamų keltuvų, vnt.</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</si>
  <si>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</si>
  <si>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 xml:space="preserve">Klaipėdos miesto integruotų investicijų teritorijos vietos veiklos grupės 2016–2022 metų vietos plėtros įgyvendinimas ir veiklų administravimas </t>
  </si>
  <si>
    <t>Vykdoma projektų, vnt.</t>
  </si>
  <si>
    <t>Darbo rinkos politikos priemonių, skirtų socialinę atskirtį patiriantiems asmenims, vykdymas</t>
  </si>
  <si>
    <t>Laikiniesiems darbams įdarbintų bedarbių skaičius per metus</t>
  </si>
  <si>
    <t>Integravimo į darbo rinką projektų veiklose dalyvaujančių asmenų skaičius per metus</t>
  </si>
  <si>
    <t>Atliktas rekonstravimas, proc</t>
  </si>
  <si>
    <t>Socialinių įstaigų patalpų šildymas</t>
  </si>
  <si>
    <t xml:space="preserve">Šîldoma įstaigų, skaičius  </t>
  </si>
  <si>
    <t>Socialinių būstų pirkimas</t>
  </si>
  <si>
    <t>Nupirkta butų</t>
  </si>
  <si>
    <t>Savivaldybės socialinio būsto fondo gyvenamųjų namų statyba žemės sklypuose Irklų g. 1 ir Rambyno g. 14A</t>
  </si>
  <si>
    <t xml:space="preserve">Butų pirkimas politiniams kaliniams ir tremtiniams bei jų šeimų nariams </t>
  </si>
  <si>
    <r>
      <t xml:space="preserve">Apyvartos lėšų likutis </t>
    </r>
    <r>
      <rPr>
        <b/>
        <sz val="10"/>
        <rFont val="Times New Roman"/>
        <family val="1"/>
        <charset val="186"/>
      </rPr>
      <t>SB(L)</t>
    </r>
  </si>
  <si>
    <r>
      <t xml:space="preserve">Europos Sąjungos finansinės paramos lėšų likučio metų pradžioje lėšos </t>
    </r>
    <r>
      <rPr>
        <b/>
        <sz val="10"/>
        <rFont val="Times New Roman"/>
        <family val="1"/>
        <charset val="186"/>
      </rPr>
      <t>SB(ESL)</t>
    </r>
  </si>
  <si>
    <r>
      <t xml:space="preserve">Europos Sąjungos paramos lėšos </t>
    </r>
    <r>
      <rPr>
        <b/>
        <sz val="10"/>
        <rFont val="Times New Roman"/>
        <family val="1"/>
        <charset val="186"/>
      </rPr>
      <t>ES</t>
    </r>
  </si>
  <si>
    <t>Asignavimai (tūkst. Eur)</t>
  </si>
  <si>
    <t>2018 m. asignavimų patvirtintas planas*</t>
  </si>
  <si>
    <t>2018 m. asignavimų patikslintas planas**</t>
  </si>
  <si>
    <t>2018 m. panaudotos lėšos (kasinės išlaidos)</t>
  </si>
  <si>
    <t>Vidutinė laukimo eilėje nuo dienos socialinės globos institucijoje paskyrimo iki jos gavimo dienos  trukmė (dienomis)</t>
  </si>
  <si>
    <t>Vidutinė laukimo eilėje nuo trumpalaikės socialinės globos paskyrimo suaugusiems su negalia ar senyvo amžiaus asmenims iki jos gavimo socialinės globos paslaugų įstaigoje trukmė, dienų skaičius</t>
  </si>
  <si>
    <t>Vidutinė laukimo eilėje nuo ilgalaikės socialinės globos paskyrimo suaugusiems su negalia ar senyvo amžiaus asmenims iki jos gavimo socialinės globos paslaugų įstaigoje trukmė, dienų skaičius</t>
  </si>
  <si>
    <t xml:space="preserve">Savivaldybės socialinio būsto fondo plėtra:
</t>
  </si>
  <si>
    <t xml:space="preserve">Būsto nuomos ar išperkamosios nuomos mokesčių dalies kompensacijomis pasinaudojusių asmenų ir šeimų skaičius </t>
  </si>
  <si>
    <t>1260</t>
  </si>
  <si>
    <t>988</t>
  </si>
  <si>
    <t>769</t>
  </si>
  <si>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</si>
  <si>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Vidutinis prižiūrimų vaikų skaičius per mėnesį (Šeimos ir vaiko gerovės centras)</t>
  </si>
  <si>
    <t>Vidutinis prižiūrimų vaikų skaičius per mėnesį (VšĮ „Vilniaus SOS vaikų kaimas“)</t>
  </si>
  <si>
    <t>Paramos teikimas labiausiai skurstantiems asmenims, įgyvendinant projektą „Parama maisto produktais IV“ (projekto Nr. EPSF-2016-V-04-01)</t>
  </si>
  <si>
    <t>Vidutinis paramos gavėjo ir (ar) bendrai su juo gyvenančių asmenų skaičius per mėnesį</t>
  </si>
  <si>
    <t>Paramos teikimas labiausiai skurstantiems asmenims, įgyvendinant projektą „Parama higienos prekėmis“ Nr. EPSF-2017-V-05-01</t>
  </si>
  <si>
    <t>Suteikta transporto paslaugų, asm.</t>
  </si>
  <si>
    <t>160</t>
  </si>
  <si>
    <t>244</t>
  </si>
  <si>
    <t>Suteikta į namus paslaugų / soc. globos asmens namuose paslaugų, asm.</t>
  </si>
  <si>
    <t>280/55</t>
  </si>
  <si>
    <t>343/80</t>
  </si>
  <si>
    <t>Suteikta paramos rūbais, avalyne, kt., asmenų skaičius</t>
  </si>
  <si>
    <t>Išduota techninės pagalbos priemonių, vnt./asm.</t>
  </si>
  <si>
    <t>1000/800</t>
  </si>
  <si>
    <t>1554/968</t>
  </si>
  <si>
    <t xml:space="preserve"> - projekto „Matyk kitą kelią“ įgyvendinimas</t>
  </si>
  <si>
    <t>Pravesta mokymų specialistams ir asmenims su regėjimo negalia, skaičius</t>
  </si>
  <si>
    <t>13</t>
  </si>
  <si>
    <t xml:space="preserve">Dienos socialinės globos paslaugos įstaigoje gavėjų skaičius </t>
  </si>
  <si>
    <t>70</t>
  </si>
  <si>
    <t>73</t>
  </si>
  <si>
    <t>Pagalbos į namus paslaugos gavėjų skaičius</t>
  </si>
  <si>
    <t>42</t>
  </si>
  <si>
    <t>Dienos socialinės globos paslaugos asmens namuose, gavėjų skaičius</t>
  </si>
  <si>
    <t>63</t>
  </si>
  <si>
    <t>Paslaugų gavėjai pageidavo  mažesnių valandų skaičiaus, todėl buvo didinamas paslaugų gavėjų skaičius.</t>
  </si>
  <si>
    <t>Intervencijų į šeimas skaičius</t>
  </si>
  <si>
    <t>14000</t>
  </si>
  <si>
    <t xml:space="preserve">Vietų skaičius trumpalaikės soc. globos paslaugai gauti </t>
  </si>
  <si>
    <t xml:space="preserve">Vietų skaičius  intensyvios krizių įveikimo pagalbos paslaugai gauti </t>
  </si>
  <si>
    <t>Organizuota tėvystės įgūdžių / globėjų (rūpintojų) mokymų sk.</t>
  </si>
  <si>
    <t>Psichosocialinės pagalbos paslaugų gavėjų skaičius</t>
  </si>
  <si>
    <t xml:space="preserve"> - projekto „Moterys ir vaikai – saugūs savo mieste“ įgyvendinimas</t>
  </si>
  <si>
    <t>Paslaugas gavusių asmenų skaičius</t>
  </si>
  <si>
    <t>Asmenų, pradėjusių gyventi savarankiškai skaičius</t>
  </si>
  <si>
    <t>Planinis vaikų skaičius</t>
  </si>
  <si>
    <t>Vaikų, gaunančių ilgalaikės globos paslaugas, skaičius</t>
  </si>
  <si>
    <t>Centralizuotas paviršinių (lietaus) nuotekų tvarkymas (paslaugos apmokėjimas)</t>
  </si>
  <si>
    <t>Įstaigų skaičius</t>
  </si>
  <si>
    <t xml:space="preserve">Dienos socialinę globą per mėn. gaunančių asmenų  su psichine negalia dienos socialinės globos centre skaičius </t>
  </si>
  <si>
    <t xml:space="preserve">Vidutiniškai per mėn. paslaugas gaunančių socialinės rizikos ir rizikos šeimų vaikų skaičius </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</si>
  <si>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</si>
  <si>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</si>
  <si>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</si>
  <si>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</si>
  <si>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Pritaikyta būstų vaikams su sunkia negalia, vaikų skaičius</t>
  </si>
  <si>
    <t xml:space="preserve">Parengta vadybos kokybės sistemos ar metodo įgyvendinimo / įdiegimo įstaigose dokumentacija, vnt. </t>
  </si>
  <si>
    <r>
      <rPr>
        <b/>
        <sz val="10"/>
        <rFont val="Times New Roman"/>
        <family val="1"/>
      </rPr>
      <t>Laikino apnakvindinimo namų steigimas</t>
    </r>
    <r>
      <rPr>
        <sz val="10"/>
        <rFont val="Times New Roman"/>
        <family val="1"/>
        <charset val="186"/>
      </rPr>
      <t xml:space="preserve"> (Dubysos g.) </t>
    </r>
  </si>
  <si>
    <r>
      <t xml:space="preserve">Laikino apgyvendinimo namų infrastruktūros modernizavimas </t>
    </r>
    <r>
      <rPr>
        <sz val="10"/>
        <rFont val="Times New Roman"/>
        <family val="1"/>
        <charset val="186"/>
      </rPr>
      <t xml:space="preserve">(Šilutės pl. 8, nakvynės namai) </t>
    </r>
  </si>
  <si>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</si>
  <si>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</si>
  <si>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Planinė kriterijaus reikšmė nepasiekta, nes nepritarta buto pirkimo siūlymui (Klaipėdos miesto savivaldybės tarybos 2018-12-13 posėdžio protokolas Nr. T-11).</t>
  </si>
  <si>
    <t>Pastatytas daugiabutis gyv. namas Irklų g. 1, vnt.</t>
  </si>
  <si>
    <t>16 vietų automobilių stovėjimo aikštelės įrengimas šalia žemės sklypo Irklų g. 2</t>
  </si>
  <si>
    <t xml:space="preserve">Įrengta automobilių stovėjimo aikštelė, proc. </t>
  </si>
  <si>
    <t>Suremontuota butų, skaičius</t>
  </si>
  <si>
    <t>Sutrumpėjęs nuomininkų pasirinktos valstybės garantijos įvykdymo terminas, mėnesiai</t>
  </si>
  <si>
    <t>Nupirkta butų, vnt.</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</si>
  <si>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</si>
  <si>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</si>
  <si>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r>
      <t xml:space="preserve">Pajamų įmokų už paslaugas likutis </t>
    </r>
    <r>
      <rPr>
        <b/>
        <sz val="10"/>
        <rFont val="Times New Roman"/>
        <family val="1"/>
      </rPr>
      <t>SB(SPL)</t>
    </r>
  </si>
  <si>
    <r>
      <t xml:space="preserve">2018 M. KLAIPĖDOS MIESTO SAVIVALDYBĖS </t>
    </r>
    <r>
      <rPr>
        <b/>
        <sz val="12"/>
        <rFont val="Times New Roman"/>
        <family val="1"/>
      </rPr>
      <t xml:space="preserve">                        
SOCIALINĖS ATSKIRTIES MAŽINIMO  </t>
    </r>
    <r>
      <rPr>
        <b/>
        <sz val="12"/>
        <rFont val="Times New Roman"/>
        <family val="1"/>
        <charset val="186"/>
      </rPr>
      <t>PROGRAMOS (NR. 12)</t>
    </r>
  </si>
  <si>
    <r>
      <t xml:space="preserve">Iš </t>
    </r>
    <r>
      <rPr>
        <b/>
        <sz val="12"/>
        <rFont val="Times New Roman"/>
        <family val="1"/>
        <charset val="186"/>
      </rPr>
      <t>2018 m. planuotų įvykdyti</t>
    </r>
    <r>
      <rPr>
        <sz val="12"/>
        <rFont val="Times New Roman"/>
        <family val="1"/>
        <charset val="186"/>
      </rPr>
      <t xml:space="preserve"> 34 priemonių ir papriemonių (kurioms patvirtinti / skirti asignavimai): </t>
    </r>
  </si>
  <si>
    <t>SB'</t>
  </si>
  <si>
    <t>SB(ES)'</t>
  </si>
  <si>
    <t>SB(L)'</t>
  </si>
  <si>
    <t>(blogiau, nei planuota).</t>
  </si>
  <si>
    <t>Dėl pasikeitusios ekonominės, demografinės situacijos sumažėjo besikreipiančių bei išmokas gaunančių asmenų skaičius.</t>
  </si>
  <si>
    <t>Dėl vykdomos socialinių paslaugų plėtros, perkant paslaugas didėja NVO ir privačių įstaigų suteikiamų paslaugų kiekis.</t>
  </si>
  <si>
    <t xml:space="preserve">Teikiamų paslaugų rūšys: bendrosios socialinės paslaugos;  pagalba į namus; socialinių įgūdžių ugdymas ir palaikymas; laikinas apnakvindinimas; intensyvi krizių įveikimo pagalba; dienos socialinė globa; trumpalaikė socialinė globa; ilgalaikė socialinė globa.
</t>
  </si>
  <si>
    <t>Pateikę prašymus visi asmenys gauna bendrąsias socialines paslaugas.</t>
  </si>
  <si>
    <t>Pateikę prašymus visi asmenys gauna trumpalaikės socialines globos paslaugas.</t>
  </si>
  <si>
    <t>Augantis paslaugos poreikis tenkinamas greičiau, nei planuota, išplėstas globos įstaigų, su kuriomis sudaromos sutartys, skaičius.</t>
  </si>
  <si>
    <t>Paslaugą teikia biudžetinės ir viešosios įstaigos. Nupirkta paslaugos apimtis yra vidutiniškai 145 paslaugos gavėjų per mėn. Šiuo metu paslauga teikiama 116 asmenų. 2018 m. pabaigoje šios paslaugos laukė 63 asmenys, kurie pageidavo paslaugas gauti ne iš viešosios įstaigos (kur paslaugą galėtų gauti iš karto), o iš biudžetinės įstaigos, kurioje šios paslaugos teikimui yra susidariusi eilė.</t>
  </si>
  <si>
    <t>Socialinio būsto fondui  už savivaldybės biudžeto lėšas (350 tūkst. Eur) nupirkti ir apgyvendinti 9 vieno kambario butai.</t>
  </si>
  <si>
    <t>10 vieno kambario butų nupirkti nepavyko dėl 2018 m. pakilusių privataus būsto kainų Klaipėdos mieste, socialinio būsto fondui pastatytas gyvenamasis namas eksploatuoti neperduotas.</t>
  </si>
  <si>
    <t>Pasiekti planuotą rodiklį sutrukdė tai, kad, kaip buvo planuota, 2018 m. IV ketvirtį nebuvo perduotas eksploatuoti socialinio būsto fondo gyvenamasis namas Irklų g. 1, kuriame  buvo numatyta 2018 m. išnuomoti butus 36 asmenims ir šeimoms.</t>
  </si>
  <si>
    <t>Sutikimus su pateiktais siūlymais pasinaudoti kompensacija pateikė 59 asmenys ir šeimos, tačiau per 3 mėnesių laikotarpį reikalavimus atitinkančius dokumentus pateikė tik 10 iš jų, 21 asmuo ir šeimos persikėlė iš 2017 m.</t>
  </si>
  <si>
    <t>Dėl pasikeitusios ekonominės, demografinės situacijos sumažėjo besikreipiančių asmenų bei išmokas gaunančių asmenų skaičius.</t>
  </si>
  <si>
    <t>Laidojimo pašalpos išmokamas pagal įvykusį faktą.</t>
  </si>
  <si>
    <t>Nuo 2018 m. liepos 1 d. patvirtinta 41 pareigybė darbui su šeimomis.</t>
  </si>
  <si>
    <t>Dėl išmokos kreipėsi mažiau gavėjų, nei buvo planuota. Nemokamą maitinimą gaunančių mokinių skaičius įstaigoje mažėjo dėl vaikų sergamumo.</t>
  </si>
  <si>
    <t>Mažėjant mokinių, gaunančių nemokamą maitinimą, atitinkamai mažėjo gamybos išlaidos.</t>
  </si>
  <si>
    <t>Nėra norinčių asmenų ar šeimų teikti budinčių globotojų paslaugas Klaipėdos mieste.</t>
  </si>
  <si>
    <t>Gautos 35 paraiškos. Išplėstinių seniūnaičių sueigų sprendimais buvo atrinktas 21 projektas, atitikęs Nevyriausybinių organizacijų ir bendruomeninės veiklos stiprinimo 2017–2019 metų veiksmų plano įgyvendinimo 2.3 priemonės „Remti bendruomeninę veiklą savivaldybėse“ įgyvendinimo Klaipėdos miesto savivaldybėje aprašo kriterijus.</t>
  </si>
  <si>
    <t>Gavėjų skaičius didesnis, nei planuota, nes Lietuvos Respublikos Seimas 2017-12-05 priėmė Išmokų vaikams įstatymo Nr. I-621 pakeitimo įstatymą Nr. XIII-822, kuris įteisino išmokos vaikui (vaiko pinigų) mokėjimą visiems vaikams, nevertinant šeimos gaunamų pajamų.</t>
  </si>
  <si>
    <t>Dėl patvirtintos naujos tvarkos sumažėjo galinčių gauti paramą asmenų skaičius, parama skiriama tikslingiau.</t>
  </si>
  <si>
    <t>Mažesnis norinčių dalyvauti viešuosiuose darbuose asmenų skaičius, negu planuota.</t>
  </si>
  <si>
    <t>Į projekto įgyvendinimo veiklas buvo įtrauktas didesnis asmenų skaičius.</t>
  </si>
  <si>
    <t>Aptarnaujamų asmenų skaičius padidėjo, nes dalis asmenų negalėjo susimokėti už paslaugą (nuo 30 iki 50 proc. pajamų) ir paslaugos buvo teikiamos mažesnį valandų skaičius (vietoj 8 val. tik 4‒6 val.).</t>
  </si>
  <si>
    <t>Suteikta paslauga pagal poreikį.</t>
  </si>
  <si>
    <t>Migracijos centras atsiuntė tik 6 asmenis, kuriems reikėjo suteikti integracijos paslaugas.</t>
  </si>
  <si>
    <t>Migracijos centras nėra atsiuntęs asmenų, kuriems būtų reikėję suteikti integracijos paslaugas. Pabėgėlių priėmimo centras 2019-01-21 nutraukė jungtinės veiklos sutartį dėl projekto „Atrask save Lietuvoje“.</t>
  </si>
  <si>
    <t>Paslaugų gavėjai susimažino lankomų dienų skaičių, todėl į atsiradusias laisvas dienas buvo priimti nauji paslaugų gavėjai.</t>
  </si>
  <si>
    <t>Remiantis projekto Vadovaujančio partnerio (Leader Partner) koordinatoriaus išaiškinimu, projekte nėra atskirai numatytas paslaugų teikimas, projekto tikslas – teikiamų paslaugų kokybės gerinimas, todėl projekto naudą gavusių asmenų kiekis skaičiuojamas kaip visų klientų, kuriems teikiamos paslaugos projekto partnerio įstaigoje, skaičius (Pagalbos moterims padalinio 2018 m. paslaugų gavėjų skaičius – 265 asmenys (moterys ir vaikai).</t>
  </si>
  <si>
    <t>Dėl kapitalinio remonto darbų įstaigai laikinai išsikėlus į kitas patalpas, paslaugų gavėjų skaičius sumažintas 30-čia vietų.</t>
  </si>
  <si>
    <t>Kriterijus neįgyvendintas dėl sumažinto paslaugų gavėjų skaičiaus įstaigoje (vyksta kapitalinio remonto darbai).</t>
  </si>
  <si>
    <t>Savivaldybės administracijos direktoriaus 2018 m. rugpjūčio 1 d. Nr. AD1-1926 įsakymu patvirtintas vietų skaičius.</t>
  </si>
  <si>
    <t>Savivaldybės administracijos direktoriaus 2018 m. rugpjūčio 1 d. Nr. AD1-1927  įsakymu patvirtintas vietų skaičius.</t>
  </si>
  <si>
    <t>Savivaldybės administracijos direktoriaus 2018 m. rugpjūčio 1 d. Nr. AD1-1928 įsakymu patvirtintas vietų skaičius.</t>
  </si>
  <si>
    <t>Sumažėjo nemokamą maitinimą gaunančių asmenų skaičius.</t>
  </si>
  <si>
    <r>
      <t xml:space="preserve">Pateiktos 55 projektų paraiškos, finansuoti 37 (reabilitacijos projektams pateikta 18 paraiškų, finansuota 14 projektų; socialinių paslaugų infrastruktūrai gerinti projektams </t>
    </r>
    <r>
      <rPr>
        <sz val="10"/>
        <rFont val="Times New Roman"/>
        <family val="1"/>
        <charset val="186"/>
      </rPr>
      <t>‒</t>
    </r>
    <r>
      <rPr>
        <sz val="10"/>
        <rFont val="Times New Roman"/>
        <family val="1"/>
      </rPr>
      <t xml:space="preserve"> 4, finansuoti 3 projektai; NVO projektams 33 paraiškos 33, finansuota 20 projektų).</t>
    </r>
  </si>
  <si>
    <t xml:space="preserve">Viešųjų pirkimų būdu nupirkti projekto paraiškos rengėjai. Apmokėtas projekto paraiškos parengimas. Pasirašyta projekto sutartis su agentūra, įvykdytas projekto veiklų pirkimas, o projekto veiklos perkeltos į 2019 m. </t>
  </si>
  <si>
    <t>Projektas parengtas, rangos darbai vėluoja dėl atsiradusių nenumatyų darbų ir techninio projekto neatitikimų pagal pasirašytą sutartį. Rangos sutartis pratęsta 2 mėn.</t>
  </si>
  <si>
    <t>Dėl techninio projekto parengimo vėlavimo nebuvo pradėtos procedūros rangovui parinkti. Atlikta techninio projekto ekspertizė. Pradėtos statybą leidžiančio dokumento išdavimo procedūros.</t>
  </si>
  <si>
    <t>Vykdomi rangos darbai su darbo projekto parengimu. Atlikimo terminas 2019-05-24.</t>
  </si>
  <si>
    <t>Techninis projektas neparengtas, nes pirkimas, kuris buvo vykdytas ekonominio vertinimo būdų, neįvyko, atplėšta kaina buvo didesnė, nei nurodyta pirkimo dokumentuose. Konkursas buvo vykdomas pakartotinai. Techninio projekto parengimo terminas 2019-06-28.</t>
  </si>
  <si>
    <t>10 vieno kambario butų nupirkti nepavyko dėl 2018 m. pakilusių privataus būsto kainų Klaipėdos mieste.</t>
  </si>
  <si>
    <t>2018-11 statybos darbai  Irklų g. 1 baigti, tačiau negautas statybos užbaigimo aktas dėl Klaipėdos apskrities priešgaisrinės gelbėjimo valdybos atstovo pastabų. Rangos darbų atlikimo terminas pratęstas iki 2019-02.
2018-10-12 pasirašyta daugiabučio gyvenamojo namo statybos darbų Rambyno g. 14A sutartis. Statybvietės perdavimo aktas pasirašytas 2018-11-29 – rangovas negalėjo vykdyti statybos darbų dėl neiškeltų veikiančių AB „Energijos skirstymo operatorius“ elektros tinklų sklype bei klaidų techniniame darbo projekte.</t>
  </si>
  <si>
    <t>Gyvenamųjų patalpų nuompinigių lėšų per kalendorinius metus surenkama  žymiai daugiau, nei šių lėšų reikia išlaidoms  pagal numatytas priemones apmokėti. Sukauptą lėšų likutį numatoma panaudoti apmokant daugiabučių namų faktines modernizacijos išlaidas  savivaldybei tenkančia dalimi.</t>
  </si>
  <si>
    <t>________________________________________</t>
  </si>
  <si>
    <t>*Pagal Klaipėdos miesto savivaldybės tarybos 2018 m. sausio 25 d. sprendimą Nr. T2-6.</t>
  </si>
  <si>
    <t>**Pagal Klaipėdos miesto savivaldybės tarybos 2018 m. spalio 25 d. sprendimą Nr. T2-221.</t>
  </si>
  <si>
    <t>Didėja paslaugos poreikis. Iš Lietuvos Respublikos socialinės apsaugos ir darbo ministerija ministerijos negavus planuotos pagal poreikį dotacijos nebuvo vykdoma paslaugos plėtra.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</si>
</sst>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b/>
      <sz val="12"/>
      <name val="Times New Roman"/>
      <family val="1"/>
      <charset val="186"/>
    </font>
    <font>
      <sz val="11"/>
      <name val="Calibri"/>
      <family val="2"/>
      <charset val="186"/>
      <scheme val="minor"/>
    </font>
    <font>
      <sz val="10"/>
      <color rgb="FFFF0000"/>
      <name val="Times New Roman"/>
      <family val="1"/>
      <charset val="186"/>
    </font>
    <font>
      <sz val="10"/>
      <color rgb="FFFF0000"/>
      <name val="Times New Roman"/>
      <family val="1"/>
    </font>
    <font>
      <sz val="11"/>
      <color theme="0"/>
      <name val="Calibri"/>
      <family val="2"/>
      <charset val="186"/>
      <scheme val="minor"/>
    </font>
    <font>
      <sz val="8"/>
      <name val="Times New Roman"/>
      <family val="1"/>
    </font>
    <font>
      <sz val="8"/>
      <name val="Times New Roman"/>
      <family val="1"/>
      <charset val="186"/>
    </font>
    <font>
      <strike/>
      <sz val="10"/>
      <color rgb="FFFF0000"/>
      <name val="Times New Roman"/>
      <family val="1"/>
      <charset val="186"/>
    </font>
    <font>
      <strike/>
      <sz val="10"/>
      <color rgb="FFFF0000"/>
      <name val="Times New Roman"/>
      <family val="1"/>
    </font>
    <font>
      <b/>
      <sz val="10"/>
      <color rgb="FFFF0000"/>
      <name val="Times New Roman"/>
      <family val="1"/>
    </font>
    <font>
      <b/>
      <strike/>
      <sz val="10"/>
      <color rgb="FFFF0000"/>
      <name val="Times New Roman"/>
      <family val="1"/>
    </font>
    <font>
      <b/>
      <strike/>
      <sz val="10"/>
      <name val="Times New Roman"/>
      <family val="1"/>
      <charset val="186"/>
    </font>
    <font>
      <sz val="10"/>
      <color rgb="FF00B050"/>
      <name val="Times New Roman"/>
      <family val="1"/>
    </font>
    <font>
      <b/>
      <sz val="11"/>
      <name val="Calibri"/>
      <family val="2"/>
      <charset val="186"/>
      <scheme val="minor"/>
    </font>
    <font>
      <sz val="11"/>
      <name val="Times New Roman"/>
      <family val="1"/>
      <charset val="186"/>
    </font>
    <font>
      <b/>
      <sz val="11"/>
      <name val="Times New Roman"/>
      <family val="1"/>
      <charset val="186"/>
    </font>
    <font>
      <sz val="10"/>
      <name val="Calibri"/>
      <family val="2"/>
      <charset val="186"/>
      <scheme val="minor"/>
    </font>
    <font>
      <i/>
      <sz val="10"/>
      <name val="Times New Roman"/>
      <family val="1"/>
      <charset val="186"/>
    </font>
    <font>
      <i/>
      <sz val="10"/>
      <color theme="0"/>
      <name val="Times New Roman"/>
      <family val="1"/>
      <charset val="186"/>
    </font>
  </fonts>
  <fills count="1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
      <patternFill patternType="solid">
        <fgColor rgb="FFFFCCFF"/>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79998168889431442"/>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3183">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6" fillId="6" borderId="7" xfId="0" applyNumberFormat="1" applyFont="1" applyFill="1" applyBorder="1" applyAlignment="1">
      <alignment vertical="top" wrapText="1"/>
    </xf>
    <xf numFmtId="3" fontId="3" fillId="0" borderId="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3" fontId="4" fillId="0" borderId="46" xfId="0" applyNumberFormat="1" applyFont="1" applyBorder="1" applyAlignment="1">
      <alignment vertical="top" wrapText="1"/>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4" fillId="0" borderId="44" xfId="0" applyNumberFormat="1" applyFont="1" applyBorder="1" applyAlignment="1">
      <alignment horizontal="center" vertical="top"/>
    </xf>
    <xf numFmtId="3" fontId="3" fillId="0" borderId="31" xfId="0" applyNumberFormat="1" applyFont="1" applyBorder="1" applyAlignment="1">
      <alignment horizontal="center" vertical="top"/>
    </xf>
    <xf numFmtId="164" fontId="4" fillId="0" borderId="30" xfId="0" applyNumberFormat="1" applyFont="1" applyFill="1" applyBorder="1" applyAlignment="1">
      <alignment horizontal="center" vertical="top"/>
    </xf>
    <xf numFmtId="49" fontId="4" fillId="0" borderId="50" xfId="0" applyNumberFormat="1" applyFont="1" applyBorder="1" applyAlignment="1">
      <alignment horizontal="center" vertical="top"/>
    </xf>
    <xf numFmtId="3" fontId="3" fillId="0" borderId="51" xfId="0" applyNumberFormat="1" applyFont="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3" fontId="4" fillId="0" borderId="15" xfId="0" applyNumberFormat="1" applyFont="1" applyBorder="1" applyAlignment="1">
      <alignment vertical="top"/>
    </xf>
    <xf numFmtId="3" fontId="4" fillId="0" borderId="39"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4" fillId="0" borderId="25" xfId="0" applyNumberFormat="1" applyFont="1" applyFill="1" applyBorder="1" applyAlignment="1">
      <alignment vertical="top" wrapText="1"/>
    </xf>
    <xf numFmtId="3" fontId="4" fillId="0" borderId="6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164" fontId="1" fillId="0" borderId="2"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49" fontId="4" fillId="0" borderId="4"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49" fontId="4" fillId="0" borderId="22" xfId="0" applyNumberFormat="1" applyFont="1" applyBorder="1" applyAlignment="1">
      <alignment horizontal="center" vertical="top"/>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6" fillId="7" borderId="7" xfId="0" applyNumberFormat="1" applyFont="1" applyFill="1" applyBorder="1" applyAlignment="1">
      <alignment vertical="top" wrapText="1"/>
    </xf>
    <xf numFmtId="3" fontId="6" fillId="0" borderId="35"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top" wrapText="1"/>
    </xf>
    <xf numFmtId="3" fontId="1" fillId="7" borderId="7"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3" fontId="4" fillId="0" borderId="7" xfId="0" applyNumberFormat="1" applyFont="1" applyBorder="1" applyAlignment="1">
      <alignment vertical="top" wrapText="1"/>
    </xf>
    <xf numFmtId="3" fontId="4" fillId="6" borderId="37"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3" fillId="0" borderId="0" xfId="0" applyNumberFormat="1" applyFont="1" applyFill="1" applyBorder="1" applyAlignment="1">
      <alignment horizontal="center" vertical="top" textRotation="180" wrapText="1"/>
    </xf>
    <xf numFmtId="3" fontId="3" fillId="0" borderId="14" xfId="0" applyNumberFormat="1" applyFont="1" applyBorder="1" applyAlignment="1">
      <alignment horizontal="center" vertical="top"/>
    </xf>
    <xf numFmtId="164" fontId="4" fillId="0" borderId="31"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30"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3" fontId="4" fillId="0" borderId="16" xfId="0" applyNumberFormat="1" applyFont="1" applyBorder="1" applyAlignment="1">
      <alignment vertical="top"/>
    </xf>
    <xf numFmtId="49" fontId="4" fillId="0" borderId="4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7" borderId="0"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13" xfId="0" applyNumberFormat="1" applyFont="1" applyBorder="1" applyAlignment="1">
      <alignment vertical="top"/>
    </xf>
    <xf numFmtId="49" fontId="4" fillId="0" borderId="13" xfId="0" applyNumberFormat="1" applyFont="1" applyBorder="1" applyAlignment="1">
      <alignment horizontal="center" vertical="top"/>
    </xf>
    <xf numFmtId="3" fontId="3" fillId="6" borderId="16" xfId="0" applyNumberFormat="1" applyFont="1" applyFill="1" applyBorder="1" applyAlignment="1">
      <alignment horizontal="center" vertical="top" wrapText="1"/>
    </xf>
    <xf numFmtId="49" fontId="4" fillId="0" borderId="13" xfId="0" applyNumberFormat="1" applyFont="1" applyBorder="1" applyAlignment="1">
      <alignment vertical="top" wrapText="1"/>
    </xf>
    <xf numFmtId="164" fontId="4" fillId="0" borderId="0" xfId="0" applyNumberFormat="1" applyFont="1" applyFill="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49" fontId="4" fillId="0" borderId="13" xfId="0" applyNumberFormat="1" applyFont="1" applyFill="1" applyBorder="1" applyAlignment="1">
      <alignment horizontal="center" vertical="top" wrapText="1"/>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49" fontId="4" fillId="0" borderId="50"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xf>
    <xf numFmtId="3" fontId="4" fillId="0" borderId="25" xfId="0" applyNumberFormat="1" applyFont="1" applyFill="1" applyBorder="1" applyAlignment="1">
      <alignment vertical="top"/>
    </xf>
    <xf numFmtId="3" fontId="4" fillId="0" borderId="62" xfId="0" applyNumberFormat="1" applyFont="1" applyFill="1" applyBorder="1" applyAlignment="1">
      <alignment vertical="top"/>
    </xf>
    <xf numFmtId="164" fontId="1" fillId="7" borderId="3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3" fontId="3" fillId="0" borderId="36" xfId="0" applyNumberFormat="1" applyFont="1" applyFill="1" applyBorder="1" applyAlignment="1">
      <alignment vertical="center" textRotation="90" wrapText="1"/>
    </xf>
    <xf numFmtId="164" fontId="4" fillId="7" borderId="37"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3" fillId="0" borderId="39" xfId="0" applyNumberFormat="1" applyFont="1" applyFill="1" applyBorder="1" applyAlignment="1">
      <alignment vertical="center" textRotation="90" wrapText="1"/>
    </xf>
    <xf numFmtId="164" fontId="4" fillId="7" borderId="41"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49" fontId="4" fillId="0" borderId="42" xfId="0" applyNumberFormat="1" applyFont="1" applyFill="1" applyBorder="1" applyAlignment="1">
      <alignment horizontal="center" vertical="top"/>
    </xf>
    <xf numFmtId="3" fontId="4" fillId="0" borderId="41" xfId="0" applyNumberFormat="1" applyFont="1" applyBorder="1" applyAlignment="1">
      <alignment vertical="top"/>
    </xf>
    <xf numFmtId="164" fontId="4" fillId="0" borderId="15" xfId="0" applyNumberFormat="1" applyFont="1" applyFill="1" applyBorder="1" applyAlignment="1">
      <alignment horizontal="center" vertical="top"/>
    </xf>
    <xf numFmtId="3" fontId="4" fillId="6" borderId="48" xfId="0" applyNumberFormat="1" applyFont="1" applyFill="1" applyBorder="1" applyAlignment="1">
      <alignment vertical="top" wrapText="1"/>
    </xf>
    <xf numFmtId="3" fontId="4" fillId="6" borderId="16" xfId="0" applyNumberFormat="1" applyFont="1" applyFill="1" applyBorder="1" applyAlignment="1">
      <alignment horizontal="center" vertical="top" wrapText="1"/>
    </xf>
    <xf numFmtId="0" fontId="4" fillId="6" borderId="46" xfId="0" applyFont="1" applyFill="1" applyBorder="1" applyAlignment="1">
      <alignment vertical="top" wrapText="1"/>
    </xf>
    <xf numFmtId="0" fontId="4" fillId="0" borderId="41" xfId="0" applyFont="1" applyFill="1" applyBorder="1" applyAlignment="1">
      <alignment vertical="top" wrapText="1"/>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3" fillId="4" borderId="36" xfId="0" applyNumberFormat="1" applyFont="1" applyFill="1" applyBorder="1" applyAlignment="1">
      <alignment vertical="top" wrapText="1"/>
    </xf>
    <xf numFmtId="3" fontId="3" fillId="5" borderId="4" xfId="0" applyNumberFormat="1" applyFont="1" applyFill="1" applyBorder="1" applyAlignment="1">
      <alignment vertical="top" wrapText="1"/>
    </xf>
    <xf numFmtId="3" fontId="3" fillId="0" borderId="7" xfId="0" applyNumberFormat="1" applyFont="1" applyBorder="1" applyAlignment="1">
      <alignment vertical="top" wrapText="1"/>
    </xf>
    <xf numFmtId="3" fontId="3" fillId="4" borderId="39" xfId="0" applyNumberFormat="1" applyFont="1" applyFill="1" applyBorder="1" applyAlignment="1">
      <alignment vertical="top" wrapText="1"/>
    </xf>
    <xf numFmtId="3" fontId="3" fillId="5" borderId="13" xfId="0" applyNumberFormat="1" applyFont="1" applyFill="1" applyBorder="1" applyAlignment="1">
      <alignment vertical="top" wrapText="1"/>
    </xf>
    <xf numFmtId="3" fontId="4" fillId="0" borderId="48" xfId="0" applyNumberFormat="1" applyFont="1" applyBorder="1" applyAlignment="1">
      <alignment vertical="top" wrapText="1"/>
    </xf>
    <xf numFmtId="3" fontId="4" fillId="0" borderId="39" xfId="0" applyNumberFormat="1" applyFont="1" applyFill="1" applyBorder="1" applyAlignment="1">
      <alignment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2" fillId="0" borderId="0" xfId="0" applyNumberFormat="1" applyFont="1" applyBorder="1" applyAlignment="1">
      <alignment horizontal="center" wrapText="1"/>
    </xf>
    <xf numFmtId="49" fontId="2" fillId="0" borderId="13" xfId="0" applyNumberFormat="1" applyFont="1" applyBorder="1" applyAlignment="1">
      <alignment horizontal="center" vertical="top"/>
    </xf>
    <xf numFmtId="0" fontId="4" fillId="0" borderId="0" xfId="0" applyFont="1" applyFill="1" applyBorder="1" applyAlignment="1">
      <alignment horizontal="left" vertical="top" wrapText="1"/>
    </xf>
    <xf numFmtId="3" fontId="2" fillId="0" borderId="1" xfId="0" applyNumberFormat="1" applyFont="1" applyBorder="1" applyAlignment="1">
      <alignment horizontal="center" wrapText="1"/>
    </xf>
    <xf numFmtId="49" fontId="2" fillId="0" borderId="22" xfId="0" applyNumberFormat="1" applyFont="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6" xfId="0"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3" fontId="3" fillId="4" borderId="36" xfId="0" applyNumberFormat="1" applyFont="1" applyFill="1" applyBorder="1" applyAlignment="1">
      <alignment vertical="top"/>
    </xf>
    <xf numFmtId="49" fontId="6" fillId="7" borderId="5" xfId="0" applyNumberFormat="1" applyFont="1" applyFill="1" applyBorder="1" applyAlignment="1">
      <alignment horizontal="center" vertical="top"/>
    </xf>
    <xf numFmtId="3" fontId="6" fillId="7" borderId="37" xfId="0" applyNumberFormat="1" applyFont="1" applyFill="1" applyBorder="1" applyAlignment="1">
      <alignment vertical="top" wrapText="1"/>
    </xf>
    <xf numFmtId="3" fontId="6" fillId="0" borderId="37"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center" wrapText="1"/>
    </xf>
    <xf numFmtId="3" fontId="6" fillId="0" borderId="6" xfId="0" applyNumberFormat="1" applyFont="1" applyBorder="1" applyAlignment="1">
      <alignment horizontal="center" vertical="center"/>
    </xf>
    <xf numFmtId="3" fontId="4" fillId="7" borderId="6"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4" xfId="0" applyNumberFormat="1" applyFont="1" applyFill="1" applyBorder="1" applyAlignment="1">
      <alignment vertical="top" wrapText="1"/>
    </xf>
    <xf numFmtId="3" fontId="4" fillId="7" borderId="6" xfId="0" applyNumberFormat="1" applyFont="1" applyFill="1" applyBorder="1" applyAlignment="1">
      <alignment vertical="top" wrapText="1"/>
    </xf>
    <xf numFmtId="3" fontId="3" fillId="4" borderId="39" xfId="0" applyNumberFormat="1" applyFont="1" applyFill="1" applyBorder="1" applyAlignment="1">
      <alignment vertical="top"/>
    </xf>
    <xf numFmtId="49" fontId="6" fillId="7" borderId="14" xfId="0" applyNumberFormat="1" applyFont="1" applyFill="1" applyBorder="1" applyAlignment="1">
      <alignment horizontal="center" vertical="top"/>
    </xf>
    <xf numFmtId="3" fontId="6" fillId="0" borderId="43" xfId="0" applyNumberFormat="1" applyFont="1" applyFill="1" applyBorder="1" applyAlignment="1">
      <alignment horizontal="center" vertical="center" wrapText="1"/>
    </xf>
    <xf numFmtId="49" fontId="1" fillId="0" borderId="44" xfId="0" applyNumberFormat="1" applyFont="1" applyBorder="1" applyAlignment="1">
      <alignment horizontal="center" vertical="top" wrapText="1"/>
    </xf>
    <xf numFmtId="3" fontId="4" fillId="7" borderId="40"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wrapText="1"/>
    </xf>
    <xf numFmtId="3" fontId="6" fillId="0" borderId="39" xfId="0" applyNumberFormat="1" applyFont="1" applyFill="1" applyBorder="1" applyAlignment="1">
      <alignment vertical="center" wrapText="1"/>
    </xf>
    <xf numFmtId="49" fontId="4" fillId="0" borderId="0" xfId="0" applyNumberFormat="1" applyFont="1" applyBorder="1" applyAlignment="1">
      <alignment vertical="top"/>
    </xf>
    <xf numFmtId="3" fontId="6" fillId="6" borderId="54" xfId="0" applyNumberFormat="1" applyFont="1" applyFill="1" applyBorder="1" applyAlignment="1">
      <alignment vertical="center"/>
    </xf>
    <xf numFmtId="164" fontId="4" fillId="7" borderId="39"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center" wrapText="1"/>
    </xf>
    <xf numFmtId="49" fontId="1" fillId="0" borderId="13" xfId="0" applyNumberFormat="1" applyFont="1" applyBorder="1" applyAlignment="1">
      <alignment horizontal="center" vertical="center" wrapText="1"/>
    </xf>
    <xf numFmtId="3" fontId="6" fillId="6" borderId="54" xfId="0" applyNumberFormat="1" applyFont="1" applyFill="1" applyBorder="1" applyAlignment="1">
      <alignment horizontal="center" vertical="center"/>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164" fontId="4" fillId="7" borderId="52" xfId="0" applyNumberFormat="1" applyFont="1" applyFill="1" applyBorder="1" applyAlignment="1">
      <alignment horizontal="center" vertical="top" wrapText="1"/>
    </xf>
    <xf numFmtId="3" fontId="4" fillId="7" borderId="41" xfId="0" applyNumberFormat="1" applyFont="1" applyFill="1" applyBorder="1" applyAlignment="1">
      <alignment vertical="top" wrapText="1"/>
    </xf>
    <xf numFmtId="3" fontId="4" fillId="7" borderId="41"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3" fillId="0" borderId="39" xfId="0" applyNumberFormat="1" applyFont="1" applyBorder="1" applyAlignment="1">
      <alignment vertical="center" textRotation="90"/>
    </xf>
    <xf numFmtId="0" fontId="4" fillId="0" borderId="30" xfId="0" applyFont="1" applyFill="1" applyBorder="1" applyAlignment="1">
      <alignment vertical="top" wrapText="1"/>
    </xf>
    <xf numFmtId="0" fontId="4" fillId="0" borderId="11" xfId="0" applyFont="1" applyFill="1" applyBorder="1" applyAlignment="1">
      <alignment horizontal="center" vertical="top"/>
    </xf>
    <xf numFmtId="3" fontId="4" fillId="0" borderId="44" xfId="0" applyNumberFormat="1" applyFont="1" applyFill="1" applyBorder="1" applyAlignment="1">
      <alignment vertical="top"/>
    </xf>
    <xf numFmtId="3" fontId="4" fillId="0" borderId="45" xfId="0" applyNumberFormat="1" applyFont="1" applyFill="1" applyBorder="1" applyAlignment="1">
      <alignment vertical="top"/>
    </xf>
    <xf numFmtId="3" fontId="2" fillId="0" borderId="0" xfId="0" applyNumberFormat="1" applyFont="1" applyBorder="1"/>
    <xf numFmtId="3" fontId="4" fillId="7" borderId="49" xfId="0" applyNumberFormat="1" applyFont="1" applyFill="1" applyBorder="1" applyAlignment="1">
      <alignment vertical="top" wrapText="1"/>
    </xf>
    <xf numFmtId="3" fontId="4" fillId="0" borderId="52" xfId="0" applyNumberFormat="1" applyFont="1" applyFill="1" applyBorder="1" applyAlignment="1">
      <alignment vertical="top"/>
    </xf>
    <xf numFmtId="3" fontId="6" fillId="0" borderId="39" xfId="0" applyNumberFormat="1" applyFont="1" applyFill="1" applyBorder="1" applyAlignment="1">
      <alignment horizontal="center" vertical="top" wrapText="1"/>
    </xf>
    <xf numFmtId="49" fontId="1" fillId="0" borderId="13" xfId="0" applyNumberFormat="1" applyFont="1" applyBorder="1" applyAlignment="1">
      <alignment horizontal="center" vertical="top" wrapText="1"/>
    </xf>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center"/>
    </xf>
    <xf numFmtId="3" fontId="4" fillId="0" borderId="43" xfId="0" applyNumberFormat="1" applyFont="1" applyBorder="1" applyAlignment="1">
      <alignment horizontal="center" vertical="top"/>
    </xf>
    <xf numFmtId="3" fontId="6" fillId="0" borderId="54" xfId="0" applyNumberFormat="1" applyFont="1" applyBorder="1" applyAlignment="1">
      <alignment vertical="center"/>
    </xf>
    <xf numFmtId="3" fontId="6" fillId="8" borderId="19"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3" fontId="4" fillId="0" borderId="3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0" fontId="4" fillId="0" borderId="30"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49" fontId="4" fillId="0" borderId="0"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7" borderId="46"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0" fontId="4" fillId="0" borderId="43" xfId="0" applyFont="1" applyFill="1" applyBorder="1" applyAlignment="1">
      <alignment horizontal="center" vertical="top" wrapText="1"/>
    </xf>
    <xf numFmtId="3" fontId="6" fillId="0" borderId="52" xfId="0" applyNumberFormat="1" applyFont="1" applyFill="1" applyBorder="1" applyAlignment="1">
      <alignment vertical="center" wrapText="1"/>
    </xf>
    <xf numFmtId="49" fontId="1" fillId="0" borderId="50" xfId="0" applyNumberFormat="1" applyFont="1" applyBorder="1" applyAlignment="1">
      <alignment horizontal="center" vertical="center" wrapText="1"/>
    </xf>
    <xf numFmtId="3" fontId="6" fillId="0" borderId="53" xfId="0" applyNumberFormat="1" applyFont="1" applyBorder="1" applyAlignment="1">
      <alignment vertical="center"/>
    </xf>
    <xf numFmtId="3" fontId="3" fillId="4" borderId="59" xfId="0" applyNumberFormat="1" applyFont="1" applyFill="1" applyBorder="1" applyAlignment="1">
      <alignment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3" fillId="5" borderId="4" xfId="0" applyNumberFormat="1" applyFont="1" applyFill="1" applyBorder="1" applyAlignment="1">
      <alignment vertical="top"/>
    </xf>
    <xf numFmtId="49" fontId="3" fillId="0" borderId="4" xfId="0" applyNumberFormat="1" applyFont="1" applyBorder="1" applyAlignment="1">
      <alignment vertical="top"/>
    </xf>
    <xf numFmtId="3" fontId="6" fillId="0" borderId="7" xfId="0" applyNumberFormat="1" applyFont="1" applyBorder="1" applyAlignment="1">
      <alignment vertical="top" wrapText="1"/>
    </xf>
    <xf numFmtId="3" fontId="3" fillId="0" borderId="36" xfId="0" applyNumberFormat="1" applyFont="1" applyBorder="1" applyAlignment="1">
      <alignment vertical="center" textRotation="90"/>
    </xf>
    <xf numFmtId="49" fontId="4" fillId="0" borderId="4"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164" fontId="4"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5" borderId="13" xfId="0" applyNumberFormat="1" applyFont="1" applyFill="1" applyBorder="1" applyAlignment="1">
      <alignment vertical="top"/>
    </xf>
    <xf numFmtId="49" fontId="3" fillId="0" borderId="1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4" xfId="0" applyNumberFormat="1" applyFont="1" applyFill="1" applyBorder="1" applyAlignment="1">
      <alignment horizontal="center" vertical="top"/>
    </xf>
    <xf numFmtId="3" fontId="3" fillId="0" borderId="35" xfId="0" applyNumberFormat="1" applyFont="1" applyBorder="1" applyAlignment="1">
      <alignment horizontal="center" vertical="center" textRotation="90"/>
    </xf>
    <xf numFmtId="49" fontId="4" fillId="7" borderId="4"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2" fillId="0" borderId="16" xfId="0" applyNumberFormat="1" applyFont="1" applyBorder="1"/>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44" xfId="0" applyFont="1" applyFill="1" applyBorder="1" applyAlignment="1">
      <alignment horizontal="center" vertical="top"/>
    </xf>
    <xf numFmtId="3" fontId="3" fillId="0" borderId="0" xfId="0" applyNumberFormat="1" applyFont="1" applyBorder="1" applyAlignment="1">
      <alignment vertical="center" textRotation="90"/>
    </xf>
    <xf numFmtId="164" fontId="1" fillId="0" borderId="0"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7" borderId="13" xfId="0" applyNumberFormat="1" applyFont="1" applyFill="1" applyBorder="1" applyAlignment="1">
      <alignment vertical="top"/>
    </xf>
    <xf numFmtId="3" fontId="4" fillId="0" borderId="46" xfId="0" applyNumberFormat="1" applyFont="1" applyFill="1" applyBorder="1" applyAlignment="1">
      <alignment horizontal="left" vertical="top" wrapText="1"/>
    </xf>
    <xf numFmtId="164" fontId="4" fillId="7" borderId="32" xfId="0" applyNumberFormat="1" applyFont="1" applyFill="1" applyBorder="1" applyAlignment="1">
      <alignment horizontal="center" vertical="top" wrapText="1"/>
    </xf>
    <xf numFmtId="3" fontId="3" fillId="4" borderId="62" xfId="0" applyNumberFormat="1" applyFont="1" applyFill="1" applyBorder="1" applyAlignment="1">
      <alignment horizontal="center" vertical="top"/>
    </xf>
    <xf numFmtId="49" fontId="3" fillId="7" borderId="22" xfId="0" applyNumberFormat="1" applyFont="1" applyFill="1" applyBorder="1" applyAlignment="1">
      <alignment vertical="top"/>
    </xf>
    <xf numFmtId="3" fontId="3" fillId="0" borderId="59" xfId="0" applyNumberFormat="1" applyFont="1" applyBorder="1" applyAlignment="1">
      <alignment horizontal="center" vertical="center" textRotation="90"/>
    </xf>
    <xf numFmtId="164" fontId="3" fillId="8" borderId="56" xfId="0" applyNumberFormat="1" applyFont="1" applyFill="1" applyBorder="1" applyAlignment="1">
      <alignment horizontal="center" vertical="top"/>
    </xf>
    <xf numFmtId="3" fontId="4" fillId="0" borderId="59" xfId="0" applyNumberFormat="1" applyFont="1" applyFill="1" applyBorder="1" applyAlignment="1">
      <alignment vertical="top"/>
    </xf>
    <xf numFmtId="3" fontId="4" fillId="0" borderId="22" xfId="0" applyNumberFormat="1" applyFont="1" applyFill="1" applyBorder="1" applyAlignment="1">
      <alignment vertical="top"/>
    </xf>
    <xf numFmtId="3" fontId="4" fillId="0" borderId="60" xfId="0" applyNumberFormat="1" applyFont="1" applyFill="1" applyBorder="1" applyAlignment="1">
      <alignment vertical="top"/>
    </xf>
    <xf numFmtId="3" fontId="3" fillId="0" borderId="37" xfId="0" applyNumberFormat="1" applyFont="1" applyBorder="1" applyAlignment="1">
      <alignment vertical="center" textRotation="90"/>
    </xf>
    <xf numFmtId="3" fontId="4" fillId="0" borderId="3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3" fillId="4" borderId="41" xfId="0" applyNumberFormat="1" applyFont="1" applyFill="1" applyBorder="1" applyAlignment="1">
      <alignment vertical="top"/>
    </xf>
    <xf numFmtId="3" fontId="3" fillId="0" borderId="41" xfId="0" applyNumberFormat="1" applyFont="1" applyBorder="1" applyAlignment="1">
      <alignment vertical="center" textRotation="90"/>
    </xf>
    <xf numFmtId="164" fontId="4" fillId="0" borderId="42"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3" fillId="0" borderId="62" xfId="0" applyNumberFormat="1" applyFont="1" applyBorder="1" applyAlignment="1">
      <alignment horizontal="center" vertical="center" textRotation="90"/>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1" fillId="0" borderId="0" xfId="0" applyNumberFormat="1" applyFont="1" applyBorder="1" applyAlignment="1">
      <alignment vertical="top" wrapText="1"/>
    </xf>
    <xf numFmtId="3" fontId="1" fillId="0" borderId="0" xfId="0" applyNumberFormat="1" applyFont="1" applyFill="1" applyAlignment="1">
      <alignment vertical="top"/>
    </xf>
    <xf numFmtId="3" fontId="1" fillId="7"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3" fontId="3" fillId="0" borderId="0" xfId="0" applyNumberFormat="1" applyFont="1" applyFill="1" applyBorder="1" applyAlignment="1">
      <alignment vertical="center" wrapText="1"/>
    </xf>
    <xf numFmtId="3" fontId="1" fillId="7" borderId="0" xfId="0" applyNumberFormat="1" applyFont="1" applyFill="1" applyBorder="1" applyAlignment="1">
      <alignment vertical="top"/>
    </xf>
    <xf numFmtId="3" fontId="4" fillId="7" borderId="0" xfId="0" applyNumberFormat="1" applyFont="1" applyFill="1" applyBorder="1" applyAlignment="1">
      <alignment vertical="top"/>
    </xf>
    <xf numFmtId="3" fontId="3" fillId="7" borderId="0" xfId="0" applyNumberFormat="1" applyFont="1" applyFill="1" applyBorder="1" applyAlignment="1">
      <alignment horizontal="center" vertical="top" wrapText="1"/>
    </xf>
    <xf numFmtId="164" fontId="6" fillId="3" borderId="8"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49" fontId="1" fillId="0" borderId="0" xfId="0" applyNumberFormat="1" applyFont="1" applyBorder="1" applyAlignment="1">
      <alignment horizontal="left" vertical="top"/>
    </xf>
    <xf numFmtId="3" fontId="6"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Alignment="1">
      <alignment horizontal="left"/>
    </xf>
    <xf numFmtId="3" fontId="1" fillId="0" borderId="27"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3" fontId="4" fillId="0" borderId="21" xfId="0" applyNumberFormat="1" applyFont="1" applyFill="1" applyBorder="1" applyAlignment="1">
      <alignment horizontal="center" vertical="center" textRotation="90" wrapText="1"/>
    </xf>
    <xf numFmtId="49" fontId="4" fillId="10" borderId="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35" xfId="0" applyNumberFormat="1" applyFont="1" applyFill="1" applyBorder="1" applyAlignment="1">
      <alignment horizontal="center" vertical="top"/>
    </xf>
    <xf numFmtId="49" fontId="1" fillId="10" borderId="0"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14"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3" fillId="8" borderId="42"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49" fontId="4" fillId="10" borderId="14" xfId="0" applyNumberFormat="1" applyFont="1" applyFill="1" applyBorder="1" applyAlignment="1">
      <alignment horizontal="center" vertical="top" wrapText="1"/>
    </xf>
    <xf numFmtId="3" fontId="4" fillId="6" borderId="54" xfId="0" applyNumberFormat="1" applyFont="1" applyFill="1" applyBorder="1" applyAlignment="1">
      <alignment vertical="top"/>
    </xf>
    <xf numFmtId="3" fontId="4" fillId="0" borderId="71"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49" fontId="4" fillId="10" borderId="0"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49" fontId="4" fillId="10" borderId="1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6" borderId="53" xfId="0" applyNumberFormat="1" applyFont="1" applyFill="1" applyBorder="1" applyAlignment="1">
      <alignment vertical="top"/>
    </xf>
    <xf numFmtId="49" fontId="4" fillId="10" borderId="7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49" fontId="4" fillId="10" borderId="75"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8" borderId="11"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49" fontId="4" fillId="10" borderId="4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4" fillId="10" borderId="53"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49" fontId="4" fillId="10" borderId="0" xfId="0" applyNumberFormat="1" applyFont="1" applyFill="1" applyBorder="1" applyAlignment="1">
      <alignment horizontal="center" vertical="top"/>
    </xf>
    <xf numFmtId="3" fontId="4" fillId="7" borderId="51" xfId="0" applyNumberFormat="1" applyFont="1" applyFill="1" applyBorder="1" applyAlignment="1">
      <alignment horizontal="center" vertical="top" wrapText="1"/>
    </xf>
    <xf numFmtId="3" fontId="4" fillId="7" borderId="49"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xf>
    <xf numFmtId="3" fontId="4" fillId="0" borderId="16" xfId="0" applyNumberFormat="1" applyFont="1" applyBorder="1" applyAlignment="1">
      <alignment vertical="top" wrapText="1"/>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49" fontId="4" fillId="10" borderId="15" xfId="0" applyNumberFormat="1" applyFont="1" applyFill="1" applyBorder="1" applyAlignment="1">
      <alignment horizontal="center" vertical="top"/>
    </xf>
    <xf numFmtId="3" fontId="4" fillId="10" borderId="56" xfId="0" applyNumberFormat="1" applyFont="1" applyFill="1" applyBorder="1" applyAlignment="1">
      <alignment horizontal="left" vertical="top" wrapText="1"/>
    </xf>
    <xf numFmtId="3" fontId="4" fillId="10" borderId="31" xfId="0" applyNumberFormat="1" applyFont="1" applyFill="1" applyBorder="1" applyAlignment="1">
      <alignment horizontal="center" vertical="top" textRotation="90" wrapText="1"/>
    </xf>
    <xf numFmtId="49" fontId="4" fillId="10" borderId="56" xfId="0" applyNumberFormat="1" applyFont="1" applyFill="1" applyBorder="1" applyAlignment="1">
      <alignment horizontal="center" vertical="top" wrapText="1"/>
    </xf>
    <xf numFmtId="3" fontId="3" fillId="10" borderId="56"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3" fontId="3" fillId="10" borderId="58" xfId="0" applyNumberFormat="1" applyFont="1" applyFill="1" applyBorder="1" applyAlignment="1">
      <alignment horizontal="center" vertical="top"/>
    </xf>
    <xf numFmtId="49" fontId="4" fillId="0" borderId="35" xfId="0" applyNumberFormat="1" applyFont="1" applyBorder="1" applyAlignment="1">
      <alignment horizontal="center" vertical="top" wrapText="1"/>
    </xf>
    <xf numFmtId="3" fontId="4" fillId="0" borderId="35" xfId="0" applyNumberFormat="1" applyFont="1" applyFill="1" applyBorder="1" applyAlignment="1">
      <alignment horizontal="center" vertical="top"/>
    </xf>
    <xf numFmtId="3" fontId="3" fillId="0" borderId="5" xfId="0"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3" fontId="3" fillId="8" borderId="5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4" fillId="0" borderId="35" xfId="0" applyNumberFormat="1" applyFont="1" applyBorder="1" applyAlignment="1">
      <alignment horizontal="center" vertical="top"/>
    </xf>
    <xf numFmtId="3" fontId="1" fillId="0" borderId="49"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6" fillId="8" borderId="55" xfId="0" applyNumberFormat="1" applyFont="1" applyFill="1" applyBorder="1" applyAlignment="1">
      <alignment horizontal="center" vertical="top"/>
    </xf>
    <xf numFmtId="3" fontId="6" fillId="8" borderId="26"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49" fontId="4" fillId="0" borderId="6" xfId="0" applyNumberFormat="1" applyFont="1" applyBorder="1" applyAlignment="1">
      <alignment horizontal="center" vertical="top"/>
    </xf>
    <xf numFmtId="3" fontId="4" fillId="6" borderId="27" xfId="0" applyNumberFormat="1" applyFont="1" applyFill="1" applyBorder="1" applyAlignment="1">
      <alignment horizontal="center" vertical="top"/>
    </xf>
    <xf numFmtId="3" fontId="4" fillId="6" borderId="67"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4" fillId="0" borderId="24" xfId="0" applyNumberFormat="1" applyFont="1" applyBorder="1" applyAlignment="1">
      <alignment horizontal="center" vertical="top"/>
    </xf>
    <xf numFmtId="3" fontId="3" fillId="8" borderId="57" xfId="0" applyNumberFormat="1" applyFont="1" applyFill="1" applyBorder="1" applyAlignment="1">
      <alignment horizontal="center" vertical="top"/>
    </xf>
    <xf numFmtId="3" fontId="3" fillId="5" borderId="8" xfId="0" applyNumberFormat="1" applyFont="1" applyFill="1" applyBorder="1" applyAlignment="1">
      <alignment horizontal="center" vertical="top"/>
    </xf>
    <xf numFmtId="3" fontId="3" fillId="5" borderId="77" xfId="0" applyNumberFormat="1" applyFont="1" applyFill="1" applyBorder="1" applyAlignment="1">
      <alignment horizontal="center" vertical="top"/>
    </xf>
    <xf numFmtId="3" fontId="3" fillId="5" borderId="33" xfId="0" applyNumberFormat="1" applyFont="1" applyFill="1" applyBorder="1" applyAlignment="1">
      <alignment horizontal="center" vertical="top"/>
    </xf>
    <xf numFmtId="49" fontId="1" fillId="9" borderId="5" xfId="0" applyNumberFormat="1" applyFont="1" applyFill="1" applyBorder="1" applyAlignment="1">
      <alignment horizontal="center" vertical="top"/>
    </xf>
    <xf numFmtId="3" fontId="3" fillId="7" borderId="6"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69"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1" xfId="0" applyNumberFormat="1" applyFont="1" applyFill="1" applyBorder="1" applyAlignment="1">
      <alignment vertical="top" wrapText="1"/>
    </xf>
    <xf numFmtId="3" fontId="4" fillId="0" borderId="66"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50" xfId="0" applyNumberFormat="1" applyFont="1" applyFill="1" applyBorder="1" applyAlignment="1">
      <alignment horizontal="center" vertical="top"/>
    </xf>
    <xf numFmtId="3" fontId="4" fillId="6" borderId="0" xfId="0" applyNumberFormat="1" applyFont="1" applyFill="1" applyBorder="1" applyAlignment="1">
      <alignment vertical="top"/>
    </xf>
    <xf numFmtId="3" fontId="4" fillId="6" borderId="14"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6" fillId="0" borderId="13" xfId="0" applyNumberFormat="1" applyFont="1" applyBorder="1" applyAlignment="1">
      <alignment horizontal="center" vertical="top"/>
    </xf>
    <xf numFmtId="3" fontId="1" fillId="6" borderId="16" xfId="0" applyNumberFormat="1" applyFont="1" applyFill="1" applyBorder="1" applyAlignment="1">
      <alignment vertical="top" wrapText="1"/>
    </xf>
    <xf numFmtId="3" fontId="6" fillId="0" borderId="0" xfId="0" applyNumberFormat="1" applyFont="1" applyFill="1" applyBorder="1" applyAlignment="1">
      <alignment horizontal="center" vertical="top" textRotation="180" wrapText="1"/>
    </xf>
    <xf numFmtId="3" fontId="6" fillId="0" borderId="0"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4" fillId="0" borderId="44" xfId="0" applyNumberFormat="1" applyFont="1" applyBorder="1" applyAlignment="1">
      <alignment vertical="top"/>
    </xf>
    <xf numFmtId="3" fontId="4" fillId="0" borderId="62" xfId="0" applyNumberFormat="1" applyFont="1" applyFill="1" applyBorder="1" applyAlignment="1">
      <alignment vertical="top" wrapText="1"/>
    </xf>
    <xf numFmtId="49" fontId="4" fillId="9" borderId="72"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0" borderId="16" xfId="0" applyNumberFormat="1" applyFont="1" applyBorder="1" applyAlignment="1">
      <alignment vertical="center" textRotation="90" wrapText="1"/>
    </xf>
    <xf numFmtId="3" fontId="4" fillId="0" borderId="28"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46" xfId="0" applyNumberFormat="1" applyFont="1" applyBorder="1" applyAlignment="1">
      <alignment horizontal="left" vertical="top" wrapText="1"/>
    </xf>
    <xf numFmtId="3" fontId="4" fillId="6" borderId="43"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3" fillId="8" borderId="57"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4" fillId="7" borderId="30"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1" fontId="4" fillId="0" borderId="11"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1" fontId="4" fillId="0" borderId="43" xfId="0" applyNumberFormat="1" applyFont="1" applyFill="1" applyBorder="1" applyAlignment="1">
      <alignment horizontal="center" vertical="top"/>
    </xf>
    <xf numFmtId="3" fontId="3" fillId="8" borderId="24"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4" fillId="0" borderId="75" xfId="0" applyNumberFormat="1" applyFont="1" applyFill="1" applyBorder="1" applyAlignment="1">
      <alignment horizontal="center" vertical="top"/>
    </xf>
    <xf numFmtId="1" fontId="4" fillId="0" borderId="5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49" fontId="4" fillId="9" borderId="51"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9" fontId="4" fillId="0" borderId="53"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53" xfId="0" applyNumberFormat="1" applyFont="1" applyFill="1" applyBorder="1" applyAlignment="1">
      <alignment horizontal="center" vertical="top"/>
    </xf>
    <xf numFmtId="1" fontId="4" fillId="0" borderId="75"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7" borderId="54"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0" borderId="50" xfId="0" applyNumberFormat="1" applyFont="1" applyFill="1" applyBorder="1" applyAlignment="1">
      <alignment vertical="top"/>
    </xf>
    <xf numFmtId="3" fontId="4" fillId="0" borderId="53" xfId="0" applyNumberFormat="1" applyFont="1" applyFill="1" applyBorder="1" applyAlignment="1">
      <alignment vertical="top"/>
    </xf>
    <xf numFmtId="3" fontId="4" fillId="0" borderId="73"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0" borderId="51" xfId="0" applyNumberFormat="1" applyFont="1" applyBorder="1" applyAlignment="1">
      <alignment horizontal="center" vertical="top"/>
    </xf>
    <xf numFmtId="3" fontId="4" fillId="0" borderId="49" xfId="0" applyNumberFormat="1" applyFont="1" applyBorder="1" applyAlignment="1">
      <alignment vertical="top"/>
    </xf>
    <xf numFmtId="3" fontId="4" fillId="0" borderId="50" xfId="0" applyNumberFormat="1" applyFont="1" applyBorder="1" applyAlignment="1">
      <alignment vertical="top"/>
    </xf>
    <xf numFmtId="3" fontId="4" fillId="0" borderId="66" xfId="0" applyNumberFormat="1" applyFont="1" applyBorder="1" applyAlignment="1">
      <alignment vertical="top"/>
    </xf>
    <xf numFmtId="49" fontId="4" fillId="0" borderId="43"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3" fillId="8" borderId="32" xfId="0" applyNumberFormat="1" applyFont="1" applyFill="1" applyBorder="1" applyAlignment="1">
      <alignment horizontal="center" vertical="top"/>
    </xf>
    <xf numFmtId="49" fontId="3" fillId="0" borderId="13"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3" fillId="9" borderId="23" xfId="0" applyNumberFormat="1" applyFont="1" applyFill="1" applyBorder="1" applyAlignment="1">
      <alignment vertical="top"/>
    </xf>
    <xf numFmtId="3" fontId="3" fillId="9" borderId="56" xfId="0" applyNumberFormat="1" applyFont="1" applyFill="1" applyBorder="1" applyAlignment="1">
      <alignment vertical="top"/>
    </xf>
    <xf numFmtId="3" fontId="3" fillId="9" borderId="55" xfId="0" applyNumberFormat="1" applyFont="1" applyFill="1" applyBorder="1" applyAlignment="1">
      <alignment horizontal="center" vertical="top"/>
    </xf>
    <xf numFmtId="3" fontId="3" fillId="9" borderId="79"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1" fillId="7" borderId="1" xfId="0" applyNumberFormat="1" applyFont="1" applyFill="1" applyBorder="1" applyAlignment="1">
      <alignment horizontal="center" vertical="top"/>
    </xf>
    <xf numFmtId="3" fontId="6" fillId="8" borderId="21" xfId="0" applyNumberFormat="1" applyFont="1" applyFill="1" applyBorder="1" applyAlignment="1">
      <alignment horizontal="center" vertical="top"/>
    </xf>
    <xf numFmtId="3" fontId="6" fillId="8" borderId="56"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49" fontId="4" fillId="7" borderId="35"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3" fontId="3" fillId="0" borderId="15"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3" fontId="4" fillId="6" borderId="18"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49" fontId="4" fillId="7" borderId="51" xfId="0" applyNumberFormat="1" applyFont="1" applyFill="1" applyBorder="1" applyAlignment="1">
      <alignment horizontal="center" vertical="top" wrapText="1"/>
    </xf>
    <xf numFmtId="3" fontId="4" fillId="6" borderId="51"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49" fontId="4" fillId="7" borderId="53" xfId="0" applyNumberFormat="1" applyFont="1" applyFill="1" applyBorder="1" applyAlignment="1">
      <alignment horizontal="center" vertical="top" wrapText="1"/>
    </xf>
    <xf numFmtId="3" fontId="4" fillId="0" borderId="15" xfId="0" applyNumberFormat="1" applyFont="1" applyBorder="1" applyAlignment="1">
      <alignment horizontal="center" vertical="center" textRotation="90" wrapText="1"/>
    </xf>
    <xf numFmtId="3" fontId="4" fillId="6" borderId="41"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 fontId="4" fillId="0" borderId="44" xfId="0" applyNumberFormat="1" applyFont="1" applyFill="1" applyBorder="1" applyAlignment="1">
      <alignment horizontal="center" vertical="top"/>
    </xf>
    <xf numFmtId="1" fontId="4" fillId="0" borderId="45"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6" borderId="4"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4" fillId="0" borderId="18" xfId="0" applyFont="1" applyFill="1" applyBorder="1" applyAlignment="1">
      <alignment horizontal="left" vertical="top" wrapText="1"/>
    </xf>
    <xf numFmtId="3" fontId="4" fillId="7" borderId="0"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49" fontId="4" fillId="7" borderId="72" xfId="0" applyNumberFormat="1" applyFont="1" applyFill="1" applyBorder="1" applyAlignment="1">
      <alignment horizontal="center" vertical="top"/>
    </xf>
    <xf numFmtId="3" fontId="6" fillId="0" borderId="15" xfId="0" applyNumberFormat="1" applyFont="1" applyBorder="1" applyAlignment="1">
      <alignment horizontal="center" vertical="top" wrapText="1"/>
    </xf>
    <xf numFmtId="3" fontId="1"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49" fontId="4" fillId="7" borderId="14"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4" fillId="7" borderId="23" xfId="0" applyNumberFormat="1" applyFont="1" applyFill="1" applyBorder="1" applyAlignment="1">
      <alignment horizontal="center" vertical="top"/>
    </xf>
    <xf numFmtId="3" fontId="6" fillId="0" borderId="24" xfId="0" applyNumberFormat="1" applyFont="1" applyBorder="1" applyAlignment="1">
      <alignment horizontal="center" vertical="top" wrapText="1"/>
    </xf>
    <xf numFmtId="3" fontId="6" fillId="8" borderId="79" xfId="0" applyNumberFormat="1" applyFont="1" applyFill="1" applyBorder="1" applyAlignment="1">
      <alignment horizontal="center" vertical="top"/>
    </xf>
    <xf numFmtId="3" fontId="6" fillId="8" borderId="20"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16" xfId="0" applyFont="1" applyFill="1" applyBorder="1" applyAlignment="1">
      <alignment horizontal="center" vertical="top"/>
    </xf>
    <xf numFmtId="0" fontId="4" fillId="0" borderId="48" xfId="0" applyFont="1" applyFill="1" applyBorder="1" applyAlignment="1">
      <alignment horizontal="center" vertical="top"/>
    </xf>
    <xf numFmtId="3" fontId="4" fillId="6" borderId="52"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0" fontId="4" fillId="0" borderId="4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4" fillId="0" borderId="15" xfId="0" applyNumberFormat="1" applyFont="1" applyFill="1" applyBorder="1" applyAlignment="1">
      <alignment horizontal="center" vertical="center"/>
    </xf>
    <xf numFmtId="3" fontId="4" fillId="6" borderId="36" xfId="0" applyNumberFormat="1" applyFont="1" applyFill="1" applyBorder="1" applyAlignment="1">
      <alignment horizontal="center" vertical="top"/>
    </xf>
    <xf numFmtId="3" fontId="4" fillId="6" borderId="35"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1" xfId="0" applyNumberFormat="1" applyFont="1" applyFill="1" applyBorder="1" applyAlignment="1">
      <alignment horizontal="center" vertical="top"/>
    </xf>
    <xf numFmtId="3" fontId="4" fillId="0" borderId="36" xfId="0" applyNumberFormat="1" applyFont="1" applyFill="1" applyBorder="1" applyAlignment="1">
      <alignment vertical="top"/>
    </xf>
    <xf numFmtId="3" fontId="4" fillId="0" borderId="4" xfId="0" applyNumberFormat="1" applyFont="1" applyFill="1" applyBorder="1" applyAlignment="1">
      <alignment vertical="top"/>
    </xf>
    <xf numFmtId="3" fontId="4" fillId="0" borderId="61" xfId="0" applyNumberFormat="1" applyFont="1" applyFill="1" applyBorder="1" applyAlignment="1">
      <alignment vertical="top"/>
    </xf>
    <xf numFmtId="3" fontId="4" fillId="0" borderId="69" xfId="0" applyNumberFormat="1" applyFont="1" applyFill="1" applyBorder="1" applyAlignment="1">
      <alignment horizontal="center" vertical="top"/>
    </xf>
    <xf numFmtId="3" fontId="4" fillId="0" borderId="38"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1" fillId="9" borderId="61"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49" fontId="6" fillId="7" borderId="1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3" fontId="4" fillId="6" borderId="54"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6" xfId="0" applyNumberFormat="1" applyFont="1" applyFill="1" applyBorder="1" applyAlignment="1">
      <alignment vertical="top" wrapText="1"/>
    </xf>
    <xf numFmtId="49" fontId="1" fillId="9" borderId="53" xfId="0" applyNumberFormat="1" applyFont="1" applyFill="1" applyBorder="1" applyAlignment="1">
      <alignment horizontal="center" vertical="top"/>
    </xf>
    <xf numFmtId="3" fontId="6" fillId="6" borderId="53" xfId="0" applyNumberFormat="1" applyFont="1" applyFill="1" applyBorder="1" applyAlignment="1">
      <alignment vertical="center"/>
    </xf>
    <xf numFmtId="3" fontId="6" fillId="8" borderId="30" xfId="0" applyNumberFormat="1" applyFont="1" applyFill="1" applyBorder="1" applyAlignment="1">
      <alignment horizontal="center" vertical="top" wrapText="1"/>
    </xf>
    <xf numFmtId="3" fontId="6" fillId="8" borderId="47" xfId="0" applyNumberFormat="1" applyFont="1" applyFill="1" applyBorder="1" applyAlignment="1">
      <alignment horizontal="center" vertical="top" wrapText="1"/>
    </xf>
    <xf numFmtId="3" fontId="6" fillId="8" borderId="11" xfId="0" applyNumberFormat="1" applyFont="1" applyFill="1" applyBorder="1" applyAlignment="1">
      <alignment horizontal="center" vertical="top" wrapText="1"/>
    </xf>
    <xf numFmtId="3" fontId="6" fillId="8" borderId="17"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49" fontId="1" fillId="9" borderId="45" xfId="0" applyNumberFormat="1" applyFont="1" applyFill="1" applyBorder="1" applyAlignment="1">
      <alignment horizontal="center" vertical="top"/>
    </xf>
    <xf numFmtId="49" fontId="1" fillId="0" borderId="44" xfId="0" applyNumberFormat="1" applyFont="1" applyBorder="1" applyAlignment="1">
      <alignment horizontal="center" vertical="center" wrapText="1"/>
    </xf>
    <xf numFmtId="3" fontId="4" fillId="6" borderId="45"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6" borderId="72" xfId="0" applyNumberFormat="1" applyFont="1" applyFill="1" applyBorder="1" applyAlignment="1">
      <alignment horizontal="center" vertical="top" wrapText="1"/>
    </xf>
    <xf numFmtId="3" fontId="4" fillId="6" borderId="49"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3" fontId="6" fillId="8" borderId="12" xfId="0" applyNumberFormat="1" applyFont="1" applyFill="1" applyBorder="1" applyAlignment="1">
      <alignment horizontal="center" vertical="top" wrapText="1"/>
    </xf>
    <xf numFmtId="3" fontId="6" fillId="8" borderId="71" xfId="0" applyNumberFormat="1" applyFont="1" applyFill="1" applyBorder="1" applyAlignment="1">
      <alignment horizontal="center" vertical="top" wrapText="1"/>
    </xf>
    <xf numFmtId="3" fontId="3" fillId="0" borderId="43" xfId="0" applyNumberFormat="1" applyFont="1" applyBorder="1" applyAlignment="1">
      <alignment vertical="center" textRotation="90"/>
    </xf>
    <xf numFmtId="49" fontId="4" fillId="6" borderId="44" xfId="0" applyNumberFormat="1" applyFont="1" applyFill="1" applyBorder="1" applyAlignment="1">
      <alignment vertical="top" wrapText="1"/>
    </xf>
    <xf numFmtId="3" fontId="3" fillId="0" borderId="52" xfId="0" applyNumberFormat="1" applyFont="1" applyBorder="1" applyAlignment="1">
      <alignment vertical="center" textRotation="90"/>
    </xf>
    <xf numFmtId="49" fontId="4" fillId="6" borderId="50" xfId="0" applyNumberFormat="1" applyFont="1" applyFill="1" applyBorder="1" applyAlignment="1">
      <alignment vertical="top" wrapText="1"/>
    </xf>
    <xf numFmtId="3" fontId="4" fillId="0" borderId="12" xfId="0" applyNumberFormat="1" applyFont="1" applyFill="1" applyBorder="1" applyAlignment="1">
      <alignment vertical="top"/>
    </xf>
    <xf numFmtId="3" fontId="4" fillId="0" borderId="47" xfId="0" applyNumberFormat="1" applyFont="1" applyFill="1" applyBorder="1" applyAlignment="1">
      <alignment vertical="top"/>
    </xf>
    <xf numFmtId="3" fontId="4" fillId="6" borderId="47"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xf>
    <xf numFmtId="3" fontId="4" fillId="6" borderId="11"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6" fillId="6" borderId="54" xfId="0" applyNumberFormat="1" applyFont="1" applyFill="1" applyBorder="1" applyAlignment="1">
      <alignment vertical="top"/>
    </xf>
    <xf numFmtId="3" fontId="6" fillId="8" borderId="3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6" fillId="8" borderId="45"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wrapText="1"/>
    </xf>
    <xf numFmtId="3" fontId="6" fillId="8" borderId="7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4" fillId="6" borderId="49" xfId="0" applyNumberFormat="1" applyFont="1" applyFill="1" applyBorder="1" applyAlignment="1">
      <alignment vertical="top"/>
    </xf>
    <xf numFmtId="3" fontId="6" fillId="0" borderId="45" xfId="0" applyNumberFormat="1" applyFont="1" applyBorder="1" applyAlignment="1">
      <alignment horizontal="center" vertical="center"/>
    </xf>
    <xf numFmtId="3" fontId="4" fillId="7" borderId="72" xfId="0" applyNumberFormat="1"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4" fillId="9" borderId="45"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47" xfId="0" applyNumberFormat="1" applyFont="1" applyFill="1" applyBorder="1" applyAlignment="1">
      <alignment horizontal="center" vertical="top"/>
    </xf>
    <xf numFmtId="3" fontId="4" fillId="7" borderId="43" xfId="0" applyNumberFormat="1" applyFont="1" applyFill="1" applyBorder="1" applyAlignment="1">
      <alignment horizontal="center" wrapText="1"/>
    </xf>
    <xf numFmtId="49" fontId="4" fillId="9" borderId="54" xfId="0" applyNumberFormat="1" applyFont="1" applyFill="1" applyBorder="1" applyAlignment="1">
      <alignment horizontal="center" vertical="top"/>
    </xf>
    <xf numFmtId="3" fontId="3" fillId="0" borderId="39" xfId="0" applyNumberFormat="1" applyFont="1" applyFill="1" applyBorder="1" applyAlignment="1">
      <alignment horizontal="center" vertical="center" wrapText="1"/>
    </xf>
    <xf numFmtId="49" fontId="4" fillId="0" borderId="13" xfId="0" applyNumberFormat="1" applyFont="1" applyBorder="1" applyAlignment="1">
      <alignment horizontal="center" vertical="center" wrapText="1"/>
    </xf>
    <xf numFmtId="3" fontId="3" fillId="0" borderId="54" xfId="0" applyNumberFormat="1" applyFont="1" applyBorder="1" applyAlignment="1">
      <alignment horizontal="center" vertical="center"/>
    </xf>
    <xf numFmtId="3" fontId="4" fillId="6" borderId="43" xfId="0" applyNumberFormat="1" applyFont="1" applyFill="1" applyBorder="1" applyAlignment="1">
      <alignment horizontal="center" vertical="top" wrapText="1"/>
    </xf>
    <xf numFmtId="3" fontId="4" fillId="7" borderId="39" xfId="0" applyNumberFormat="1" applyFont="1" applyFill="1" applyBorder="1" applyAlignment="1">
      <alignment vertical="top" wrapText="1"/>
    </xf>
    <xf numFmtId="3" fontId="3" fillId="0" borderId="52" xfId="0" applyNumberFormat="1" applyFont="1" applyFill="1" applyBorder="1" applyAlignment="1">
      <alignment horizontal="center" vertical="center" wrapText="1"/>
    </xf>
    <xf numFmtId="49" fontId="4" fillId="0" borderId="50" xfId="0" applyNumberFormat="1" applyFont="1" applyBorder="1" applyAlignment="1">
      <alignment horizontal="center" vertical="center" wrapText="1"/>
    </xf>
    <xf numFmtId="3" fontId="3" fillId="0" borderId="53" xfId="0" applyNumberFormat="1" applyFont="1" applyBorder="1" applyAlignment="1">
      <alignment horizontal="center" vertical="center"/>
    </xf>
    <xf numFmtId="3" fontId="3" fillId="8" borderId="1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11"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7" borderId="46"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7" borderId="42" xfId="0" applyNumberFormat="1" applyFont="1" applyFill="1" applyBorder="1" applyAlignment="1">
      <alignment horizontal="center" vertical="top" wrapText="1"/>
    </xf>
    <xf numFmtId="3" fontId="6" fillId="8" borderId="18" xfId="0" applyNumberFormat="1" applyFont="1" applyFill="1" applyBorder="1" applyAlignment="1">
      <alignment horizontal="center" vertical="top" wrapText="1"/>
    </xf>
    <xf numFmtId="3" fontId="6" fillId="8" borderId="46" xfId="0" applyNumberFormat="1" applyFont="1" applyFill="1" applyBorder="1" applyAlignment="1">
      <alignment horizontal="center" vertical="top" wrapText="1"/>
    </xf>
    <xf numFmtId="3" fontId="1" fillId="0" borderId="49" xfId="0" applyNumberFormat="1" applyFont="1" applyBorder="1" applyAlignment="1">
      <alignment vertical="top"/>
    </xf>
    <xf numFmtId="49" fontId="3" fillId="7" borderId="22" xfId="0" applyNumberFormat="1" applyFont="1" applyFill="1" applyBorder="1" applyAlignment="1">
      <alignment horizontal="center" vertical="top"/>
    </xf>
    <xf numFmtId="3" fontId="3" fillId="9" borderId="58" xfId="0" applyNumberFormat="1" applyFont="1" applyFill="1" applyBorder="1" applyAlignment="1">
      <alignment horizontal="center" vertical="top" wrapText="1"/>
    </xf>
    <xf numFmtId="3" fontId="3" fillId="9" borderId="26" xfId="0" applyNumberFormat="1" applyFont="1" applyFill="1" applyBorder="1" applyAlignment="1">
      <alignment horizontal="center" vertical="top"/>
    </xf>
    <xf numFmtId="3" fontId="3" fillId="9" borderId="21" xfId="0" applyNumberFormat="1" applyFont="1" applyFill="1" applyBorder="1" applyAlignment="1">
      <alignment horizontal="center" vertical="top"/>
    </xf>
    <xf numFmtId="49" fontId="1" fillId="9" borderId="67" xfId="0" applyNumberFormat="1" applyFont="1" applyFill="1" applyBorder="1" applyAlignment="1">
      <alignment horizontal="center" vertical="top"/>
    </xf>
    <xf numFmtId="3" fontId="6" fillId="7" borderId="29" xfId="0" applyNumberFormat="1" applyFont="1" applyFill="1" applyBorder="1" applyAlignment="1">
      <alignment vertical="top" wrapText="1"/>
    </xf>
    <xf numFmtId="3" fontId="6" fillId="0" borderId="28" xfId="0" applyNumberFormat="1" applyFont="1" applyFill="1" applyBorder="1" applyAlignment="1">
      <alignment horizontal="center" vertical="top" textRotation="180" wrapText="1"/>
    </xf>
    <xf numFmtId="49" fontId="1" fillId="0" borderId="3" xfId="0" applyNumberFormat="1" applyFont="1" applyBorder="1" applyAlignment="1">
      <alignment vertical="center" wrapText="1"/>
    </xf>
    <xf numFmtId="3" fontId="6" fillId="0" borderId="67" xfId="0" applyNumberFormat="1" applyFont="1" applyBorder="1" applyAlignment="1">
      <alignment horizontal="center" vertical="center"/>
    </xf>
    <xf numFmtId="3" fontId="1" fillId="0" borderId="29" xfId="0" applyNumberFormat="1" applyFont="1" applyBorder="1" applyAlignment="1">
      <alignment horizontal="center" vertical="center" textRotation="90" wrapText="1"/>
    </xf>
    <xf numFmtId="3" fontId="4" fillId="6" borderId="27" xfId="0" applyNumberFormat="1" applyFont="1" applyFill="1" applyBorder="1" applyAlignment="1">
      <alignment horizontal="center" vertical="top" wrapText="1"/>
    </xf>
    <xf numFmtId="3" fontId="4" fillId="6" borderId="67"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wrapText="1"/>
    </xf>
    <xf numFmtId="3" fontId="4" fillId="7" borderId="78"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28" xfId="0" applyNumberFormat="1" applyFont="1" applyFill="1" applyBorder="1" applyAlignment="1">
      <alignment horizontal="center" vertical="top" wrapText="1"/>
    </xf>
    <xf numFmtId="49" fontId="1" fillId="0" borderId="13" xfId="0" applyNumberFormat="1" applyFont="1" applyBorder="1" applyAlignment="1">
      <alignment vertical="top" wrapText="1"/>
    </xf>
    <xf numFmtId="3" fontId="1" fillId="6" borderId="18"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49" fontId="1" fillId="0" borderId="50" xfId="0" applyNumberFormat="1" applyFont="1" applyBorder="1" applyAlignment="1">
      <alignment vertical="top" wrapText="1"/>
    </xf>
    <xf numFmtId="3" fontId="6" fillId="0" borderId="53" xfId="0" applyNumberFormat="1" applyFont="1" applyBorder="1" applyAlignment="1">
      <alignment horizontal="center" vertical="top"/>
    </xf>
    <xf numFmtId="3" fontId="1" fillId="6" borderId="66" xfId="0" applyNumberFormat="1" applyFont="1" applyFill="1" applyBorder="1" applyAlignment="1">
      <alignment horizontal="center" vertical="center" wrapText="1"/>
    </xf>
    <xf numFmtId="3" fontId="3" fillId="8" borderId="4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1" fillId="6" borderId="75"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6" fillId="8" borderId="16"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3" fontId="6" fillId="8" borderId="53" xfId="0" applyNumberFormat="1" applyFont="1" applyFill="1" applyBorder="1" applyAlignment="1">
      <alignment horizontal="center" vertical="top" wrapText="1"/>
    </xf>
    <xf numFmtId="3" fontId="6" fillId="8" borderId="41"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6" fillId="0" borderId="32" xfId="0" applyNumberFormat="1" applyFont="1" applyBorder="1" applyAlignment="1">
      <alignment horizontal="center" vertical="top"/>
    </xf>
    <xf numFmtId="165" fontId="1" fillId="0" borderId="46" xfId="0" applyNumberFormat="1" applyFont="1" applyFill="1" applyBorder="1" applyAlignment="1">
      <alignment horizontal="center" vertical="center" wrapText="1"/>
    </xf>
    <xf numFmtId="3" fontId="4" fillId="7" borderId="31" xfId="0" applyNumberFormat="1" applyFont="1" applyFill="1" applyBorder="1" applyAlignment="1">
      <alignment horizontal="center" vertical="top" wrapText="1"/>
    </xf>
    <xf numFmtId="165" fontId="1" fillId="0" borderId="48" xfId="0" applyNumberFormat="1" applyFont="1" applyFill="1" applyBorder="1" applyAlignment="1">
      <alignment horizontal="center" vertical="center" wrapText="1"/>
    </xf>
    <xf numFmtId="3" fontId="1" fillId="6" borderId="49" xfId="0" applyNumberFormat="1" applyFont="1" applyFill="1" applyBorder="1" applyAlignment="1">
      <alignment horizontal="center" vertical="top"/>
    </xf>
    <xf numFmtId="3" fontId="3" fillId="0" borderId="5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3" fontId="6" fillId="0" borderId="66" xfId="0" applyNumberFormat="1" applyFont="1" applyBorder="1" applyAlignment="1">
      <alignment horizontal="center" vertical="top"/>
    </xf>
    <xf numFmtId="3" fontId="6" fillId="8" borderId="48" xfId="0" applyNumberFormat="1" applyFont="1" applyFill="1" applyBorder="1" applyAlignment="1">
      <alignment horizontal="center" vertical="top" wrapText="1"/>
    </xf>
    <xf numFmtId="49" fontId="6" fillId="7" borderId="22" xfId="0" applyNumberFormat="1" applyFont="1" applyFill="1" applyBorder="1" applyAlignment="1">
      <alignment horizontal="center" vertical="top"/>
    </xf>
    <xf numFmtId="49" fontId="3" fillId="9" borderId="56" xfId="0" applyNumberFormat="1" applyFont="1" applyFill="1" applyBorder="1" applyAlignment="1">
      <alignment vertical="top"/>
    </xf>
    <xf numFmtId="3" fontId="4" fillId="9" borderId="57" xfId="0" applyNumberFormat="1" applyFont="1" applyFill="1" applyBorder="1" applyAlignment="1">
      <alignment horizontal="center" vertical="center" textRotation="90" wrapText="1"/>
    </xf>
    <xf numFmtId="3" fontId="6" fillId="9" borderId="58" xfId="0" applyNumberFormat="1" applyFont="1" applyFill="1" applyBorder="1" applyAlignment="1">
      <alignment horizontal="center" vertical="top" wrapText="1"/>
    </xf>
    <xf numFmtId="3" fontId="3" fillId="5" borderId="62" xfId="0" applyNumberFormat="1" applyFont="1" applyFill="1" applyBorder="1" applyAlignment="1">
      <alignment horizontal="center" vertical="top"/>
    </xf>
    <xf numFmtId="3" fontId="3" fillId="5" borderId="60" xfId="0" applyNumberFormat="1" applyFont="1" applyFill="1" applyBorder="1" applyAlignment="1">
      <alignment horizontal="center" vertical="top"/>
    </xf>
    <xf numFmtId="3" fontId="3" fillId="5" borderId="1" xfId="0" applyNumberFormat="1" applyFont="1" applyFill="1" applyBorder="1" applyAlignment="1">
      <alignment horizontal="center" vertical="top"/>
    </xf>
    <xf numFmtId="49" fontId="4" fillId="6" borderId="35"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3" fillId="0" borderId="74"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3" fillId="7" borderId="7" xfId="0" applyNumberFormat="1" applyFont="1" applyFill="1" applyBorder="1" applyAlignment="1">
      <alignment vertical="top" wrapText="1"/>
    </xf>
    <xf numFmtId="3" fontId="4" fillId="6" borderId="28"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4" fillId="0" borderId="29" xfId="0" applyNumberFormat="1" applyFont="1" applyFill="1" applyBorder="1" applyAlignment="1">
      <alignment horizontal="center" vertical="top" wrapText="1"/>
    </xf>
    <xf numFmtId="49" fontId="4" fillId="7" borderId="15"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4" fillId="0" borderId="0" xfId="0" applyNumberFormat="1" applyFont="1" applyFill="1" applyBorder="1" applyAlignment="1">
      <alignment vertical="top" wrapText="1"/>
    </xf>
    <xf numFmtId="3" fontId="1" fillId="0" borderId="27" xfId="0" applyNumberFormat="1" applyFont="1" applyFill="1" applyBorder="1" applyAlignment="1">
      <alignment horizontal="center" vertical="top"/>
    </xf>
    <xf numFmtId="0" fontId="4" fillId="0" borderId="37" xfId="0" applyFont="1" applyFill="1" applyBorder="1" applyAlignment="1">
      <alignment vertical="top" wrapText="1"/>
    </xf>
    <xf numFmtId="0" fontId="4" fillId="0" borderId="36" xfId="0" applyFont="1" applyFill="1" applyBorder="1" applyAlignment="1">
      <alignment horizontal="center" vertical="top"/>
    </xf>
    <xf numFmtId="0" fontId="4" fillId="0" borderId="4" xfId="0" applyFont="1" applyFill="1" applyBorder="1" applyAlignment="1">
      <alignment horizontal="center" vertical="top"/>
    </xf>
    <xf numFmtId="0" fontId="4" fillId="0" borderId="61" xfId="0" applyFont="1" applyFill="1" applyBorder="1" applyAlignment="1">
      <alignment horizontal="center" vertical="top"/>
    </xf>
    <xf numFmtId="3" fontId="4" fillId="0" borderId="51" xfId="0" applyNumberFormat="1" applyFont="1" applyFill="1" applyBorder="1" applyAlignment="1">
      <alignment vertical="top" wrapText="1"/>
    </xf>
    <xf numFmtId="3" fontId="4" fillId="6" borderId="5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6" borderId="66"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4" fillId="0" borderId="12" xfId="0" applyNumberFormat="1" applyFont="1" applyBorder="1" applyAlignment="1">
      <alignment horizontal="center" vertical="top" wrapText="1"/>
    </xf>
    <xf numFmtId="3" fontId="4" fillId="6" borderId="0" xfId="0" applyNumberFormat="1" applyFont="1" applyFill="1" applyBorder="1" applyAlignment="1">
      <alignment horizontal="center" vertical="top"/>
    </xf>
    <xf numFmtId="3" fontId="4" fillId="0" borderId="70" xfId="0" applyNumberFormat="1" applyFont="1" applyFill="1" applyBorder="1" applyAlignment="1">
      <alignment vertical="top" wrapText="1"/>
    </xf>
    <xf numFmtId="3" fontId="4" fillId="0" borderId="33" xfId="0" applyNumberFormat="1" applyFont="1" applyFill="1" applyBorder="1" applyAlignment="1">
      <alignment horizontal="center" vertical="top"/>
    </xf>
    <xf numFmtId="3" fontId="4" fillId="0" borderId="34"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3" fontId="6" fillId="5" borderId="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5" borderId="34" xfId="0" applyNumberFormat="1" applyFont="1" applyFill="1" applyBorder="1" applyAlignment="1">
      <alignment horizontal="center" vertical="top"/>
    </xf>
    <xf numFmtId="3" fontId="6" fillId="5" borderId="9" xfId="0" applyNumberFormat="1" applyFont="1" applyFill="1" applyBorder="1" applyAlignment="1">
      <alignment horizontal="center" vertical="top"/>
    </xf>
    <xf numFmtId="3" fontId="3" fillId="4" borderId="77"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3" fontId="3" fillId="4" borderId="9" xfId="0" applyNumberFormat="1" applyFont="1" applyFill="1" applyBorder="1" applyAlignment="1">
      <alignment horizontal="center" vertical="top"/>
    </xf>
    <xf numFmtId="3" fontId="3" fillId="3" borderId="62"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22"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3" fontId="1" fillId="0" borderId="0" xfId="0" applyNumberFormat="1" applyFont="1" applyFill="1" applyBorder="1" applyAlignment="1">
      <alignment vertical="top" wrapText="1"/>
    </xf>
    <xf numFmtId="49" fontId="4" fillId="0" borderId="0" xfId="0" applyNumberFormat="1" applyFont="1" applyFill="1" applyBorder="1" applyAlignment="1">
      <alignment horizontal="center" vertical="center" wrapText="1"/>
    </xf>
    <xf numFmtId="3" fontId="1" fillId="0" borderId="33" xfId="0" applyNumberFormat="1" applyFont="1" applyBorder="1" applyAlignment="1">
      <alignment horizontal="center" vertical="top" wrapText="1"/>
    </xf>
    <xf numFmtId="3" fontId="1" fillId="0" borderId="9" xfId="0" applyNumberFormat="1" applyFont="1" applyBorder="1" applyAlignment="1">
      <alignment vertical="top" wrapText="1"/>
    </xf>
    <xf numFmtId="3" fontId="1" fillId="0" borderId="10" xfId="0" applyNumberFormat="1" applyFont="1" applyBorder="1" applyAlignment="1">
      <alignment vertical="top" wrapText="1"/>
    </xf>
    <xf numFmtId="3" fontId="1" fillId="0" borderId="70" xfId="0" applyNumberFormat="1" applyFont="1" applyBorder="1" applyAlignment="1">
      <alignment horizontal="center" vertical="top" wrapText="1"/>
    </xf>
    <xf numFmtId="3" fontId="6" fillId="3" borderId="8" xfId="0" applyNumberFormat="1" applyFont="1" applyFill="1" applyBorder="1" applyAlignment="1">
      <alignment horizontal="center" vertical="top" wrapText="1"/>
    </xf>
    <xf numFmtId="3" fontId="6" fillId="3" borderId="77" xfId="0" applyNumberFormat="1" applyFont="1" applyFill="1" applyBorder="1" applyAlignment="1">
      <alignment horizontal="center" vertical="top" wrapText="1"/>
    </xf>
    <xf numFmtId="3" fontId="6" fillId="3" borderId="33" xfId="0" applyNumberFormat="1" applyFont="1" applyFill="1" applyBorder="1" applyAlignment="1">
      <alignment horizontal="center" vertical="top" wrapText="1"/>
    </xf>
    <xf numFmtId="3" fontId="6" fillId="3" borderId="9" xfId="0" applyNumberFormat="1" applyFont="1" applyFill="1" applyBorder="1" applyAlignment="1">
      <alignment vertical="top" wrapText="1"/>
    </xf>
    <xf numFmtId="3" fontId="6" fillId="3" borderId="10" xfId="0" applyNumberFormat="1" applyFont="1" applyFill="1" applyBorder="1" applyAlignment="1">
      <alignment vertical="top" wrapText="1"/>
    </xf>
    <xf numFmtId="3" fontId="6" fillId="3" borderId="10"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28" xfId="0" applyNumberFormat="1" applyFont="1" applyBorder="1" applyAlignment="1">
      <alignment vertical="top" wrapText="1"/>
    </xf>
    <xf numFmtId="3" fontId="1" fillId="0" borderId="29" xfId="0" applyNumberFormat="1" applyFont="1" applyBorder="1" applyAlignment="1">
      <alignment vertical="top" wrapText="1"/>
    </xf>
    <xf numFmtId="3" fontId="1" fillId="0" borderId="6"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47"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18" xfId="0" applyNumberFormat="1" applyFont="1" applyBorder="1" applyAlignment="1">
      <alignment vertical="top" wrapText="1"/>
    </xf>
    <xf numFmtId="3" fontId="1" fillId="0" borderId="19" xfId="0" applyNumberFormat="1" applyFont="1" applyBorder="1" applyAlignment="1">
      <alignment vertical="top" wrapText="1"/>
    </xf>
    <xf numFmtId="3" fontId="1" fillId="0" borderId="19"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1" fillId="0" borderId="19" xfId="0" applyNumberFormat="1" applyFont="1" applyFill="1" applyBorder="1" applyAlignment="1">
      <alignment vertical="top" wrapText="1"/>
    </xf>
    <xf numFmtId="3" fontId="1" fillId="0" borderId="15"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7"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56" xfId="0" applyNumberFormat="1" applyFont="1" applyBorder="1" applyAlignment="1">
      <alignment vertical="top" wrapText="1"/>
    </xf>
    <xf numFmtId="3" fontId="1" fillId="0" borderId="57" xfId="0" applyNumberFormat="1" applyFont="1" applyBorder="1" applyAlignment="1">
      <alignment vertical="top" wrapText="1"/>
    </xf>
    <xf numFmtId="3" fontId="6" fillId="8" borderId="8" xfId="0" applyNumberFormat="1" applyFont="1" applyFill="1" applyBorder="1" applyAlignment="1">
      <alignment horizontal="center" vertical="top" wrapText="1"/>
    </xf>
    <xf numFmtId="3" fontId="6" fillId="8" borderId="77"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1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1" fillId="0" borderId="0" xfId="0" applyNumberFormat="1" applyFont="1" applyAlignment="1">
      <alignment horizontal="center" vertical="center" textRotation="90" wrapText="1"/>
    </xf>
    <xf numFmtId="3" fontId="7" fillId="0" borderId="27" xfId="0" applyNumberFormat="1" applyFont="1" applyBorder="1" applyAlignment="1">
      <alignment horizontal="center" vertical="top" wrapText="1"/>
    </xf>
    <xf numFmtId="3" fontId="7" fillId="0" borderId="67" xfId="0" applyNumberFormat="1" applyFont="1" applyBorder="1" applyAlignment="1">
      <alignment horizontal="center" vertical="top" wrapText="1"/>
    </xf>
    <xf numFmtId="3" fontId="3" fillId="5" borderId="75" xfId="0" applyNumberFormat="1" applyFont="1" applyFill="1" applyBorder="1" applyAlignment="1">
      <alignment horizontal="center" vertical="top"/>
    </xf>
    <xf numFmtId="49" fontId="3" fillId="0" borderId="50" xfId="0" applyNumberFormat="1" applyFont="1" applyBorder="1" applyAlignment="1">
      <alignment horizontal="center" vertical="top" wrapText="1"/>
    </xf>
    <xf numFmtId="3" fontId="4" fillId="0" borderId="8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0" borderId="48" xfId="0" applyNumberFormat="1" applyFont="1" applyBorder="1" applyAlignment="1">
      <alignment horizontal="center" vertical="center" textRotation="90" wrapText="1"/>
    </xf>
    <xf numFmtId="3" fontId="3" fillId="8" borderId="18"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4" fillId="6" borderId="53" xfId="0" applyNumberFormat="1" applyFont="1" applyFill="1" applyBorder="1" applyAlignment="1">
      <alignment vertical="top" wrapText="1"/>
    </xf>
    <xf numFmtId="49" fontId="4" fillId="7" borderId="53" xfId="0" applyNumberFormat="1" applyFont="1" applyFill="1" applyBorder="1" applyAlignment="1">
      <alignment horizontal="center" vertical="top"/>
    </xf>
    <xf numFmtId="0" fontId="4" fillId="6" borderId="48" xfId="0" applyFont="1" applyFill="1" applyBorder="1" applyAlignment="1">
      <alignment vertical="top" wrapText="1"/>
    </xf>
    <xf numFmtId="0" fontId="4" fillId="0" borderId="49" xfId="0" applyFont="1" applyFill="1" applyBorder="1" applyAlignment="1">
      <alignment vertical="top" wrapText="1"/>
    </xf>
    <xf numFmtId="3" fontId="3" fillId="0" borderId="52" xfId="0" applyNumberFormat="1" applyFont="1" applyFill="1" applyBorder="1" applyAlignment="1">
      <alignment vertical="center" textRotation="90" wrapText="1"/>
    </xf>
    <xf numFmtId="3" fontId="4" fillId="0" borderId="30" xfId="0"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4" fillId="0" borderId="62" xfId="0" applyNumberFormat="1" applyFont="1" applyFill="1" applyBorder="1" applyAlignment="1">
      <alignment horizontal="left" vertical="top" wrapText="1"/>
    </xf>
    <xf numFmtId="3" fontId="3" fillId="4" borderId="52" xfId="0" applyNumberFormat="1" applyFont="1" applyFill="1" applyBorder="1" applyAlignment="1">
      <alignment vertical="top"/>
    </xf>
    <xf numFmtId="49" fontId="6" fillId="7" borderId="50"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0" borderId="35" xfId="0" applyNumberFormat="1" applyFont="1" applyBorder="1" applyAlignment="1">
      <alignment horizontal="center" vertical="top"/>
    </xf>
    <xf numFmtId="3" fontId="4" fillId="0" borderId="48" xfId="0" applyNumberFormat="1" applyFont="1" applyBorder="1" applyAlignment="1">
      <alignment horizontal="left" vertical="top" wrapText="1"/>
    </xf>
    <xf numFmtId="3" fontId="4" fillId="0" borderId="75" xfId="0" applyNumberFormat="1" applyFont="1" applyBorder="1" applyAlignment="1">
      <alignment horizontal="center" vertical="top"/>
    </xf>
    <xf numFmtId="0" fontId="4" fillId="0" borderId="47" xfId="0"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49" fontId="6" fillId="7" borderId="75"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3" fontId="1" fillId="0" borderId="54" xfId="0" applyNumberFormat="1" applyFont="1" applyFill="1" applyBorder="1" applyAlignment="1">
      <alignment vertical="top"/>
    </xf>
    <xf numFmtId="3" fontId="1" fillId="0" borderId="53" xfId="0" applyNumberFormat="1" applyFont="1" applyFill="1" applyBorder="1" applyAlignment="1">
      <alignment vertical="top"/>
    </xf>
    <xf numFmtId="3" fontId="4" fillId="0" borderId="3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10" borderId="55" xfId="0" applyNumberFormat="1" applyFont="1" applyFill="1" applyBorder="1" applyAlignment="1">
      <alignment horizontal="center" vertical="top"/>
    </xf>
    <xf numFmtId="3" fontId="3" fillId="10" borderId="57"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11" fillId="6" borderId="11"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4" fillId="6" borderId="71" xfId="0" applyNumberFormat="1" applyFont="1" applyFill="1" applyBorder="1" applyAlignment="1">
      <alignment horizontal="center" vertical="top"/>
    </xf>
    <xf numFmtId="3" fontId="4" fillId="0" borderId="73"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3" fillId="10" borderId="21" xfId="0" applyNumberFormat="1" applyFont="1" applyFill="1" applyBorder="1" applyAlignment="1">
      <alignment horizontal="center" vertical="top"/>
    </xf>
    <xf numFmtId="3" fontId="3" fillId="0" borderId="41" xfId="0" applyNumberFormat="1" applyFont="1" applyFill="1" applyBorder="1" applyAlignment="1">
      <alignment horizontal="center" vertical="top" textRotation="180" wrapText="1"/>
    </xf>
    <xf numFmtId="3" fontId="4" fillId="0" borderId="39" xfId="0" applyNumberFormat="1" applyFont="1" applyFill="1" applyBorder="1" applyAlignment="1">
      <alignment vertical="top" textRotation="90" wrapText="1"/>
    </xf>
    <xf numFmtId="3" fontId="4" fillId="0" borderId="52" xfId="0" applyNumberFormat="1" applyFont="1" applyFill="1" applyBorder="1" applyAlignment="1">
      <alignment vertical="top" textRotation="90" wrapText="1"/>
    </xf>
    <xf numFmtId="49" fontId="4" fillId="0" borderId="50" xfId="0" applyNumberFormat="1" applyFont="1" applyBorder="1" applyAlignment="1">
      <alignment vertical="top" wrapText="1"/>
    </xf>
    <xf numFmtId="3" fontId="3" fillId="0" borderId="54" xfId="0" applyNumberFormat="1" applyFont="1" applyBorder="1" applyAlignment="1">
      <alignment vertical="top"/>
    </xf>
    <xf numFmtId="3" fontId="3" fillId="0" borderId="53" xfId="0" applyNumberFormat="1" applyFont="1" applyBorder="1" applyAlignment="1">
      <alignment vertical="top"/>
    </xf>
    <xf numFmtId="0" fontId="4" fillId="0" borderId="49" xfId="0" applyFont="1" applyFill="1" applyBorder="1" applyAlignment="1">
      <alignment horizontal="center" vertical="top" wrapText="1"/>
    </xf>
    <xf numFmtId="3" fontId="4" fillId="0" borderId="48" xfId="0" applyNumberFormat="1" applyFont="1" applyBorder="1" applyAlignment="1">
      <alignment vertical="center" textRotation="90" wrapText="1"/>
    </xf>
    <xf numFmtId="3" fontId="4" fillId="6" borderId="25" xfId="0" applyNumberFormat="1" applyFont="1" applyFill="1" applyBorder="1" applyAlignment="1">
      <alignment vertical="top" wrapText="1"/>
    </xf>
    <xf numFmtId="0" fontId="4" fillId="0" borderId="52" xfId="0" applyNumberFormat="1" applyFont="1" applyFill="1" applyBorder="1" applyAlignment="1">
      <alignment horizontal="center" vertical="top"/>
    </xf>
    <xf numFmtId="0" fontId="4" fillId="0" borderId="50"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3" fontId="4" fillId="0" borderId="38"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6" borderId="78" xfId="0" applyNumberFormat="1" applyFont="1" applyFill="1" applyBorder="1" applyAlignment="1">
      <alignment horizontal="center" vertical="top"/>
    </xf>
    <xf numFmtId="3" fontId="4" fillId="0" borderId="27"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67" xfId="0" applyNumberFormat="1" applyFont="1" applyBorder="1" applyAlignment="1">
      <alignment horizontal="center" vertical="top"/>
    </xf>
    <xf numFmtId="164" fontId="1" fillId="0" borderId="27"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0" borderId="47" xfId="0" applyFont="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49" fontId="4" fillId="10" borderId="54" xfId="0" applyNumberFormat="1" applyFont="1" applyFill="1" applyBorder="1" applyAlignment="1">
      <alignment horizontal="center" vertical="top" wrapText="1"/>
    </xf>
    <xf numFmtId="3" fontId="4" fillId="0" borderId="41" xfId="0" applyNumberFormat="1" applyFont="1" applyBorder="1" applyAlignment="1">
      <alignment horizontal="center" vertical="top"/>
    </xf>
    <xf numFmtId="3" fontId="4" fillId="0" borderId="13" xfId="0" applyNumberFormat="1" applyFont="1" applyBorder="1" applyAlignment="1">
      <alignment horizontal="center" vertical="top"/>
    </xf>
    <xf numFmtId="3" fontId="4" fillId="0" borderId="54" xfId="0" applyNumberFormat="1" applyFont="1" applyBorder="1" applyAlignment="1">
      <alignment horizontal="center" vertical="top"/>
    </xf>
    <xf numFmtId="165" fontId="4" fillId="0" borderId="48" xfId="0" applyNumberFormat="1" applyFont="1" applyBorder="1" applyAlignment="1">
      <alignment horizontal="left" vertical="top" wrapText="1"/>
    </xf>
    <xf numFmtId="49" fontId="4" fillId="0" borderId="50" xfId="0" applyNumberFormat="1" applyFont="1" applyFill="1" applyBorder="1" applyAlignment="1">
      <alignment horizontal="center" vertical="center"/>
    </xf>
    <xf numFmtId="49" fontId="4" fillId="0" borderId="53" xfId="0" applyNumberFormat="1" applyFont="1" applyFill="1" applyBorder="1" applyAlignment="1">
      <alignment horizontal="right" vertical="center"/>
    </xf>
    <xf numFmtId="3" fontId="1" fillId="6" borderId="48" xfId="0" applyNumberFormat="1" applyFont="1" applyFill="1" applyBorder="1" applyAlignment="1">
      <alignment vertical="top" wrapText="1"/>
    </xf>
    <xf numFmtId="3" fontId="6" fillId="0" borderId="51" xfId="0" applyNumberFormat="1" applyFont="1" applyBorder="1" applyAlignment="1">
      <alignment horizontal="center" vertical="top"/>
    </xf>
    <xf numFmtId="3" fontId="1" fillId="0" borderId="48" xfId="0" applyNumberFormat="1" applyFont="1" applyBorder="1" applyAlignment="1">
      <alignment horizontal="center" vertical="center" textRotation="90" wrapText="1"/>
    </xf>
    <xf numFmtId="3" fontId="3" fillId="0" borderId="39" xfId="0" applyNumberFormat="1" applyFont="1" applyFill="1" applyBorder="1" applyAlignment="1">
      <alignment horizontal="center" vertical="top" textRotation="180" wrapText="1"/>
    </xf>
    <xf numFmtId="3" fontId="3" fillId="0" borderId="41"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49" fontId="1" fillId="9" borderId="15" xfId="0" applyNumberFormat="1" applyFont="1" applyFill="1" applyBorder="1" applyAlignment="1">
      <alignment horizontal="center" vertical="top"/>
    </xf>
    <xf numFmtId="49" fontId="6" fillId="7" borderId="72" xfId="0" applyNumberFormat="1" applyFont="1" applyFill="1" applyBorder="1" applyAlignment="1">
      <alignment horizontal="center" vertical="top"/>
    </xf>
    <xf numFmtId="0" fontId="4" fillId="0" borderId="54" xfId="0" applyFont="1" applyFill="1" applyBorder="1" applyAlignment="1">
      <alignment horizontal="center" vertical="top" wrapText="1"/>
    </xf>
    <xf numFmtId="49" fontId="1" fillId="10" borderId="17" xfId="0" applyNumberFormat="1" applyFont="1" applyFill="1" applyBorder="1" applyAlignment="1">
      <alignment horizontal="center" vertical="top" wrapText="1"/>
    </xf>
    <xf numFmtId="3" fontId="4" fillId="6" borderId="46"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textRotation="90" wrapText="1"/>
    </xf>
    <xf numFmtId="49" fontId="4" fillId="9" borderId="45" xfId="0" applyNumberFormat="1" applyFont="1" applyFill="1" applyBorder="1" applyAlignment="1">
      <alignment vertical="top"/>
    </xf>
    <xf numFmtId="49" fontId="4" fillId="9" borderId="54" xfId="0" applyNumberFormat="1" applyFont="1" applyFill="1" applyBorder="1" applyAlignment="1">
      <alignment vertical="top"/>
    </xf>
    <xf numFmtId="49" fontId="4" fillId="9" borderId="53" xfId="0" applyNumberFormat="1" applyFont="1" applyFill="1" applyBorder="1" applyAlignment="1">
      <alignment vertical="top"/>
    </xf>
    <xf numFmtId="3" fontId="3" fillId="8" borderId="66"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50"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3" fillId="0" borderId="75" xfId="0" applyNumberFormat="1" applyFont="1" applyBorder="1" applyAlignment="1">
      <alignment horizontal="center" vertical="top"/>
    </xf>
    <xf numFmtId="3" fontId="3" fillId="4" borderId="2" xfId="0" applyNumberFormat="1" applyFont="1" applyFill="1" applyBorder="1" applyAlignment="1">
      <alignment horizontal="center" vertical="top" wrapText="1"/>
    </xf>
    <xf numFmtId="3" fontId="3" fillId="5" borderId="3" xfId="0" applyNumberFormat="1" applyFont="1" applyFill="1" applyBorder="1" applyAlignment="1">
      <alignment horizontal="center" vertical="top" wrapText="1"/>
    </xf>
    <xf numFmtId="49" fontId="3" fillId="0" borderId="3" xfId="0" applyNumberFormat="1" applyFont="1" applyBorder="1" applyAlignment="1">
      <alignment horizontal="center" vertical="top" wrapText="1"/>
    </xf>
    <xf numFmtId="49" fontId="4" fillId="7" borderId="28" xfId="0" applyNumberFormat="1" applyFont="1" applyFill="1" applyBorder="1" applyAlignment="1">
      <alignment horizontal="center" vertical="top" wrapText="1"/>
    </xf>
    <xf numFmtId="3" fontId="3" fillId="6" borderId="38" xfId="0" applyNumberFormat="1" applyFont="1" applyFill="1" applyBorder="1" applyAlignment="1">
      <alignment vertical="top" wrapText="1"/>
    </xf>
    <xf numFmtId="3" fontId="3" fillId="0" borderId="2" xfId="0" applyNumberFormat="1" applyFont="1" applyFill="1" applyBorder="1" applyAlignment="1">
      <alignment vertical="center" textRotation="90" wrapText="1"/>
    </xf>
    <xf numFmtId="49" fontId="4" fillId="0" borderId="3"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1" fillId="0" borderId="38" xfId="0" applyNumberFormat="1" applyFont="1" applyBorder="1" applyAlignment="1">
      <alignment horizontal="center" vertical="top" wrapText="1"/>
    </xf>
    <xf numFmtId="3" fontId="4" fillId="6" borderId="2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wrapText="1"/>
    </xf>
    <xf numFmtId="3" fontId="4" fillId="0" borderId="27" xfId="0" applyNumberFormat="1" applyFont="1" applyFill="1" applyBorder="1" applyAlignment="1">
      <alignment horizontal="left" vertical="top" wrapText="1"/>
    </xf>
    <xf numFmtId="3" fontId="3" fillId="4" borderId="52" xfId="0" applyNumberFormat="1" applyFont="1" applyFill="1" applyBorder="1" applyAlignment="1">
      <alignment vertical="top" wrapText="1"/>
    </xf>
    <xf numFmtId="3" fontId="3" fillId="5" borderId="50" xfId="0" applyNumberFormat="1" applyFont="1" applyFill="1" applyBorder="1" applyAlignment="1">
      <alignment vertical="top" wrapText="1"/>
    </xf>
    <xf numFmtId="3" fontId="3" fillId="4" borderId="43" xfId="0" applyNumberFormat="1" applyFont="1" applyFill="1" applyBorder="1" applyAlignment="1">
      <alignment vertical="top" wrapText="1"/>
    </xf>
    <xf numFmtId="3" fontId="3" fillId="5" borderId="44" xfId="0" applyNumberFormat="1" applyFont="1" applyFill="1" applyBorder="1" applyAlignment="1">
      <alignment vertical="top" wrapText="1"/>
    </xf>
    <xf numFmtId="49" fontId="3" fillId="0" borderId="44" xfId="0" applyNumberFormat="1" applyFont="1" applyBorder="1" applyAlignment="1">
      <alignment horizontal="center" vertical="top" wrapText="1"/>
    </xf>
    <xf numFmtId="49" fontId="4" fillId="7" borderId="31" xfId="0" applyNumberFormat="1" applyFont="1" applyFill="1" applyBorder="1" applyAlignment="1">
      <alignment horizontal="center" vertical="top" wrapText="1"/>
    </xf>
    <xf numFmtId="3" fontId="3" fillId="0" borderId="43" xfId="0" applyNumberFormat="1" applyFont="1" applyFill="1" applyBorder="1" applyAlignment="1">
      <alignment vertical="center" textRotation="90" wrapText="1"/>
    </xf>
    <xf numFmtId="3" fontId="3" fillId="4" borderId="43"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wrapText="1"/>
    </xf>
    <xf numFmtId="3" fontId="3" fillId="0" borderId="32" xfId="0" applyNumberFormat="1" applyFont="1" applyBorder="1" applyAlignment="1">
      <alignment horizontal="center" vertical="top" wrapText="1"/>
    </xf>
    <xf numFmtId="3" fontId="1" fillId="0" borderId="40" xfId="0" applyNumberFormat="1" applyFont="1" applyBorder="1" applyAlignment="1">
      <alignment vertical="top" wrapText="1"/>
    </xf>
    <xf numFmtId="3" fontId="13" fillId="0" borderId="0" xfId="0" applyNumberFormat="1" applyFont="1"/>
    <xf numFmtId="3" fontId="15" fillId="0" borderId="0" xfId="0" applyNumberFormat="1" applyFont="1" applyAlignment="1">
      <alignment vertical="top"/>
    </xf>
    <xf numFmtId="3" fontId="12" fillId="0" borderId="0" xfId="0" applyNumberFormat="1" applyFont="1"/>
    <xf numFmtId="3" fontId="12" fillId="0" borderId="0" xfId="0" applyNumberFormat="1" applyFont="1" applyAlignment="1">
      <alignment vertical="top"/>
    </xf>
    <xf numFmtId="49" fontId="4" fillId="7" borderId="75"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4" fillId="0" borderId="15" xfId="0" applyFont="1" applyFill="1" applyBorder="1" applyAlignment="1">
      <alignment vertical="top" wrapText="1"/>
    </xf>
    <xf numFmtId="0" fontId="4" fillId="0" borderId="24" xfId="0" applyFont="1" applyFill="1" applyBorder="1" applyAlignment="1">
      <alignment vertical="top" wrapText="1"/>
    </xf>
    <xf numFmtId="164" fontId="2" fillId="0" borderId="0" xfId="0" applyNumberFormat="1" applyFont="1" applyAlignment="1">
      <alignment horizontal="center" vertical="top"/>
    </xf>
    <xf numFmtId="164" fontId="2" fillId="0" borderId="0" xfId="0" applyNumberFormat="1" applyFont="1" applyAlignment="1">
      <alignment vertical="top"/>
    </xf>
    <xf numFmtId="0" fontId="17" fillId="0" borderId="0" xfId="0" applyFont="1"/>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49" fontId="6" fillId="0" borderId="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1"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6" fillId="6" borderId="45"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3" fillId="9" borderId="56"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16" xfId="0" applyNumberFormat="1" applyFont="1" applyFill="1" applyBorder="1" applyAlignment="1">
      <alignment horizontal="center" vertical="top" wrapText="1"/>
    </xf>
    <xf numFmtId="0" fontId="12" fillId="0" borderId="0" xfId="0" applyFont="1"/>
    <xf numFmtId="3" fontId="1" fillId="0" borderId="13"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17" fillId="0" borderId="0" xfId="0" applyNumberFormat="1" applyFont="1"/>
    <xf numFmtId="164" fontId="1" fillId="6" borderId="52" xfId="0" applyNumberFormat="1" applyFont="1" applyFill="1" applyBorder="1" applyAlignment="1">
      <alignment horizontal="center" vertical="top"/>
    </xf>
    <xf numFmtId="164" fontId="4" fillId="0" borderId="52"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4" fillId="0" borderId="40" xfId="0" applyFont="1" applyFill="1" applyBorder="1" applyAlignment="1">
      <alignment horizontal="center" vertical="top"/>
    </xf>
    <xf numFmtId="164" fontId="1" fillId="0" borderId="28"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3" borderId="1" xfId="0" applyNumberFormat="1" applyFont="1" applyFill="1" applyBorder="1" applyAlignment="1">
      <alignment horizontal="center" vertical="top" wrapText="1"/>
    </xf>
    <xf numFmtId="3" fontId="6" fillId="0" borderId="7" xfId="0" applyNumberFormat="1" applyFont="1" applyBorder="1" applyAlignment="1">
      <alignment horizontal="center" vertical="top" wrapText="1"/>
    </xf>
    <xf numFmtId="164" fontId="4" fillId="7" borderId="31"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49" fontId="3" fillId="0" borderId="54" xfId="0" applyNumberFormat="1" applyFont="1" applyBorder="1" applyAlignment="1">
      <alignment horizontal="center" vertical="top" wrapText="1"/>
    </xf>
    <xf numFmtId="164" fontId="4" fillId="0" borderId="39" xfId="0" applyNumberFormat="1" applyFont="1" applyFill="1" applyBorder="1" applyAlignment="1">
      <alignment horizontal="center" vertical="top"/>
    </xf>
    <xf numFmtId="164" fontId="19" fillId="0" borderId="19" xfId="0" applyNumberFormat="1" applyFont="1" applyFill="1" applyBorder="1" applyAlignment="1">
      <alignment horizontal="center" vertical="top"/>
    </xf>
    <xf numFmtId="164" fontId="19" fillId="6" borderId="32" xfId="0" applyNumberFormat="1" applyFont="1" applyFill="1" applyBorder="1" applyAlignment="1">
      <alignment horizontal="center" vertical="top"/>
    </xf>
    <xf numFmtId="3" fontId="4" fillId="0" borderId="40" xfId="0" applyNumberFormat="1" applyFont="1" applyBorder="1" applyAlignment="1">
      <alignment vertical="top"/>
    </xf>
    <xf numFmtId="164" fontId="20" fillId="0" borderId="0" xfId="0" applyNumberFormat="1" applyFont="1"/>
    <xf numFmtId="0" fontId="20" fillId="0" borderId="0" xfId="0" applyFont="1"/>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0" fontId="1" fillId="0" borderId="38" xfId="0" applyNumberFormat="1" applyFont="1" applyFill="1" applyBorder="1" applyAlignment="1">
      <alignment horizontal="center" vertical="top"/>
    </xf>
    <xf numFmtId="0" fontId="17" fillId="0" borderId="0" xfId="0" applyFont="1" applyAlignment="1">
      <alignment horizontal="center"/>
    </xf>
    <xf numFmtId="49" fontId="3" fillId="0" borderId="75" xfId="0" applyNumberFormat="1" applyFont="1" applyBorder="1" applyAlignment="1">
      <alignment horizontal="center" vertical="top" wrapText="1"/>
    </xf>
    <xf numFmtId="164" fontId="4" fillId="7" borderId="18"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textRotation="180" wrapText="1"/>
    </xf>
    <xf numFmtId="3" fontId="4" fillId="0" borderId="37" xfId="0" applyNumberFormat="1" applyFont="1" applyFill="1" applyBorder="1" applyAlignment="1">
      <alignment vertical="center" textRotation="90" wrapText="1"/>
    </xf>
    <xf numFmtId="3" fontId="4" fillId="0" borderId="41" xfId="0" applyNumberFormat="1" applyFont="1" applyFill="1" applyBorder="1" applyAlignment="1">
      <alignment vertical="center" textRotation="90" wrapText="1"/>
    </xf>
    <xf numFmtId="3" fontId="1" fillId="0" borderId="37" xfId="0" applyNumberFormat="1" applyFont="1" applyFill="1" applyBorder="1" applyAlignment="1">
      <alignment horizontal="center" vertical="top" textRotation="180" wrapText="1"/>
    </xf>
    <xf numFmtId="3" fontId="1" fillId="0" borderId="43" xfId="0" applyNumberFormat="1" applyFont="1" applyFill="1" applyBorder="1" applyAlignment="1">
      <alignment horizontal="center" vertical="center" wrapText="1"/>
    </xf>
    <xf numFmtId="3" fontId="1" fillId="0" borderId="39" xfId="0" applyNumberFormat="1" applyFont="1" applyFill="1" applyBorder="1" applyAlignment="1">
      <alignment vertical="center" wrapText="1"/>
    </xf>
    <xf numFmtId="3" fontId="1" fillId="0" borderId="39" xfId="0" applyNumberFormat="1" applyFont="1" applyFill="1" applyBorder="1" applyAlignment="1">
      <alignment horizontal="center" vertical="center" wrapText="1"/>
    </xf>
    <xf numFmtId="3" fontId="4" fillId="0" borderId="39" xfId="0" applyNumberFormat="1" applyFont="1" applyBorder="1" applyAlignment="1">
      <alignment vertical="center" textRotation="90"/>
    </xf>
    <xf numFmtId="3" fontId="1" fillId="0" borderId="39" xfId="0" applyNumberFormat="1" applyFont="1" applyFill="1" applyBorder="1" applyAlignment="1">
      <alignment horizontal="center" vertical="top" wrapText="1"/>
    </xf>
    <xf numFmtId="3" fontId="4" fillId="0" borderId="35"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3" fontId="4" fillId="0" borderId="41" xfId="0" applyNumberFormat="1" applyFont="1" applyBorder="1" applyAlignment="1">
      <alignment vertical="center" textRotation="90"/>
    </xf>
    <xf numFmtId="3" fontId="4" fillId="0" borderId="0" xfId="0" applyNumberFormat="1" applyFont="1" applyBorder="1" applyAlignment="1">
      <alignment vertical="center" textRotation="90"/>
    </xf>
    <xf numFmtId="3" fontId="4" fillId="0" borderId="62" xfId="0" applyNumberFormat="1" applyFont="1" applyBorder="1" applyAlignment="1">
      <alignment horizontal="center" vertical="center" textRotation="90"/>
    </xf>
    <xf numFmtId="3" fontId="4" fillId="0" borderId="11" xfId="0" applyNumberFormat="1" applyFont="1" applyFill="1" applyBorder="1" applyAlignment="1">
      <alignment vertical="center" textRotation="90" wrapText="1"/>
    </xf>
    <xf numFmtId="3" fontId="4" fillId="0" borderId="37" xfId="0" applyNumberFormat="1" applyFont="1" applyFill="1" applyBorder="1" applyAlignment="1">
      <alignment horizontal="center" vertical="center" textRotation="90"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6" borderId="48" xfId="0" applyNumberFormat="1"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6" xfId="0" applyNumberFormat="1" applyFont="1" applyBorder="1" applyAlignment="1">
      <alignment horizontal="center" vertical="top"/>
    </xf>
    <xf numFmtId="3" fontId="4" fillId="6" borderId="46" xfId="0" applyNumberFormat="1" applyFont="1" applyFill="1" applyBorder="1" applyAlignment="1">
      <alignment horizontal="left" vertical="top" wrapText="1"/>
    </xf>
    <xf numFmtId="49" fontId="3" fillId="7" borderId="5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textRotation="180" wrapText="1"/>
    </xf>
    <xf numFmtId="3" fontId="3" fillId="4" borderId="59"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164" fontId="19" fillId="7" borderId="42"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1" xfId="0" applyNumberFormat="1" applyFont="1" applyFill="1" applyBorder="1" applyAlignment="1">
      <alignment vertical="top"/>
    </xf>
    <xf numFmtId="49" fontId="4" fillId="0" borderId="41" xfId="0" applyNumberFormat="1" applyFont="1" applyFill="1" applyBorder="1" applyAlignment="1">
      <alignment horizontal="center" vertical="top"/>
    </xf>
    <xf numFmtId="49" fontId="4" fillId="0" borderId="62" xfId="0" applyNumberFormat="1" applyFont="1" applyFill="1" applyBorder="1" applyAlignment="1">
      <alignment horizontal="center" vertical="top"/>
    </xf>
    <xf numFmtId="0" fontId="4" fillId="0" borderId="42" xfId="0" applyNumberFormat="1" applyFont="1" applyFill="1" applyBorder="1" applyAlignment="1">
      <alignment horizontal="center" vertical="top"/>
    </xf>
    <xf numFmtId="3" fontId="4" fillId="0" borderId="15" xfId="0" applyNumberFormat="1" applyFont="1" applyFill="1" applyBorder="1" applyAlignment="1">
      <alignment vertical="top"/>
    </xf>
    <xf numFmtId="49" fontId="4" fillId="0" borderId="15" xfId="0" applyNumberFormat="1" applyFont="1" applyFill="1" applyBorder="1" applyAlignment="1">
      <alignment horizontal="center" vertical="top"/>
    </xf>
    <xf numFmtId="49" fontId="4" fillId="0" borderId="24" xfId="0" applyNumberFormat="1" applyFont="1" applyFill="1" applyBorder="1" applyAlignment="1">
      <alignment horizontal="center" vertical="top"/>
    </xf>
    <xf numFmtId="0" fontId="1" fillId="0" borderId="29" xfId="0" applyNumberFormat="1" applyFont="1" applyFill="1" applyBorder="1" applyAlignment="1">
      <alignment horizontal="center" vertical="top"/>
    </xf>
    <xf numFmtId="0" fontId="4" fillId="0"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30" xfId="0" applyFont="1" applyFill="1" applyBorder="1" applyAlignment="1">
      <alignment horizontal="center" vertical="top"/>
    </xf>
    <xf numFmtId="3" fontId="4" fillId="0" borderId="30" xfId="0" applyNumberFormat="1" applyFont="1" applyBorder="1" applyAlignment="1">
      <alignment horizontal="center" vertical="top"/>
    </xf>
    <xf numFmtId="3" fontId="4" fillId="0" borderId="44" xfId="0" applyNumberFormat="1" applyFont="1" applyBorder="1" applyAlignment="1">
      <alignment horizontal="center" vertical="top"/>
    </xf>
    <xf numFmtId="0" fontId="4" fillId="0" borderId="41" xfId="0" applyFont="1" applyFill="1" applyBorder="1" applyAlignment="1">
      <alignment horizontal="center" vertical="top" wrapText="1"/>
    </xf>
    <xf numFmtId="3" fontId="1" fillId="0" borderId="52" xfId="0" applyNumberFormat="1" applyFont="1" applyFill="1" applyBorder="1" applyAlignment="1">
      <alignment horizontal="center" vertical="center" wrapText="1"/>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15" xfId="0" applyFont="1" applyFill="1" applyBorder="1" applyAlignment="1">
      <alignment horizontal="center" vertical="top"/>
    </xf>
    <xf numFmtId="0" fontId="4" fillId="0" borderId="32" xfId="0" applyFont="1" applyFill="1" applyBorder="1" applyAlignment="1">
      <alignment horizontal="center" vertical="top"/>
    </xf>
    <xf numFmtId="3" fontId="4" fillId="0" borderId="24" xfId="0" applyNumberFormat="1" applyFont="1" applyFill="1" applyBorder="1" applyAlignment="1">
      <alignment vertical="top"/>
    </xf>
    <xf numFmtId="3" fontId="4" fillId="6" borderId="15" xfId="0" applyNumberFormat="1" applyFont="1" applyFill="1" applyBorder="1" applyAlignment="1">
      <alignment horizontal="center" vertical="top"/>
    </xf>
    <xf numFmtId="0" fontId="18" fillId="0" borderId="30" xfId="0" applyFont="1" applyBorder="1" applyAlignment="1">
      <alignment horizontal="center" vertical="top" wrapText="1"/>
    </xf>
    <xf numFmtId="3" fontId="1" fillId="0" borderId="41"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22" xfId="0" applyNumberFormat="1" applyFont="1" applyBorder="1" applyAlignment="1">
      <alignment horizontal="center" vertical="top"/>
    </xf>
    <xf numFmtId="3" fontId="4" fillId="7" borderId="46" xfId="0" applyNumberFormat="1" applyFont="1" applyFill="1" applyBorder="1" applyAlignment="1">
      <alignment vertical="top" wrapText="1"/>
    </xf>
    <xf numFmtId="3" fontId="25" fillId="0" borderId="44" xfId="0" applyNumberFormat="1" applyFont="1" applyBorder="1" applyAlignment="1">
      <alignment horizontal="center" vertical="top"/>
    </xf>
    <xf numFmtId="0" fontId="4" fillId="0" borderId="31" xfId="0" applyFont="1" applyFill="1" applyBorder="1" applyAlignment="1">
      <alignment horizontal="left" vertical="top" wrapText="1"/>
    </xf>
    <xf numFmtId="3" fontId="1" fillId="0" borderId="74" xfId="0" applyNumberFormat="1" applyFont="1" applyFill="1" applyBorder="1" applyAlignment="1">
      <alignment horizontal="center" vertical="top" wrapText="1"/>
    </xf>
    <xf numFmtId="3" fontId="4" fillId="0" borderId="35" xfId="0" applyNumberFormat="1" applyFont="1" applyFill="1" applyBorder="1" applyAlignment="1">
      <alignment horizontal="left" vertical="top" wrapText="1"/>
    </xf>
    <xf numFmtId="0" fontId="4" fillId="0" borderId="0" xfId="0" applyFont="1" applyFill="1" applyBorder="1" applyAlignment="1">
      <alignment vertical="top" wrapText="1"/>
    </xf>
    <xf numFmtId="0" fontId="4" fillId="0" borderId="28" xfId="0" applyFont="1" applyFill="1" applyBorder="1" applyAlignment="1">
      <alignment vertical="top" wrapText="1"/>
    </xf>
    <xf numFmtId="3" fontId="4" fillId="0" borderId="7"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1" fillId="0" borderId="28"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7" fillId="0" borderId="0" xfId="0" applyNumberFormat="1" applyFont="1"/>
    <xf numFmtId="164" fontId="4" fillId="0" borderId="41" xfId="0" applyNumberFormat="1" applyFont="1" applyFill="1" applyBorder="1" applyAlignment="1">
      <alignment horizontal="center" vertical="top" wrapText="1"/>
    </xf>
    <xf numFmtId="164" fontId="1" fillId="0" borderId="37"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wrapText="1"/>
    </xf>
    <xf numFmtId="3" fontId="25" fillId="0" borderId="5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xf>
    <xf numFmtId="3" fontId="25" fillId="0" borderId="31" xfId="0" applyNumberFormat="1" applyFont="1" applyBorder="1" applyAlignment="1">
      <alignment horizontal="center" vertical="top"/>
    </xf>
    <xf numFmtId="3" fontId="25" fillId="0" borderId="51" xfId="0" applyNumberFormat="1" applyFont="1" applyBorder="1" applyAlignment="1">
      <alignment horizontal="center" vertical="top"/>
    </xf>
    <xf numFmtId="3" fontId="4" fillId="0" borderId="0" xfId="0" applyNumberFormat="1" applyFont="1" applyBorder="1" applyAlignment="1">
      <alignment horizontal="center" vertical="top"/>
    </xf>
    <xf numFmtId="3" fontId="6" fillId="6" borderId="54" xfId="0" applyNumberFormat="1" applyFont="1" applyFill="1" applyBorder="1" applyAlignment="1">
      <alignment horizontal="center" vertical="center"/>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3" fillId="5" borderId="4"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6" borderId="16" xfId="0" applyNumberFormat="1" applyFont="1" applyFill="1" applyBorder="1" applyAlignment="1">
      <alignment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49" fontId="6" fillId="7" borderId="54" xfId="0" applyNumberFormat="1" applyFont="1" applyFill="1" applyBorder="1" applyAlignment="1">
      <alignment horizontal="center" vertical="top"/>
    </xf>
    <xf numFmtId="49" fontId="3" fillId="7" borderId="54" xfId="0" applyNumberFormat="1" applyFont="1" applyFill="1" applyBorder="1" applyAlignment="1">
      <alignment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6" fillId="0" borderId="61"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xf>
    <xf numFmtId="3" fontId="6" fillId="0" borderId="5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0" fontId="4" fillId="0" borderId="18" xfId="0" applyFont="1" applyBorder="1" applyAlignment="1">
      <alignment horizontal="center" vertical="top" wrapText="1"/>
    </xf>
    <xf numFmtId="164" fontId="18" fillId="6" borderId="31" xfId="0" applyNumberFormat="1" applyFont="1" applyFill="1" applyBorder="1" applyAlignment="1">
      <alignment horizontal="center" vertical="top"/>
    </xf>
    <xf numFmtId="0" fontId="4" fillId="0" borderId="16" xfId="0" applyFont="1" applyBorder="1" applyAlignment="1">
      <alignment horizontal="center" vertical="center" wrapText="1"/>
    </xf>
    <xf numFmtId="164" fontId="1" fillId="0" borderId="32"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7" borderId="0"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xf>
    <xf numFmtId="164" fontId="1" fillId="6" borderId="6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6" fillId="0" borderId="54" xfId="0" applyNumberFormat="1" applyFont="1" applyBorder="1" applyAlignment="1">
      <alignment horizontal="center" vertical="top"/>
    </xf>
    <xf numFmtId="3" fontId="6" fillId="8" borderId="25" xfId="0" applyNumberFormat="1" applyFont="1" applyFill="1" applyBorder="1" applyAlignment="1">
      <alignment horizontal="center" vertical="top"/>
    </xf>
    <xf numFmtId="164" fontId="4" fillId="6" borderId="52" xfId="0" applyNumberFormat="1" applyFont="1" applyFill="1" applyBorder="1" applyAlignment="1">
      <alignment horizontal="center" vertical="top"/>
    </xf>
    <xf numFmtId="3" fontId="4" fillId="0" borderId="42" xfId="0" applyNumberFormat="1" applyFont="1" applyBorder="1" applyAlignment="1">
      <alignment horizontal="center" vertical="top"/>
    </xf>
    <xf numFmtId="164" fontId="1" fillId="7" borderId="43"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164" fontId="1" fillId="7" borderId="39"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13" xfId="0" applyNumberFormat="1" applyFont="1" applyBorder="1" applyAlignment="1">
      <alignment horizontal="center" vertical="top"/>
    </xf>
    <xf numFmtId="3" fontId="6" fillId="0" borderId="53" xfId="0" applyNumberFormat="1" applyFont="1" applyBorder="1" applyAlignment="1">
      <alignment horizontal="center" vertical="center"/>
    </xf>
    <xf numFmtId="0" fontId="19" fillId="0" borderId="42" xfId="0" applyFont="1" applyFill="1" applyBorder="1" applyAlignment="1">
      <alignment horizontal="center" vertical="top" wrapText="1"/>
    </xf>
    <xf numFmtId="0" fontId="24" fillId="0" borderId="44" xfId="0" applyFont="1" applyFill="1" applyBorder="1" applyAlignment="1">
      <alignment horizontal="center" vertical="top" wrapText="1"/>
    </xf>
    <xf numFmtId="0" fontId="19" fillId="0" borderId="44" xfId="0" applyFont="1" applyFill="1" applyBorder="1" applyAlignment="1">
      <alignment horizontal="center" vertical="top" wrapText="1"/>
    </xf>
    <xf numFmtId="0" fontId="24" fillId="0" borderId="72" xfId="0" applyFont="1" applyFill="1" applyBorder="1" applyAlignment="1">
      <alignment horizontal="center" vertical="top" wrapText="1"/>
    </xf>
    <xf numFmtId="0" fontId="24" fillId="0" borderId="54" xfId="0" applyFont="1" applyFill="1" applyBorder="1" applyAlignment="1">
      <alignment horizontal="center" vertical="top" wrapText="1"/>
    </xf>
    <xf numFmtId="3" fontId="4" fillId="0" borderId="52" xfId="0" applyNumberFormat="1" applyFont="1" applyFill="1" applyBorder="1" applyAlignment="1">
      <alignment vertical="center" textRotation="90" wrapText="1"/>
    </xf>
    <xf numFmtId="3" fontId="4" fillId="0" borderId="49" xfId="0" applyNumberFormat="1" applyFont="1" applyFill="1" applyBorder="1" applyAlignment="1">
      <alignment vertical="center" textRotation="90" wrapText="1"/>
    </xf>
    <xf numFmtId="164" fontId="18" fillId="0" borderId="15"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164" fontId="4" fillId="6" borderId="39"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3" fontId="6" fillId="0" borderId="38" xfId="0" applyNumberFormat="1" applyFont="1" applyBorder="1" applyAlignment="1">
      <alignment vertical="top" wrapText="1"/>
    </xf>
    <xf numFmtId="3" fontId="4" fillId="0" borderId="2" xfId="0" applyNumberFormat="1" applyFont="1" applyBorder="1" applyAlignment="1">
      <alignment vertical="center" textRotation="90"/>
    </xf>
    <xf numFmtId="3" fontId="3" fillId="0" borderId="67" xfId="0" applyNumberFormat="1" applyFont="1" applyBorder="1" applyAlignment="1">
      <alignment horizontal="center" vertical="top" wrapText="1"/>
    </xf>
    <xf numFmtId="49" fontId="3" fillId="7" borderId="14" xfId="0" applyNumberFormat="1" applyFont="1" applyFill="1" applyBorder="1" applyAlignment="1">
      <alignment vertical="top"/>
    </xf>
    <xf numFmtId="49" fontId="3" fillId="7" borderId="23" xfId="0" applyNumberFormat="1" applyFont="1" applyFill="1" applyBorder="1" applyAlignment="1">
      <alignment vertical="top"/>
    </xf>
    <xf numFmtId="3" fontId="6" fillId="0" borderId="67" xfId="0" applyNumberFormat="1" applyFont="1" applyBorder="1" applyAlignment="1">
      <alignment horizontal="center" vertical="top"/>
    </xf>
    <xf numFmtId="164" fontId="1" fillId="6"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7" borderId="4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4" fillId="0" borderId="40" xfId="0" applyNumberFormat="1" applyFont="1" applyFill="1" applyBorder="1" applyAlignment="1">
      <alignment vertical="top" wrapText="1"/>
    </xf>
    <xf numFmtId="164" fontId="4" fillId="7" borderId="30"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3" fillId="5" borderId="4"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center" vertical="top"/>
    </xf>
    <xf numFmtId="3" fontId="18" fillId="6" borderId="40" xfId="0" applyNumberFormat="1" applyFont="1" applyFill="1" applyBorder="1" applyAlignment="1">
      <alignment vertical="top" wrapText="1"/>
    </xf>
    <xf numFmtId="3" fontId="25" fillId="4" borderId="39" xfId="0" applyNumberFormat="1" applyFont="1" applyFill="1" applyBorder="1" applyAlignment="1">
      <alignment horizontal="center" vertical="top"/>
    </xf>
    <xf numFmtId="3" fontId="25" fillId="5" borderId="13" xfId="0" applyNumberFormat="1" applyFont="1" applyFill="1" applyBorder="1" applyAlignment="1">
      <alignment horizontal="center" vertical="top"/>
    </xf>
    <xf numFmtId="49" fontId="25" fillId="0" borderId="14" xfId="0" applyNumberFormat="1" applyFont="1" applyBorder="1" applyAlignment="1">
      <alignment horizontal="center" vertical="top"/>
    </xf>
    <xf numFmtId="164" fontId="19" fillId="6" borderId="31" xfId="0" applyNumberFormat="1" applyFont="1" applyFill="1" applyBorder="1" applyAlignment="1">
      <alignment horizontal="center" vertical="top"/>
    </xf>
    <xf numFmtId="49" fontId="19" fillId="6" borderId="41"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3" fontId="19" fillId="0" borderId="0" xfId="0" applyNumberFormat="1" applyFont="1" applyBorder="1" applyAlignment="1">
      <alignment vertical="top"/>
    </xf>
    <xf numFmtId="164" fontId="4" fillId="6" borderId="32"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3" fillId="8" borderId="24"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6" fillId="8" borderId="2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0"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3" fillId="5" borderId="10" xfId="0" applyNumberFormat="1" applyFont="1" applyFill="1" applyBorder="1" applyAlignment="1">
      <alignment horizontal="center" vertical="top"/>
    </xf>
    <xf numFmtId="164" fontId="1" fillId="7" borderId="3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1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6" borderId="43" xfId="0" applyNumberFormat="1" applyFont="1" applyFill="1" applyBorder="1" applyAlignment="1">
      <alignment horizontal="center" vertical="top"/>
    </xf>
    <xf numFmtId="164" fontId="6" fillId="6" borderId="15"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6" fillId="8" borderId="56"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164" fontId="1" fillId="0" borderId="36"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3" fontId="2" fillId="0" borderId="15" xfId="0" applyNumberFormat="1" applyFont="1" applyBorder="1"/>
    <xf numFmtId="164" fontId="6" fillId="5" borderId="10" xfId="0" applyNumberFormat="1" applyFont="1" applyFill="1" applyBorder="1" applyAlignment="1">
      <alignment horizontal="center" vertical="top"/>
    </xf>
    <xf numFmtId="164" fontId="4" fillId="7" borderId="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39" xfId="0" applyNumberFormat="1" applyFont="1" applyBorder="1" applyAlignment="1">
      <alignment horizontal="center" vertical="top" wrapText="1"/>
    </xf>
    <xf numFmtId="164" fontId="4" fillId="0" borderId="39" xfId="0" applyNumberFormat="1" applyFont="1" applyFill="1" applyBorder="1" applyAlignment="1">
      <alignment horizontal="center" vertical="top" wrapText="1"/>
    </xf>
    <xf numFmtId="3" fontId="2" fillId="0" borderId="39" xfId="0" applyNumberFormat="1" applyFont="1" applyBorder="1"/>
    <xf numFmtId="164" fontId="4" fillId="0" borderId="43"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6" fillId="5" borderId="33"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3" fillId="3" borderId="59"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xf>
    <xf numFmtId="164" fontId="18" fillId="6" borderId="4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44"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6" fillId="8" borderId="21" xfId="0" applyNumberFormat="1" applyFont="1" applyFill="1" applyBorder="1" applyAlignment="1">
      <alignment horizontal="center" vertical="top"/>
    </xf>
    <xf numFmtId="164" fontId="1" fillId="7" borderId="13"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8" fillId="0" borderId="4" xfId="0" applyNumberFormat="1" applyFont="1" applyBorder="1" applyAlignment="1">
      <alignment horizontal="center" vertical="top"/>
    </xf>
    <xf numFmtId="164" fontId="1" fillId="0" borderId="4" xfId="0" applyNumberFormat="1" applyFont="1" applyFill="1" applyBorder="1" applyAlignment="1">
      <alignment horizontal="center" vertical="top"/>
    </xf>
    <xf numFmtId="164" fontId="1" fillId="7" borderId="3" xfId="0" applyNumberFormat="1" applyFont="1" applyFill="1" applyBorder="1" applyAlignment="1">
      <alignment horizontal="center" vertical="top" wrapText="1"/>
    </xf>
    <xf numFmtId="164" fontId="4" fillId="6" borderId="35"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19" fillId="7" borderId="31"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xf>
    <xf numFmtId="164" fontId="19" fillId="7" borderId="44" xfId="0" applyNumberFormat="1" applyFont="1" applyFill="1" applyBorder="1" applyAlignment="1">
      <alignment horizontal="center" vertical="top" wrapText="1"/>
    </xf>
    <xf numFmtId="164" fontId="19" fillId="0" borderId="44"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4" fillId="7" borderId="3"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xf>
    <xf numFmtId="164" fontId="4" fillId="0" borderId="4" xfId="0" applyNumberFormat="1" applyFont="1" applyFill="1" applyBorder="1" applyAlignment="1">
      <alignment horizontal="center" vertical="top" wrapText="1"/>
    </xf>
    <xf numFmtId="164" fontId="4" fillId="0" borderId="13" xfId="0" applyNumberFormat="1" applyFont="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3" fontId="2" fillId="0" borderId="13" xfId="0" applyNumberFormat="1" applyFont="1" applyBorder="1"/>
    <xf numFmtId="164" fontId="4" fillId="0" borderId="44"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6" fillId="8" borderId="62" xfId="0" applyNumberFormat="1" applyFont="1" applyFill="1" applyBorder="1" applyAlignment="1">
      <alignment horizontal="center" vertical="top"/>
    </xf>
    <xf numFmtId="164" fontId="4" fillId="7" borderId="35" xfId="0" applyNumberFormat="1" applyFont="1" applyFill="1" applyBorder="1" applyAlignment="1">
      <alignment horizontal="center" vertical="top"/>
    </xf>
    <xf numFmtId="3" fontId="2" fillId="0" borderId="41" xfId="0" applyNumberFormat="1" applyFont="1" applyBorder="1"/>
    <xf numFmtId="164" fontId="3" fillId="8" borderId="3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164" fontId="3" fillId="8" borderId="26"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6" fillId="8" borderId="22" xfId="0" applyNumberFormat="1" applyFont="1" applyFill="1" applyBorder="1" applyAlignment="1">
      <alignment horizontal="center" vertical="top"/>
    </xf>
    <xf numFmtId="164" fontId="4" fillId="7" borderId="4" xfId="0" applyNumberFormat="1" applyFont="1" applyFill="1" applyBorder="1" applyAlignment="1">
      <alignment horizontal="center" vertical="top" wrapText="1"/>
    </xf>
    <xf numFmtId="164" fontId="4" fillId="7" borderId="13"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4" fillId="7" borderId="54"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19" fillId="7" borderId="32"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xf>
    <xf numFmtId="164" fontId="6" fillId="8" borderId="12" xfId="0" applyNumberFormat="1" applyFont="1" applyFill="1" applyBorder="1" applyAlignment="1">
      <alignment horizontal="center" vertical="top" wrapText="1"/>
    </xf>
    <xf numFmtId="164" fontId="19" fillId="6" borderId="44"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3" fontId="2" fillId="0" borderId="42" xfId="0" applyNumberFormat="1" applyFont="1" applyBorder="1"/>
    <xf numFmtId="164" fontId="1" fillId="6" borderId="12" xfId="0" applyNumberFormat="1" applyFont="1" applyFill="1" applyBorder="1" applyAlignment="1">
      <alignment horizontal="center" vertical="top"/>
    </xf>
    <xf numFmtId="3" fontId="2" fillId="0" borderId="44" xfId="0" applyNumberFormat="1" applyFont="1" applyBorder="1"/>
    <xf numFmtId="3" fontId="4" fillId="7" borderId="29" xfId="0" applyNumberFormat="1" applyFont="1" applyFill="1" applyBorder="1" applyAlignment="1">
      <alignment vertical="top" wrapText="1"/>
    </xf>
    <xf numFmtId="3" fontId="4" fillId="7" borderId="66" xfId="0" applyNumberFormat="1" applyFont="1" applyFill="1" applyBorder="1" applyAlignment="1">
      <alignment horizontal="left" vertical="top" wrapText="1"/>
    </xf>
    <xf numFmtId="3" fontId="4" fillId="0" borderId="15" xfId="0" applyNumberFormat="1" applyFont="1" applyFill="1" applyBorder="1" applyAlignment="1">
      <alignment vertical="top" wrapText="1"/>
    </xf>
    <xf numFmtId="164" fontId="1" fillId="6" borderId="51" xfId="0" applyNumberFormat="1" applyFont="1" applyFill="1" applyBorder="1" applyAlignment="1">
      <alignment horizontal="center" vertical="top"/>
    </xf>
    <xf numFmtId="164" fontId="18" fillId="0" borderId="35"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3" fontId="4" fillId="0" borderId="6" xfId="0" applyNumberFormat="1" applyFont="1" applyBorder="1" applyAlignment="1">
      <alignment vertical="top" wrapText="1"/>
    </xf>
    <xf numFmtId="3" fontId="4" fillId="0" borderId="19" xfId="0" applyNumberFormat="1" applyFont="1" applyFill="1" applyBorder="1" applyAlignment="1">
      <alignment vertical="top" wrapText="1"/>
    </xf>
    <xf numFmtId="0" fontId="19" fillId="0" borderId="15" xfId="0"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6" xfId="0" applyNumberFormat="1" applyFont="1" applyFill="1" applyBorder="1" applyAlignment="1">
      <alignment vertical="top" wrapText="1"/>
    </xf>
    <xf numFmtId="164" fontId="1" fillId="0" borderId="41"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164" fontId="6" fillId="6" borderId="4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7" borderId="47"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xf>
    <xf numFmtId="164" fontId="4" fillId="7" borderId="47" xfId="0" applyNumberFormat="1" applyFont="1" applyFill="1" applyBorder="1" applyAlignment="1">
      <alignment horizontal="center" vertical="top"/>
    </xf>
    <xf numFmtId="164" fontId="1" fillId="7" borderId="66"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wrapText="1"/>
    </xf>
    <xf numFmtId="164" fontId="4" fillId="6" borderId="53"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4" fillId="7" borderId="32"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4" fillId="7" borderId="12" xfId="0" applyNumberFormat="1" applyFont="1" applyFill="1" applyBorder="1" applyAlignment="1">
      <alignment horizontal="center" vertical="top" wrapText="1"/>
    </xf>
    <xf numFmtId="0" fontId="4" fillId="0" borderId="31" xfId="0" applyFont="1" applyFill="1" applyBorder="1" applyAlignment="1">
      <alignment vertical="top" wrapText="1"/>
    </xf>
    <xf numFmtId="164" fontId="6" fillId="8" borderId="79" xfId="0" applyNumberFormat="1" applyFont="1" applyFill="1" applyBorder="1" applyAlignment="1">
      <alignment horizontal="center" vertical="top"/>
    </xf>
    <xf numFmtId="164" fontId="4" fillId="7" borderId="5" xfId="0" applyNumberFormat="1" applyFont="1" applyFill="1" applyBorder="1" applyAlignment="1">
      <alignment horizontal="center" vertical="top" wrapText="1"/>
    </xf>
    <xf numFmtId="164" fontId="4" fillId="7"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xf>
    <xf numFmtId="164" fontId="4" fillId="6" borderId="75"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7" borderId="17"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6" fillId="8" borderId="42" xfId="0" applyNumberFormat="1" applyFont="1" applyFill="1" applyBorder="1" applyAlignment="1">
      <alignment horizontal="center" vertical="top" wrapText="1"/>
    </xf>
    <xf numFmtId="164" fontId="6" fillId="8" borderId="44" xfId="0" applyNumberFormat="1" applyFont="1" applyFill="1" applyBorder="1" applyAlignment="1">
      <alignment horizontal="center" vertical="top" wrapText="1"/>
    </xf>
    <xf numFmtId="164" fontId="6" fillId="8" borderId="31" xfId="0" applyNumberFormat="1" applyFont="1" applyFill="1" applyBorder="1" applyAlignment="1">
      <alignment horizontal="center" vertical="top" wrapText="1"/>
    </xf>
    <xf numFmtId="164" fontId="6" fillId="8" borderId="41" xfId="0" applyNumberFormat="1" applyFont="1" applyFill="1" applyBorder="1" applyAlignment="1">
      <alignment horizontal="center" vertical="top" wrapText="1"/>
    </xf>
    <xf numFmtId="164" fontId="6" fillId="8" borderId="13" xfId="0" applyNumberFormat="1" applyFont="1" applyFill="1" applyBorder="1" applyAlignment="1">
      <alignment horizontal="center" vertical="top" wrapText="1"/>
    </xf>
    <xf numFmtId="164" fontId="6" fillId="10" borderId="55" xfId="0" applyNumberFormat="1" applyFont="1" applyFill="1" applyBorder="1" applyAlignment="1">
      <alignment horizontal="center" vertical="top" wrapText="1"/>
    </xf>
    <xf numFmtId="164" fontId="6" fillId="10" borderId="21" xfId="0" applyNumberFormat="1" applyFont="1" applyFill="1" applyBorder="1" applyAlignment="1">
      <alignment horizontal="center" vertical="top" wrapText="1"/>
    </xf>
    <xf numFmtId="164" fontId="6" fillId="10" borderId="56" xfId="0" applyNumberFormat="1" applyFont="1" applyFill="1" applyBorder="1" applyAlignment="1">
      <alignment horizontal="center" vertical="top" wrapText="1"/>
    </xf>
    <xf numFmtId="3" fontId="4" fillId="10" borderId="55" xfId="0" applyNumberFormat="1" applyFont="1" applyFill="1" applyBorder="1" applyAlignment="1">
      <alignment horizontal="left" vertical="top" wrapText="1"/>
    </xf>
    <xf numFmtId="3" fontId="4" fillId="10" borderId="56" xfId="0" applyNumberFormat="1" applyFont="1" applyFill="1" applyBorder="1" applyAlignment="1">
      <alignment horizontal="center" vertical="top"/>
    </xf>
    <xf numFmtId="3" fontId="1" fillId="10" borderId="57" xfId="0" applyNumberFormat="1" applyFont="1" applyFill="1" applyBorder="1" applyAlignment="1">
      <alignment horizontal="left" vertical="top" wrapText="1"/>
    </xf>
    <xf numFmtId="164" fontId="1" fillId="0" borderId="37"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3" fontId="2" fillId="0" borderId="41" xfId="0" applyNumberFormat="1" applyFont="1" applyBorder="1" applyAlignment="1">
      <alignment horizontal="center" wrapText="1"/>
    </xf>
    <xf numFmtId="49" fontId="3" fillId="0" borderId="61" xfId="0" applyNumberFormat="1" applyFont="1" applyBorder="1" applyAlignment="1">
      <alignment vertical="top"/>
    </xf>
    <xf numFmtId="3" fontId="3" fillId="5" borderId="13"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1" fillId="0" borderId="41" xfId="0" applyNumberFormat="1" applyFont="1" applyFill="1" applyBorder="1" applyAlignment="1">
      <alignment horizontal="center" vertical="center" wrapText="1"/>
    </xf>
    <xf numFmtId="164" fontId="6" fillId="8" borderId="17" xfId="0" applyNumberFormat="1" applyFont="1" applyFill="1" applyBorder="1" applyAlignment="1">
      <alignment horizontal="center" vertical="top" wrapText="1"/>
    </xf>
    <xf numFmtId="164" fontId="6" fillId="8" borderId="18" xfId="0" applyNumberFormat="1" applyFont="1" applyFill="1" applyBorder="1" applyAlignment="1">
      <alignment horizontal="center" vertical="top" wrapText="1"/>
    </xf>
    <xf numFmtId="164" fontId="6" fillId="8" borderId="47" xfId="0" applyNumberFormat="1" applyFont="1" applyFill="1" applyBorder="1" applyAlignment="1">
      <alignment horizontal="center" vertical="top" wrapText="1"/>
    </xf>
    <xf numFmtId="0" fontId="19" fillId="0" borderId="41" xfId="0" applyFont="1" applyFill="1" applyBorder="1" applyAlignment="1">
      <alignment horizontal="center" vertical="top" wrapText="1"/>
    </xf>
    <xf numFmtId="0" fontId="24" fillId="0" borderId="13" xfId="0" applyFont="1" applyFill="1" applyBorder="1" applyAlignment="1">
      <alignment horizontal="center" vertical="top" wrapText="1"/>
    </xf>
    <xf numFmtId="0" fontId="19" fillId="0" borderId="16" xfId="0" applyFont="1" applyFill="1" applyBorder="1" applyAlignment="1">
      <alignment horizontal="left" vertical="top" wrapText="1"/>
    </xf>
    <xf numFmtId="164" fontId="1" fillId="6" borderId="49" xfId="0" applyNumberFormat="1" applyFont="1" applyFill="1" applyBorder="1" applyAlignment="1">
      <alignment horizontal="center" vertical="top"/>
    </xf>
    <xf numFmtId="164" fontId="18" fillId="6" borderId="12" xfId="0" applyNumberFormat="1" applyFont="1" applyFill="1" applyBorder="1" applyAlignment="1">
      <alignment horizontal="center" vertical="top" wrapText="1"/>
    </xf>
    <xf numFmtId="164" fontId="19" fillId="7" borderId="13" xfId="0" applyNumberFormat="1" applyFont="1" applyFill="1" applyBorder="1" applyAlignment="1">
      <alignment horizontal="center" vertical="top" wrapText="1"/>
    </xf>
    <xf numFmtId="164" fontId="19" fillId="7" borderId="0"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31"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wrapText="1"/>
    </xf>
    <xf numFmtId="164" fontId="19" fillId="6" borderId="18" xfId="0" applyNumberFormat="1" applyFont="1" applyFill="1" applyBorder="1" applyAlignment="1">
      <alignment horizontal="center" vertical="top"/>
    </xf>
    <xf numFmtId="164" fontId="19" fillId="6" borderId="30" xfId="0" applyNumberFormat="1" applyFont="1" applyFill="1" applyBorder="1" applyAlignment="1">
      <alignment horizontal="center" vertical="top"/>
    </xf>
    <xf numFmtId="164" fontId="19" fillId="6" borderId="12" xfId="0" applyNumberFormat="1" applyFont="1" applyFill="1" applyBorder="1" applyAlignment="1">
      <alignment horizontal="center" vertical="top"/>
    </xf>
    <xf numFmtId="164" fontId="19" fillId="6" borderId="1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18" fillId="7" borderId="4" xfId="0" applyNumberFormat="1" applyFont="1" applyFill="1" applyBorder="1" applyAlignment="1">
      <alignment horizontal="center" vertical="top"/>
    </xf>
    <xf numFmtId="164" fontId="18" fillId="7" borderId="35"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9" fillId="6" borderId="41"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3" fontId="19" fillId="0" borderId="41" xfId="0" applyNumberFormat="1" applyFont="1" applyFill="1" applyBorder="1" applyAlignment="1">
      <alignment horizontal="center" vertical="top" wrapText="1"/>
    </xf>
    <xf numFmtId="3" fontId="19" fillId="0" borderId="13" xfId="0" applyNumberFormat="1" applyFont="1" applyFill="1" applyBorder="1" applyAlignment="1">
      <alignment horizontal="center" vertical="top" wrapText="1"/>
    </xf>
    <xf numFmtId="3" fontId="19" fillId="0" borderId="0"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8" fillId="0"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164" fontId="19" fillId="0" borderId="44" xfId="0" applyNumberFormat="1" applyFont="1" applyFill="1" applyBorder="1" applyAlignment="1">
      <alignment horizontal="center" vertical="top"/>
    </xf>
    <xf numFmtId="164" fontId="19" fillId="0" borderId="31"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4" fillId="0" borderId="19" xfId="0" applyNumberFormat="1" applyFont="1" applyFill="1" applyBorder="1" applyAlignment="1">
      <alignment horizontal="center" vertical="top"/>
    </xf>
    <xf numFmtId="3" fontId="19" fillId="6" borderId="13" xfId="0" applyNumberFormat="1" applyFont="1" applyFill="1" applyBorder="1" applyAlignment="1">
      <alignment horizontal="center" vertical="top" wrapText="1"/>
    </xf>
    <xf numFmtId="3" fontId="19" fillId="6" borderId="15" xfId="0" applyNumberFormat="1" applyFont="1" applyFill="1" applyBorder="1" applyAlignment="1">
      <alignment horizontal="center" vertical="top" wrapText="1"/>
    </xf>
    <xf numFmtId="3" fontId="18" fillId="0" borderId="15"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32" xfId="0" applyNumberFormat="1" applyFont="1" applyBorder="1" applyAlignment="1">
      <alignment horizontal="center" vertical="top"/>
    </xf>
    <xf numFmtId="3" fontId="25" fillId="0" borderId="14" xfId="0" applyNumberFormat="1" applyFont="1" applyBorder="1" applyAlignment="1">
      <alignment horizontal="center" vertical="top"/>
    </xf>
    <xf numFmtId="164" fontId="18" fillId="0" borderId="12" xfId="0" applyNumberFormat="1" applyFont="1" applyBorder="1" applyAlignment="1">
      <alignment horizontal="center" vertical="top"/>
    </xf>
    <xf numFmtId="3" fontId="4" fillId="0" borderId="12" xfId="0" applyNumberFormat="1" applyFont="1" applyBorder="1" applyAlignment="1">
      <alignment vertical="top"/>
    </xf>
    <xf numFmtId="164" fontId="18" fillId="7" borderId="12" xfId="0" applyNumberFormat="1" applyFont="1" applyFill="1" applyBorder="1" applyAlignment="1">
      <alignment horizontal="center" vertical="top"/>
    </xf>
    <xf numFmtId="164" fontId="18" fillId="6" borderId="12" xfId="0" applyNumberFormat="1" applyFont="1" applyFill="1" applyBorder="1" applyAlignment="1">
      <alignment horizontal="center" vertical="top"/>
    </xf>
    <xf numFmtId="3" fontId="6" fillId="0" borderId="5" xfId="0" applyNumberFormat="1" applyFont="1" applyBorder="1" applyAlignment="1">
      <alignment horizontal="center" vertical="top"/>
    </xf>
    <xf numFmtId="164" fontId="1" fillId="7" borderId="69"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8" fillId="0" borderId="71" xfId="0" applyNumberFormat="1" applyFont="1" applyBorder="1" applyAlignment="1">
      <alignment horizontal="center" vertical="top"/>
    </xf>
    <xf numFmtId="164" fontId="1" fillId="7" borderId="7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0" borderId="74" xfId="0" applyNumberFormat="1" applyFont="1" applyBorder="1" applyAlignment="1">
      <alignment horizontal="center" vertical="top"/>
    </xf>
    <xf numFmtId="164" fontId="1" fillId="6" borderId="63" xfId="0" applyNumberFormat="1" applyFont="1" applyFill="1" applyBorder="1" applyAlignment="1">
      <alignment horizontal="center" vertical="top"/>
    </xf>
    <xf numFmtId="164" fontId="6" fillId="6" borderId="6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63" xfId="0" applyNumberFormat="1" applyFont="1" applyBorder="1" applyAlignment="1">
      <alignment horizontal="center" vertical="top"/>
    </xf>
    <xf numFmtId="3" fontId="19" fillId="0" borderId="46" xfId="0" applyNumberFormat="1" applyFont="1" applyBorder="1" applyAlignment="1">
      <alignment horizontal="center" vertical="top"/>
    </xf>
    <xf numFmtId="164" fontId="18" fillId="0" borderId="17" xfId="0" applyNumberFormat="1" applyFont="1" applyBorder="1" applyAlignment="1">
      <alignment horizontal="center" vertical="top"/>
    </xf>
    <xf numFmtId="164" fontId="18" fillId="7" borderId="17" xfId="0" applyNumberFormat="1" applyFont="1" applyFill="1" applyBorder="1" applyAlignment="1">
      <alignment horizontal="center" vertical="top"/>
    </xf>
    <xf numFmtId="164" fontId="18" fillId="6" borderId="17" xfId="0" applyNumberFormat="1" applyFont="1" applyFill="1" applyBorder="1" applyAlignment="1">
      <alignment horizontal="center" vertical="top"/>
    </xf>
    <xf numFmtId="164" fontId="19" fillId="6" borderId="17" xfId="0" applyNumberFormat="1" applyFont="1" applyFill="1" applyBorder="1" applyAlignment="1">
      <alignment horizontal="center" vertical="top"/>
    </xf>
    <xf numFmtId="3" fontId="4" fillId="0" borderId="11" xfId="0" applyNumberFormat="1" applyFont="1" applyBorder="1" applyAlignment="1">
      <alignment vertical="top"/>
    </xf>
    <xf numFmtId="3" fontId="4" fillId="0" borderId="47" xfId="0" applyNumberFormat="1" applyFont="1" applyBorder="1" applyAlignment="1">
      <alignment vertical="top"/>
    </xf>
    <xf numFmtId="164" fontId="19" fillId="6" borderId="47" xfId="0" applyNumberFormat="1" applyFont="1" applyFill="1" applyBorder="1" applyAlignment="1">
      <alignment horizontal="center" vertical="top"/>
    </xf>
    <xf numFmtId="164" fontId="6" fillId="8" borderId="60" xfId="0" applyNumberFormat="1" applyFont="1" applyFill="1" applyBorder="1" applyAlignment="1">
      <alignment horizontal="center" vertical="top"/>
    </xf>
    <xf numFmtId="3" fontId="19" fillId="0" borderId="16" xfId="0" applyNumberFormat="1" applyFont="1" applyBorder="1" applyAlignment="1">
      <alignment horizontal="center" vertical="top"/>
    </xf>
    <xf numFmtId="164" fontId="18" fillId="0" borderId="63" xfId="0" applyNumberFormat="1" applyFont="1" applyBorder="1" applyAlignment="1">
      <alignment horizontal="center" vertical="top"/>
    </xf>
    <xf numFmtId="164" fontId="18" fillId="0" borderId="13" xfId="0" applyNumberFormat="1" applyFont="1" applyBorder="1" applyAlignment="1">
      <alignment horizontal="center" vertical="top"/>
    </xf>
    <xf numFmtId="164" fontId="18" fillId="0" borderId="0" xfId="0" applyNumberFormat="1" applyFont="1" applyBorder="1" applyAlignment="1">
      <alignment horizontal="center" vertical="top"/>
    </xf>
    <xf numFmtId="49" fontId="3" fillId="7" borderId="61" xfId="0" applyNumberFormat="1" applyFont="1" applyFill="1" applyBorder="1" applyAlignment="1">
      <alignment vertical="top"/>
    </xf>
    <xf numFmtId="3" fontId="4" fillId="0" borderId="37" xfId="0" applyNumberFormat="1" applyFont="1" applyBorder="1" applyAlignment="1">
      <alignment vertical="center" textRotation="90"/>
    </xf>
    <xf numFmtId="164" fontId="1" fillId="0" borderId="35" xfId="0" applyNumberFormat="1" applyFont="1" applyBorder="1" applyAlignment="1">
      <alignment horizontal="center" vertical="center" wrapText="1"/>
    </xf>
    <xf numFmtId="164" fontId="6" fillId="3" borderId="9"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0" fontId="1" fillId="0" borderId="27" xfId="0" applyNumberFormat="1" applyFont="1" applyFill="1" applyBorder="1" applyAlignment="1">
      <alignment horizontal="center" vertical="top"/>
    </xf>
    <xf numFmtId="0" fontId="19" fillId="6" borderId="16" xfId="0" applyFont="1" applyFill="1" applyBorder="1" applyAlignment="1">
      <alignment horizontal="left" vertical="top" wrapText="1"/>
    </xf>
    <xf numFmtId="0" fontId="19" fillId="6" borderId="41" xfId="0" applyFont="1" applyFill="1" applyBorder="1" applyAlignment="1">
      <alignment horizontal="center" vertical="top" wrapText="1"/>
    </xf>
    <xf numFmtId="0" fontId="19" fillId="6" borderId="13" xfId="0" applyFont="1" applyFill="1" applyBorder="1" applyAlignment="1">
      <alignment horizontal="center" vertical="top" wrapText="1"/>
    </xf>
    <xf numFmtId="0" fontId="19" fillId="6" borderId="15" xfId="0" applyFont="1" applyFill="1" applyBorder="1" applyAlignment="1">
      <alignment horizontal="center" vertical="top" wrapText="1"/>
    </xf>
    <xf numFmtId="3" fontId="19" fillId="0" borderId="46" xfId="0" applyNumberFormat="1" applyFont="1" applyFill="1" applyBorder="1" applyAlignment="1">
      <alignment vertical="top" wrapText="1"/>
    </xf>
    <xf numFmtId="164" fontId="18" fillId="7" borderId="4" xfId="0" applyNumberFormat="1" applyFont="1" applyFill="1" applyBorder="1" applyAlignment="1">
      <alignment horizontal="center" vertical="top" wrapText="1"/>
    </xf>
    <xf numFmtId="164" fontId="18" fillId="7" borderId="35"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1" fillId="0" borderId="39" xfId="0" applyNumberFormat="1" applyFont="1" applyFill="1" applyBorder="1" applyAlignment="1">
      <alignment vertical="center" textRotation="90" wrapText="1"/>
    </xf>
    <xf numFmtId="3" fontId="4" fillId="0" borderId="66" xfId="0" applyNumberFormat="1" applyFont="1" applyFill="1" applyBorder="1" applyAlignment="1">
      <alignment vertical="top" wrapText="1"/>
    </xf>
    <xf numFmtId="3" fontId="3" fillId="0" borderId="75" xfId="0" applyNumberFormat="1" applyFont="1" applyBorder="1" applyAlignment="1">
      <alignment horizontal="center" vertical="top"/>
    </xf>
    <xf numFmtId="164" fontId="1" fillId="0" borderId="51"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3" fontId="3" fillId="5" borderId="72" xfId="0" applyNumberFormat="1" applyFont="1" applyFill="1" applyBorder="1" applyAlignment="1">
      <alignment horizontal="center" vertical="top"/>
    </xf>
    <xf numFmtId="49" fontId="19" fillId="0" borderId="30" xfId="0" applyNumberFormat="1" applyFont="1" applyFill="1" applyBorder="1" applyAlignment="1">
      <alignment horizontal="center" vertical="top" wrapText="1"/>
    </xf>
    <xf numFmtId="49" fontId="4" fillId="0"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3" fillId="8" borderId="51"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19" fillId="6" borderId="0"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3" fillId="8" borderId="79" xfId="0" applyNumberFormat="1" applyFont="1" applyFill="1" applyBorder="1" applyAlignment="1">
      <alignment horizontal="center" vertical="top"/>
    </xf>
    <xf numFmtId="164" fontId="3" fillId="8" borderId="62"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3" fontId="18" fillId="0" borderId="0" xfId="0" applyNumberFormat="1" applyFont="1" applyFill="1" applyBorder="1" applyAlignment="1">
      <alignment horizontal="center" vertical="top" wrapText="1"/>
    </xf>
    <xf numFmtId="164" fontId="19" fillId="6" borderId="50" xfId="0" applyNumberFormat="1" applyFont="1" applyFill="1" applyBorder="1" applyAlignment="1">
      <alignment horizontal="center" vertical="top"/>
    </xf>
    <xf numFmtId="164" fontId="19" fillId="6" borderId="5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0" fontId="29" fillId="0" borderId="0" xfId="0" applyFont="1"/>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0" borderId="4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7" borderId="13" xfId="0" applyNumberFormat="1" applyFont="1" applyFill="1" applyBorder="1" applyAlignment="1">
      <alignment horizontal="center" vertical="top" wrapText="1"/>
    </xf>
    <xf numFmtId="3" fontId="6" fillId="6" borderId="45"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3" fontId="6" fillId="6" borderId="54" xfId="0" applyNumberFormat="1" applyFont="1" applyFill="1" applyBorder="1" applyAlignment="1">
      <alignment horizontal="center" vertical="top"/>
    </xf>
    <xf numFmtId="3" fontId="19" fillId="6" borderId="16"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164" fontId="4" fillId="7" borderId="78" xfId="0" applyNumberFormat="1" applyFont="1" applyFill="1" applyBorder="1" applyAlignment="1">
      <alignment horizontal="center" vertical="top" wrapText="1"/>
    </xf>
    <xf numFmtId="164" fontId="4" fillId="0" borderId="75"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3" borderId="23"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66" xfId="0" applyNumberFormat="1" applyFont="1" applyFill="1" applyBorder="1" applyAlignment="1">
      <alignment horizontal="center" vertical="top"/>
    </xf>
    <xf numFmtId="49" fontId="19" fillId="0" borderId="49" xfId="0" applyNumberFormat="1" applyFont="1" applyFill="1" applyBorder="1" applyAlignment="1">
      <alignment horizontal="center" vertical="top" wrapText="1"/>
    </xf>
    <xf numFmtId="49" fontId="4" fillId="0" borderId="75"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3" fontId="3" fillId="0" borderId="60" xfId="0" applyNumberFormat="1" applyFont="1" applyBorder="1" applyAlignment="1">
      <alignment vertical="top"/>
    </xf>
    <xf numFmtId="3" fontId="4" fillId="0" borderId="49" xfId="0" applyNumberFormat="1" applyFont="1" applyFill="1" applyBorder="1" applyAlignment="1">
      <alignment vertical="top" textRotation="90" wrapText="1"/>
    </xf>
    <xf numFmtId="0" fontId="4" fillId="0" borderId="51" xfId="0" applyFont="1" applyFill="1" applyBorder="1" applyAlignment="1">
      <alignment vertical="top" wrapText="1"/>
    </xf>
    <xf numFmtId="1" fontId="4" fillId="0" borderId="49"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3" fontId="1" fillId="0" borderId="52" xfId="0" applyNumberFormat="1" applyFont="1" applyFill="1" applyBorder="1" applyAlignment="1">
      <alignment vertical="center" wrapText="1"/>
    </xf>
    <xf numFmtId="49" fontId="3" fillId="7" borderId="53" xfId="0" applyNumberFormat="1" applyFont="1" applyFill="1" applyBorder="1" applyAlignment="1">
      <alignment horizontal="center" vertical="top"/>
    </xf>
    <xf numFmtId="3" fontId="4" fillId="0" borderId="49" xfId="0" applyNumberFormat="1" applyFont="1" applyBorder="1" applyAlignment="1">
      <alignment vertical="center" textRotation="90"/>
    </xf>
    <xf numFmtId="164" fontId="1" fillId="0" borderId="52" xfId="0" applyNumberFormat="1" applyFont="1" applyFill="1" applyBorder="1" applyAlignment="1">
      <alignment horizontal="center" vertical="top" wrapText="1"/>
    </xf>
    <xf numFmtId="49" fontId="3" fillId="0" borderId="72" xfId="0" applyNumberFormat="1" applyFont="1" applyBorder="1" applyAlignment="1">
      <alignment horizontal="center" vertical="top"/>
    </xf>
    <xf numFmtId="3" fontId="28" fillId="6" borderId="25" xfId="0" applyNumberFormat="1" applyFont="1" applyFill="1" applyBorder="1" applyAlignment="1">
      <alignment horizontal="left" vertical="top" wrapText="1"/>
    </xf>
    <xf numFmtId="3" fontId="28" fillId="6" borderId="62" xfId="0" applyNumberFormat="1" applyFont="1" applyFill="1" applyBorder="1" applyAlignment="1">
      <alignment horizontal="center" vertical="top" wrapText="1"/>
    </xf>
    <xf numFmtId="3" fontId="28" fillId="6" borderId="22"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3" fillId="4" borderId="43" xfId="0" applyNumberFormat="1" applyFont="1" applyFill="1" applyBorder="1" applyAlignment="1">
      <alignment vertical="top"/>
    </xf>
    <xf numFmtId="3" fontId="4" fillId="0" borderId="43" xfId="0" applyNumberFormat="1" applyFont="1" applyBorder="1" applyAlignment="1">
      <alignment vertical="center" textRotation="90"/>
    </xf>
    <xf numFmtId="0" fontId="4" fillId="0" borderId="46" xfId="0" applyFont="1" applyFill="1" applyBorder="1" applyAlignment="1">
      <alignment vertical="top" wrapText="1"/>
    </xf>
    <xf numFmtId="0" fontId="4" fillId="0" borderId="12" xfId="0" applyFont="1" applyFill="1" applyBorder="1" applyAlignment="1">
      <alignment horizontal="center" vertical="top"/>
    </xf>
    <xf numFmtId="0" fontId="4" fillId="0" borderId="19" xfId="0"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60"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164" fontId="3" fillId="8" borderId="19"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164" fontId="4" fillId="6" borderId="41"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7" fillId="0" borderId="0" xfId="0" applyNumberFormat="1" applyFont="1" applyAlignment="1">
      <alignment horizontal="center"/>
    </xf>
    <xf numFmtId="3" fontId="4" fillId="0" borderId="54" xfId="0" applyNumberFormat="1" applyFont="1" applyFill="1" applyBorder="1" applyAlignment="1">
      <alignment horizontal="center" vertical="top" wrapText="1"/>
    </xf>
    <xf numFmtId="0" fontId="16" fillId="7" borderId="0" xfId="0" applyFont="1" applyFill="1" applyAlignment="1">
      <alignment vertical="top" wrapText="1"/>
    </xf>
    <xf numFmtId="0" fontId="2" fillId="0" borderId="0" xfId="0" applyFont="1"/>
    <xf numFmtId="0" fontId="2" fillId="7" borderId="0" xfId="0" applyFont="1" applyFill="1" applyAlignment="1">
      <alignment vertical="top" wrapText="1"/>
    </xf>
    <xf numFmtId="0" fontId="2" fillId="0" borderId="0" xfId="0" applyFont="1" applyAlignment="1">
      <alignment vertical="top" wrapText="1"/>
    </xf>
    <xf numFmtId="0" fontId="2" fillId="0" borderId="0" xfId="0" applyFont="1" applyFill="1" applyAlignment="1">
      <alignment horizontal="left" vertical="top" wrapText="1"/>
    </xf>
    <xf numFmtId="0" fontId="15" fillId="0" borderId="0" xfId="0" applyFont="1" applyBorder="1" applyAlignment="1">
      <alignment vertical="top" wrapText="1"/>
    </xf>
    <xf numFmtId="0" fontId="15" fillId="0" borderId="0" xfId="0" applyFont="1" applyBorder="1" applyAlignment="1">
      <alignment horizontal="center" vertical="top" wrapText="1"/>
    </xf>
    <xf numFmtId="0" fontId="15" fillId="7" borderId="0" xfId="0" applyFont="1" applyFill="1" applyBorder="1" applyAlignment="1">
      <alignment vertical="top" wrapText="1"/>
    </xf>
    <xf numFmtId="0" fontId="14" fillId="7" borderId="0" xfId="0" applyFont="1" applyFill="1" applyBorder="1" applyAlignment="1">
      <alignment horizontal="center" vertical="top" wrapText="1"/>
    </xf>
    <xf numFmtId="0" fontId="1" fillId="0" borderId="0" xfId="0" applyFont="1"/>
    <xf numFmtId="0" fontId="12" fillId="7" borderId="0" xfId="0" applyFont="1" applyFill="1" applyBorder="1" applyAlignment="1">
      <alignment horizontal="center" vertical="top" wrapText="1"/>
    </xf>
    <xf numFmtId="0" fontId="14" fillId="7" borderId="0" xfId="0" applyFont="1" applyFill="1" applyAlignment="1">
      <alignment horizontal="left" vertical="top"/>
    </xf>
    <xf numFmtId="0" fontId="13" fillId="7" borderId="0" xfId="0" applyFont="1" applyFill="1" applyAlignment="1">
      <alignment horizontal="left" vertical="top"/>
    </xf>
    <xf numFmtId="0" fontId="12" fillId="7" borderId="0" xfId="0" applyFont="1" applyFill="1" applyAlignment="1">
      <alignment vertical="top" wrapText="1"/>
    </xf>
    <xf numFmtId="0" fontId="2" fillId="7" borderId="0" xfId="0" applyFont="1" applyFill="1" applyAlignment="1">
      <alignment horizontal="left" vertical="top" wrapText="1"/>
    </xf>
    <xf numFmtId="0" fontId="2" fillId="0" borderId="0" xfId="0" applyFont="1" applyAlignment="1">
      <alignment horizontal="left" vertical="top" wrapText="1"/>
    </xf>
    <xf numFmtId="0" fontId="15" fillId="7" borderId="0" xfId="0" applyFont="1" applyFill="1" applyAlignment="1">
      <alignment horizontal="left" vertical="top"/>
    </xf>
    <xf numFmtId="0" fontId="30" fillId="0" borderId="0" xfId="1" applyFont="1" applyBorder="1" applyAlignment="1">
      <alignment vertical="top" wrapText="1"/>
    </xf>
    <xf numFmtId="0" fontId="30" fillId="0" borderId="0" xfId="1" applyFont="1" applyAlignment="1">
      <alignment vertical="center" wrapText="1"/>
    </xf>
    <xf numFmtId="3" fontId="3" fillId="12" borderId="62" xfId="0" applyNumberFormat="1" applyFont="1" applyFill="1" applyBorder="1" applyAlignment="1">
      <alignment horizontal="center" vertical="top"/>
    </xf>
    <xf numFmtId="0" fontId="12" fillId="0" borderId="0" xfId="0" applyFont="1" applyAlignment="1"/>
    <xf numFmtId="3" fontId="4" fillId="12" borderId="59" xfId="0" applyNumberFormat="1" applyFont="1" applyFill="1" applyBorder="1" applyAlignment="1">
      <alignment horizontal="center" vertical="top"/>
    </xf>
    <xf numFmtId="0" fontId="16" fillId="0" borderId="0" xfId="0" applyFont="1" applyAlignment="1">
      <alignment vertical="center" wrapText="1"/>
    </xf>
    <xf numFmtId="3" fontId="3" fillId="12" borderId="37" xfId="0" applyNumberFormat="1" applyFont="1" applyFill="1" applyBorder="1" applyAlignment="1">
      <alignment horizontal="center" vertical="top" wrapText="1"/>
    </xf>
    <xf numFmtId="3" fontId="1" fillId="12" borderId="4" xfId="0" applyNumberFormat="1" applyFont="1" applyFill="1" applyBorder="1" applyAlignment="1">
      <alignment horizontal="center" vertical="top" wrapText="1"/>
    </xf>
    <xf numFmtId="3" fontId="3" fillId="12" borderId="41" xfId="0" applyNumberFormat="1" applyFont="1" applyFill="1" applyBorder="1" applyAlignment="1">
      <alignment horizontal="center" vertical="top" wrapText="1"/>
    </xf>
    <xf numFmtId="3" fontId="3" fillId="12" borderId="14" xfId="0" applyNumberFormat="1" applyFont="1" applyFill="1" applyBorder="1" applyAlignment="1">
      <alignment horizontal="left" vertical="top"/>
    </xf>
    <xf numFmtId="3" fontId="3" fillId="12" borderId="0" xfId="0" applyNumberFormat="1" applyFont="1" applyFill="1" applyBorder="1" applyAlignment="1">
      <alignment horizontal="left" vertical="top"/>
    </xf>
    <xf numFmtId="3" fontId="1" fillId="12" borderId="11" xfId="0" applyNumberFormat="1" applyFont="1" applyFill="1" applyBorder="1" applyAlignment="1">
      <alignment horizontal="left" vertical="top" wrapText="1"/>
    </xf>
    <xf numFmtId="3" fontId="3" fillId="12" borderId="33"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164" fontId="1" fillId="7" borderId="30" xfId="0" applyNumberFormat="1" applyFont="1" applyFill="1" applyBorder="1" applyAlignment="1">
      <alignment horizontal="center" vertical="top"/>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3" fontId="1" fillId="6" borderId="48" xfId="0" applyNumberFormat="1" applyFont="1" applyFill="1" applyBorder="1" applyAlignment="1">
      <alignment horizontal="center" vertical="top"/>
    </xf>
    <xf numFmtId="3" fontId="1" fillId="6" borderId="40"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3" fontId="3" fillId="12" borderId="8"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7" borderId="46" xfId="0" applyNumberFormat="1" applyFont="1" applyFill="1" applyBorder="1" applyAlignment="1">
      <alignment horizontal="center" vertical="top"/>
    </xf>
    <xf numFmtId="3" fontId="1" fillId="7" borderId="16" xfId="0" applyNumberFormat="1" applyFont="1" applyFill="1" applyBorder="1" applyAlignment="1">
      <alignment horizontal="center" vertical="top"/>
    </xf>
    <xf numFmtId="0" fontId="1" fillId="0" borderId="12" xfId="0" applyFont="1" applyBorder="1" applyAlignment="1">
      <alignment horizontal="center" vertical="top"/>
    </xf>
    <xf numFmtId="164" fontId="1" fillId="6" borderId="19"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4" fillId="6" borderId="41" xfId="0" applyNumberFormat="1" applyFont="1" applyFill="1" applyBorder="1" applyAlignment="1">
      <alignment vertical="top" wrapText="1"/>
    </xf>
    <xf numFmtId="3" fontId="4" fillId="6" borderId="62" xfId="0" applyNumberFormat="1" applyFont="1" applyFill="1" applyBorder="1" applyAlignment="1">
      <alignment vertical="top" wrapText="1"/>
    </xf>
    <xf numFmtId="3" fontId="1" fillId="0" borderId="61" xfId="0" applyNumberFormat="1" applyFont="1" applyFill="1" applyBorder="1" applyAlignment="1">
      <alignment horizontal="center" vertical="top" wrapText="1"/>
    </xf>
    <xf numFmtId="3" fontId="3" fillId="12" borderId="36" xfId="0" applyNumberFormat="1" applyFont="1" applyFill="1" applyBorder="1" applyAlignment="1">
      <alignment horizontal="center" vertical="top" wrapText="1"/>
    </xf>
    <xf numFmtId="164" fontId="1" fillId="7" borderId="37" xfId="0" applyNumberFormat="1" applyFont="1" applyFill="1" applyBorder="1" applyAlignment="1">
      <alignment horizontal="center" vertical="top" wrapText="1"/>
    </xf>
    <xf numFmtId="3" fontId="3" fillId="12"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1" fontId="4" fillId="0" borderId="54"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49" xfId="0" applyNumberFormat="1" applyFont="1" applyBorder="1" applyAlignment="1">
      <alignment horizontal="center" vertical="center" wrapText="1"/>
    </xf>
    <xf numFmtId="0" fontId="4" fillId="0" borderId="62" xfId="0" applyFont="1" applyFill="1" applyBorder="1" applyAlignment="1">
      <alignment vertical="top" wrapText="1"/>
    </xf>
    <xf numFmtId="3" fontId="2" fillId="0" borderId="0" xfId="0" applyNumberFormat="1" applyFont="1" applyBorder="1" applyAlignment="1">
      <alignment horizontal="center" vertical="top" wrapText="1"/>
    </xf>
    <xf numFmtId="0" fontId="1" fillId="6" borderId="7" xfId="0" applyFont="1" applyFill="1" applyBorder="1" applyAlignment="1">
      <alignment horizontal="center" vertical="top"/>
    </xf>
    <xf numFmtId="164" fontId="1" fillId="6" borderId="37" xfId="0" applyNumberFormat="1" applyFont="1" applyFill="1" applyBorder="1" applyAlignment="1">
      <alignment horizontal="center" vertical="top"/>
    </xf>
    <xf numFmtId="0" fontId="6" fillId="8" borderId="58" xfId="0" applyFont="1" applyFill="1" applyBorder="1" applyAlignment="1">
      <alignment horizontal="center" vertical="top"/>
    </xf>
    <xf numFmtId="164" fontId="1" fillId="6" borderId="0" xfId="0" applyNumberFormat="1" applyFont="1" applyFill="1" applyBorder="1" applyAlignment="1">
      <alignment horizontal="center" vertical="top"/>
    </xf>
    <xf numFmtId="164" fontId="4" fillId="6" borderId="42" xfId="0" applyNumberFormat="1" applyFont="1" applyFill="1" applyBorder="1" applyAlignment="1">
      <alignment horizontal="center" vertical="top" wrapText="1"/>
    </xf>
    <xf numFmtId="49" fontId="6" fillId="0" borderId="54" xfId="0" applyNumberFormat="1" applyFont="1" applyBorder="1" applyAlignment="1">
      <alignment horizontal="center" vertical="top"/>
    </xf>
    <xf numFmtId="3" fontId="3" fillId="12" borderId="41" xfId="0" applyNumberFormat="1" applyFont="1" applyFill="1" applyBorder="1" applyAlignment="1">
      <alignment horizontal="center" vertical="top"/>
    </xf>
    <xf numFmtId="3" fontId="1" fillId="12" borderId="39" xfId="0" applyNumberFormat="1" applyFont="1" applyFill="1" applyBorder="1" applyAlignment="1">
      <alignment horizontal="center" vertical="top"/>
    </xf>
    <xf numFmtId="3" fontId="1" fillId="5" borderId="14" xfId="0" applyNumberFormat="1" applyFont="1" applyFill="1" applyBorder="1" applyAlignment="1">
      <alignment horizontal="center" vertical="top"/>
    </xf>
    <xf numFmtId="49" fontId="1" fillId="7" borderId="14" xfId="0" applyNumberFormat="1" applyFont="1" applyFill="1" applyBorder="1" applyAlignment="1">
      <alignment horizontal="center" vertical="top"/>
    </xf>
    <xf numFmtId="3" fontId="4" fillId="0" borderId="36" xfId="0" applyNumberFormat="1" applyFont="1" applyBorder="1" applyAlignment="1">
      <alignment horizontal="center" vertical="top" textRotation="90"/>
    </xf>
    <xf numFmtId="3" fontId="4" fillId="0" borderId="41" xfId="0" applyNumberFormat="1" applyFont="1" applyBorder="1" applyAlignment="1">
      <alignment horizontal="center" vertical="top" textRotation="90"/>
    </xf>
    <xf numFmtId="164" fontId="1" fillId="6" borderId="32" xfId="0" applyNumberFormat="1" applyFont="1" applyFill="1" applyBorder="1" applyAlignment="1">
      <alignment horizontal="center" vertical="top"/>
    </xf>
    <xf numFmtId="3" fontId="4" fillId="0" borderId="39" xfId="0" applyNumberFormat="1" applyFont="1" applyBorder="1" applyAlignment="1">
      <alignment horizontal="center" vertical="top" textRotation="90"/>
    </xf>
    <xf numFmtId="165" fontId="1" fillId="0" borderId="32" xfId="0" applyNumberFormat="1" applyFont="1" applyBorder="1" applyAlignment="1">
      <alignment horizontal="center" vertical="top"/>
    </xf>
    <xf numFmtId="165" fontId="1" fillId="0" borderId="15" xfId="0" applyNumberFormat="1" applyFont="1" applyBorder="1" applyAlignment="1">
      <alignment horizontal="center" vertical="top"/>
    </xf>
    <xf numFmtId="165" fontId="1" fillId="0" borderId="15" xfId="0" applyNumberFormat="1" applyFont="1" applyFill="1" applyBorder="1" applyAlignment="1">
      <alignment horizontal="center" vertical="top"/>
    </xf>
    <xf numFmtId="3" fontId="4" fillId="0" borderId="0" xfId="0" applyNumberFormat="1" applyFont="1" applyBorder="1" applyAlignment="1">
      <alignment horizontal="center" vertical="top" textRotation="90"/>
    </xf>
    <xf numFmtId="165" fontId="1" fillId="7" borderId="15" xfId="0" applyNumberFormat="1" applyFont="1" applyFill="1" applyBorder="1" applyAlignment="1">
      <alignment horizontal="center" vertical="top" wrapText="1"/>
    </xf>
    <xf numFmtId="3" fontId="4" fillId="0" borderId="62" xfId="0" applyNumberFormat="1" applyFont="1" applyBorder="1" applyAlignment="1">
      <alignment horizontal="center" vertical="top" textRotation="90"/>
    </xf>
    <xf numFmtId="164" fontId="1" fillId="0" borderId="37"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6" fillId="7" borderId="0" xfId="0" applyNumberFormat="1" applyFont="1" applyFill="1" applyBorder="1" applyAlignment="1">
      <alignment horizontal="center" vertical="top" wrapText="1"/>
    </xf>
    <xf numFmtId="164" fontId="1" fillId="0" borderId="41" xfId="0" applyNumberFormat="1" applyFont="1" applyBorder="1" applyAlignment="1">
      <alignment horizontal="center" vertical="top" wrapText="1"/>
    </xf>
    <xf numFmtId="164" fontId="6" fillId="7" borderId="0" xfId="0" applyNumberFormat="1" applyFont="1" applyFill="1" applyBorder="1" applyAlignment="1">
      <alignment horizontal="center" vertical="top"/>
    </xf>
    <xf numFmtId="3" fontId="6" fillId="0" borderId="0" xfId="0" applyNumberFormat="1" applyFont="1" applyAlignment="1">
      <alignment horizontal="center" vertical="top"/>
    </xf>
    <xf numFmtId="0" fontId="17" fillId="0" borderId="0" xfId="0" applyFont="1" applyAlignment="1">
      <alignment horizontal="center" vertical="top"/>
    </xf>
    <xf numFmtId="3" fontId="4" fillId="12" borderId="44" xfId="0" applyNumberFormat="1" applyFont="1" applyFill="1" applyBorder="1" applyAlignment="1">
      <alignment horizontal="center" vertical="top" wrapText="1"/>
    </xf>
    <xf numFmtId="3" fontId="4" fillId="12" borderId="41" xfId="0" applyNumberFormat="1" applyFont="1" applyFill="1" applyBorder="1" applyAlignment="1">
      <alignment vertical="top" wrapText="1"/>
    </xf>
    <xf numFmtId="3" fontId="4" fillId="12" borderId="22"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0" fontId="4" fillId="6" borderId="13" xfId="0" applyFont="1" applyFill="1" applyBorder="1" applyAlignment="1">
      <alignment horizontal="center" vertical="top" wrapText="1"/>
    </xf>
    <xf numFmtId="0" fontId="4" fillId="12" borderId="41" xfId="0" applyFont="1" applyFill="1" applyBorder="1" applyAlignment="1">
      <alignment horizontal="left" vertical="top" wrapText="1"/>
    </xf>
    <xf numFmtId="0" fontId="1" fillId="6" borderId="44" xfId="0" applyFont="1" applyFill="1" applyBorder="1" applyAlignment="1">
      <alignment horizontal="center" vertical="top" wrapText="1"/>
    </xf>
    <xf numFmtId="3" fontId="4" fillId="0" borderId="54" xfId="0" applyNumberFormat="1" applyFont="1" applyBorder="1" applyAlignment="1">
      <alignment horizontal="center" vertical="top" wrapText="1"/>
    </xf>
    <xf numFmtId="3" fontId="3" fillId="0" borderId="60" xfId="0" applyNumberFormat="1" applyFont="1" applyFill="1" applyBorder="1" applyAlignment="1">
      <alignment horizontal="center" vertical="top"/>
    </xf>
    <xf numFmtId="0" fontId="4" fillId="0" borderId="50" xfId="0" applyFont="1" applyFill="1" applyBorder="1" applyAlignment="1">
      <alignment horizontal="center" vertical="top"/>
    </xf>
    <xf numFmtId="165" fontId="1" fillId="7" borderId="66" xfId="0" applyNumberFormat="1" applyFont="1" applyFill="1" applyBorder="1" applyAlignment="1">
      <alignment horizontal="center" vertical="top" wrapText="1"/>
    </xf>
    <xf numFmtId="3" fontId="1" fillId="7" borderId="41"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0" fontId="4" fillId="6" borderId="41" xfId="0" applyFont="1" applyFill="1" applyBorder="1" applyAlignment="1">
      <alignment horizontal="left" vertical="top" wrapText="1"/>
    </xf>
    <xf numFmtId="3" fontId="4" fillId="0" borderId="42" xfId="0" applyNumberFormat="1" applyFont="1" applyFill="1" applyBorder="1" applyAlignment="1">
      <alignment vertical="top" wrapText="1"/>
    </xf>
    <xf numFmtId="3" fontId="4" fillId="0" borderId="45" xfId="0" applyNumberFormat="1" applyFont="1" applyFill="1" applyBorder="1" applyAlignment="1">
      <alignment horizontal="center" vertical="top"/>
    </xf>
    <xf numFmtId="0" fontId="4" fillId="0" borderId="49" xfId="0" applyFont="1" applyFill="1" applyBorder="1" applyAlignment="1">
      <alignment horizontal="left" vertical="top" wrapText="1"/>
    </xf>
    <xf numFmtId="3" fontId="1" fillId="0" borderId="4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4" fillId="12" borderId="41"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164" fontId="1" fillId="7" borderId="0"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3" fontId="1" fillId="6" borderId="16"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3" fillId="12" borderId="36" xfId="0" applyNumberFormat="1" applyFont="1" applyFill="1" applyBorder="1" applyAlignment="1">
      <alignment horizontal="center" vertical="top"/>
    </xf>
    <xf numFmtId="3" fontId="3" fillId="12"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3" fillId="12"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6"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16" xfId="0" applyNumberFormat="1" applyFont="1" applyBorder="1" applyAlignment="1">
      <alignment horizontal="center" vertical="center" textRotation="90" wrapText="1"/>
    </xf>
    <xf numFmtId="3" fontId="1" fillId="12" borderId="19" xfId="0" applyNumberFormat="1" applyFont="1" applyFill="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6" fillId="0" borderId="60"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6" fillId="0" borderId="61"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center" vertical="center" wrapText="1"/>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4" fillId="7" borderId="48" xfId="0" applyNumberFormat="1" applyFont="1" applyFill="1" applyBorder="1" applyAlignment="1">
      <alignment horizontal="left" vertical="top" wrapText="1"/>
    </xf>
    <xf numFmtId="3" fontId="1" fillId="0" borderId="54"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0" borderId="11"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4" fillId="6" borderId="54"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6" fillId="0" borderId="54" xfId="0" applyNumberFormat="1" applyFont="1" applyBorder="1" applyAlignment="1">
      <alignment horizontal="center" vertical="top"/>
    </xf>
    <xf numFmtId="3" fontId="1" fillId="6" borderId="40" xfId="0" applyNumberFormat="1" applyFont="1" applyFill="1" applyBorder="1" applyAlignment="1">
      <alignment vertical="top" wrapText="1"/>
    </xf>
    <xf numFmtId="3" fontId="4" fillId="0" borderId="49" xfId="0" applyNumberFormat="1" applyFont="1" applyFill="1" applyBorder="1" applyAlignment="1">
      <alignment horizontal="center" vertical="top" wrapText="1"/>
    </xf>
    <xf numFmtId="3" fontId="1" fillId="12" borderId="5" xfId="0" applyNumberFormat="1" applyFont="1" applyFill="1" applyBorder="1" applyAlignment="1">
      <alignment horizontal="center" vertical="top" wrapText="1"/>
    </xf>
    <xf numFmtId="3" fontId="1" fillId="12" borderId="2" xfId="0" applyNumberFormat="1" applyFont="1" applyFill="1" applyBorder="1" applyAlignment="1">
      <alignment horizontal="center" vertical="top" wrapText="1"/>
    </xf>
    <xf numFmtId="3" fontId="1" fillId="12" borderId="29" xfId="0" applyNumberFormat="1" applyFont="1" applyFill="1" applyBorder="1" applyAlignment="1">
      <alignment vertical="top" wrapText="1"/>
    </xf>
    <xf numFmtId="3" fontId="1" fillId="6" borderId="0" xfId="0" applyNumberFormat="1" applyFont="1" applyFill="1" applyBorder="1" applyAlignment="1">
      <alignment horizontal="left" vertical="top" wrapText="1"/>
    </xf>
    <xf numFmtId="0" fontId="1" fillId="12" borderId="17" xfId="0" applyFont="1" applyFill="1" applyBorder="1" applyAlignment="1">
      <alignment horizontal="center" vertical="top" wrapText="1"/>
    </xf>
    <xf numFmtId="3" fontId="1" fillId="12" borderId="11" xfId="0" applyNumberFormat="1" applyFont="1" applyFill="1" applyBorder="1" applyAlignment="1">
      <alignment horizontal="center" vertical="top" wrapText="1"/>
    </xf>
    <xf numFmtId="3" fontId="1" fillId="6" borderId="0" xfId="0" applyNumberFormat="1" applyFont="1" applyFill="1" applyBorder="1" applyAlignment="1">
      <alignment vertical="top" wrapText="1"/>
    </xf>
    <xf numFmtId="3" fontId="6" fillId="6" borderId="0" xfId="0" applyNumberFormat="1" applyFont="1" applyFill="1" applyBorder="1" applyAlignment="1">
      <alignment horizontal="left" vertical="top" wrapText="1"/>
    </xf>
    <xf numFmtId="3" fontId="3" fillId="12" borderId="15" xfId="0" applyNumberFormat="1" applyFont="1" applyFill="1" applyBorder="1" applyAlignment="1">
      <alignment horizontal="left" vertical="top"/>
    </xf>
    <xf numFmtId="0" fontId="1" fillId="12" borderId="75" xfId="0" applyFont="1" applyFill="1" applyBorder="1" applyAlignment="1">
      <alignment horizontal="center" vertical="top" wrapText="1"/>
    </xf>
    <xf numFmtId="3" fontId="1" fillId="12" borderId="52" xfId="0" applyNumberFormat="1" applyFont="1" applyFill="1" applyBorder="1" applyAlignment="1">
      <alignment horizontal="center" vertical="top" wrapText="1"/>
    </xf>
    <xf numFmtId="3" fontId="6" fillId="12" borderId="66" xfId="0" applyNumberFormat="1" applyFont="1" applyFill="1" applyBorder="1" applyAlignment="1">
      <alignment horizontal="left" vertical="top" wrapText="1"/>
    </xf>
    <xf numFmtId="3" fontId="6" fillId="12" borderId="19" xfId="0" applyNumberFormat="1" applyFont="1" applyFill="1" applyBorder="1" applyAlignment="1">
      <alignment horizontal="left" vertical="top" wrapText="1"/>
    </xf>
    <xf numFmtId="3" fontId="1" fillId="12" borderId="17" xfId="0" applyNumberFormat="1" applyFont="1" applyFill="1" applyBorder="1" applyAlignment="1">
      <alignment horizontal="center" vertical="top" wrapText="1"/>
    </xf>
    <xf numFmtId="0" fontId="1" fillId="12" borderId="50" xfId="0" applyFont="1" applyFill="1" applyBorder="1" applyAlignment="1">
      <alignment horizontal="center" vertical="top" wrapText="1"/>
    </xf>
    <xf numFmtId="3" fontId="1" fillId="12" borderId="43" xfId="0" applyNumberFormat="1" applyFont="1" applyFill="1" applyBorder="1" applyAlignment="1">
      <alignment horizontal="center" vertical="top" wrapText="1"/>
    </xf>
    <xf numFmtId="3" fontId="6" fillId="12" borderId="32" xfId="0" applyNumberFormat="1" applyFont="1" applyFill="1" applyBorder="1" applyAlignment="1">
      <alignment horizontal="left" vertical="top" wrapText="1"/>
    </xf>
    <xf numFmtId="3" fontId="3" fillId="12" borderId="33" xfId="0" applyNumberFormat="1" applyFont="1" applyFill="1" applyBorder="1" applyAlignment="1">
      <alignment horizontal="center" vertical="top" wrapText="1"/>
    </xf>
    <xf numFmtId="3" fontId="3" fillId="13" borderId="34"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164" fontId="1" fillId="7" borderId="16" xfId="0" applyNumberFormat="1" applyFont="1" applyFill="1" applyBorder="1" applyAlignment="1">
      <alignment horizontal="center" vertical="top"/>
    </xf>
    <xf numFmtId="3" fontId="1" fillId="6" borderId="41" xfId="0" applyNumberFormat="1" applyFont="1" applyFill="1" applyBorder="1" applyAlignment="1">
      <alignment vertical="top" wrapText="1"/>
    </xf>
    <xf numFmtId="164" fontId="4" fillId="7" borderId="16"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6" borderId="16"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3" fontId="4" fillId="0" borderId="39"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44"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164" fontId="4" fillId="6" borderId="16"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xf>
    <xf numFmtId="3" fontId="1" fillId="12" borderId="12" xfId="0" applyNumberFormat="1" applyFont="1" applyFill="1" applyBorder="1" applyAlignment="1">
      <alignment horizontal="center" vertical="top"/>
    </xf>
    <xf numFmtId="3" fontId="1" fillId="12" borderId="43" xfId="0" applyNumberFormat="1" applyFont="1" applyFill="1" applyBorder="1" applyAlignment="1">
      <alignment horizontal="center" vertical="top"/>
    </xf>
    <xf numFmtId="3" fontId="1" fillId="12" borderId="44" xfId="0" applyNumberFormat="1" applyFont="1" applyFill="1" applyBorder="1" applyAlignment="1">
      <alignment horizontal="center" vertical="top"/>
    </xf>
    <xf numFmtId="164" fontId="6" fillId="8" borderId="30" xfId="0" applyNumberFormat="1" applyFont="1" applyFill="1" applyBorder="1" applyAlignment="1">
      <alignment horizontal="center" vertical="top"/>
    </xf>
    <xf numFmtId="164" fontId="6" fillId="8" borderId="46" xfId="0" applyNumberFormat="1" applyFont="1" applyFill="1" applyBorder="1" applyAlignment="1">
      <alignment horizontal="center" vertical="top"/>
    </xf>
    <xf numFmtId="3" fontId="1" fillId="12" borderId="50" xfId="0" applyNumberFormat="1" applyFont="1" applyFill="1" applyBorder="1" applyAlignment="1">
      <alignment horizontal="center" vertical="top" wrapText="1"/>
    </xf>
    <xf numFmtId="164" fontId="6" fillId="8" borderId="42" xfId="0" applyNumberFormat="1" applyFont="1" applyFill="1" applyBorder="1" applyAlignment="1">
      <alignment horizontal="center" vertical="top"/>
    </xf>
    <xf numFmtId="164" fontId="6" fillId="8" borderId="40" xfId="0" applyNumberFormat="1" applyFont="1" applyFill="1" applyBorder="1" applyAlignment="1">
      <alignment horizontal="center" vertical="top"/>
    </xf>
    <xf numFmtId="3" fontId="1" fillId="12" borderId="39" xfId="0" applyNumberFormat="1" applyFont="1" applyFill="1" applyBorder="1" applyAlignment="1">
      <alignment horizontal="center" vertical="top" wrapText="1"/>
    </xf>
    <xf numFmtId="3" fontId="1" fillId="12" borderId="13" xfId="0" applyNumberFormat="1" applyFont="1" applyFill="1" applyBorder="1" applyAlignment="1">
      <alignment horizontal="center" vertical="top" wrapText="1"/>
    </xf>
    <xf numFmtId="3" fontId="4" fillId="0" borderId="42" xfId="0" applyNumberFormat="1" applyFont="1" applyFill="1" applyBorder="1" applyAlignment="1">
      <alignment vertical="center" textRotation="90" wrapText="1"/>
    </xf>
    <xf numFmtId="3" fontId="3" fillId="6" borderId="40" xfId="0" applyNumberFormat="1" applyFont="1" applyFill="1" applyBorder="1" applyAlignment="1">
      <alignment horizontal="center" vertical="top"/>
    </xf>
    <xf numFmtId="164" fontId="6" fillId="6" borderId="42" xfId="0" applyNumberFormat="1" applyFont="1" applyFill="1" applyBorder="1" applyAlignment="1">
      <alignment horizontal="center" vertical="top"/>
    </xf>
    <xf numFmtId="164" fontId="6" fillId="6" borderId="40" xfId="0" applyNumberFormat="1" applyFont="1" applyFill="1" applyBorder="1" applyAlignment="1">
      <alignment horizontal="center" vertical="top"/>
    </xf>
    <xf numFmtId="3" fontId="1" fillId="6" borderId="42"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3" fontId="1" fillId="0" borderId="31" xfId="0" applyNumberFormat="1" applyFont="1" applyFill="1" applyBorder="1" applyAlignment="1">
      <alignment horizontal="center" vertical="top" wrapText="1"/>
    </xf>
    <xf numFmtId="164" fontId="3" fillId="8" borderId="58" xfId="0" applyNumberFormat="1" applyFont="1" applyFill="1" applyBorder="1" applyAlignment="1">
      <alignment horizontal="center" vertical="top"/>
    </xf>
    <xf numFmtId="3" fontId="1" fillId="6" borderId="62" xfId="0" applyNumberFormat="1" applyFont="1" applyFill="1" applyBorder="1" applyAlignment="1">
      <alignment vertical="top" wrapText="1"/>
    </xf>
    <xf numFmtId="3" fontId="4" fillId="0" borderId="59"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0" fontId="1" fillId="14" borderId="27" xfId="0" applyFont="1" applyFill="1" applyBorder="1" applyAlignment="1">
      <alignment vertical="top" wrapText="1"/>
    </xf>
    <xf numFmtId="3" fontId="1" fillId="14" borderId="2" xfId="0" applyNumberFormat="1" applyFont="1" applyFill="1" applyBorder="1" applyAlignment="1">
      <alignment horizontal="center" vertical="top"/>
    </xf>
    <xf numFmtId="3" fontId="1" fillId="14" borderId="3" xfId="0" applyNumberFormat="1" applyFont="1" applyFill="1" applyBorder="1" applyAlignment="1">
      <alignment horizontal="center" vertical="top"/>
    </xf>
    <xf numFmtId="3" fontId="1" fillId="14" borderId="28" xfId="0" applyNumberFormat="1" applyFont="1" applyFill="1" applyBorder="1" applyAlignment="1">
      <alignment horizontal="left" vertical="top" wrapText="1"/>
    </xf>
    <xf numFmtId="3" fontId="1" fillId="14" borderId="67" xfId="0" applyNumberFormat="1" applyFont="1" applyFill="1" applyBorder="1" applyAlignment="1">
      <alignment horizontal="left" vertical="top" wrapText="1"/>
    </xf>
    <xf numFmtId="3" fontId="4" fillId="0" borderId="16" xfId="0" applyNumberFormat="1" applyFont="1" applyBorder="1" applyAlignment="1">
      <alignment horizontal="center" vertical="top"/>
    </xf>
    <xf numFmtId="164" fontId="1" fillId="0" borderId="16"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0" borderId="62" xfId="0" applyNumberFormat="1" applyFont="1" applyFill="1" applyBorder="1" applyAlignment="1">
      <alignment vertical="top"/>
    </xf>
    <xf numFmtId="3" fontId="2" fillId="0" borderId="22" xfId="0" applyNumberFormat="1" applyFont="1" applyFill="1" applyBorder="1" applyAlignment="1">
      <alignment vertical="top"/>
    </xf>
    <xf numFmtId="3" fontId="2" fillId="0" borderId="1" xfId="0" applyNumberFormat="1" applyFont="1" applyFill="1" applyBorder="1" applyAlignment="1">
      <alignment vertical="top"/>
    </xf>
    <xf numFmtId="165" fontId="6" fillId="5" borderId="8" xfId="0" applyNumberFormat="1" applyFont="1" applyFill="1" applyBorder="1" applyAlignment="1">
      <alignment horizontal="center" vertical="top"/>
    </xf>
    <xf numFmtId="165" fontId="6" fillId="5" borderId="7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6" borderId="36" xfId="0" applyNumberFormat="1" applyFont="1" applyFill="1" applyBorder="1" applyAlignment="1">
      <alignment horizontal="center" vertical="top"/>
    </xf>
    <xf numFmtId="3" fontId="6" fillId="0" borderId="14" xfId="0" applyNumberFormat="1" applyFont="1" applyBorder="1" applyAlignment="1">
      <alignment horizontal="center" vertical="top"/>
    </xf>
    <xf numFmtId="164" fontId="1" fillId="7" borderId="46" xfId="0" applyNumberFormat="1" applyFont="1" applyFill="1" applyBorder="1" applyAlignment="1">
      <alignment horizontal="center" vertical="top"/>
    </xf>
    <xf numFmtId="3" fontId="1" fillId="0" borderId="16" xfId="0" applyNumberFormat="1" applyFont="1" applyBorder="1" applyAlignment="1">
      <alignment vertical="top" wrapText="1"/>
    </xf>
    <xf numFmtId="3" fontId="1" fillId="6" borderId="39" xfId="0" applyNumberFormat="1" applyFont="1" applyFill="1" applyBorder="1" applyAlignment="1">
      <alignment horizontal="center" vertical="top"/>
    </xf>
    <xf numFmtId="3" fontId="1" fillId="0" borderId="40"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0" fontId="1" fillId="6" borderId="0" xfId="0" applyFont="1" applyFill="1" applyBorder="1" applyAlignment="1">
      <alignment horizontal="center" vertical="center"/>
    </xf>
    <xf numFmtId="0" fontId="1" fillId="6" borderId="16" xfId="0" applyFont="1" applyFill="1" applyBorder="1" applyAlignment="1">
      <alignment horizontal="center" vertical="center"/>
    </xf>
    <xf numFmtId="3" fontId="1" fillId="0" borderId="52"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6" borderId="52" xfId="0" applyNumberFormat="1" applyFont="1" applyFill="1" applyBorder="1" applyAlignment="1">
      <alignment horizontal="center" vertical="top"/>
    </xf>
    <xf numFmtId="49" fontId="1" fillId="6" borderId="50" xfId="0" applyNumberFormat="1" applyFont="1" applyFill="1" applyBorder="1" applyAlignment="1">
      <alignment horizontal="center" vertical="top"/>
    </xf>
    <xf numFmtId="49" fontId="1" fillId="6" borderId="51" xfId="0" applyNumberFormat="1" applyFont="1" applyFill="1" applyBorder="1" applyAlignment="1">
      <alignment horizontal="center" vertical="top"/>
    </xf>
    <xf numFmtId="49" fontId="1" fillId="6" borderId="53" xfId="0" applyNumberFormat="1" applyFont="1" applyFill="1" applyBorder="1" applyAlignment="1">
      <alignment horizontal="center" vertical="top"/>
    </xf>
    <xf numFmtId="164" fontId="1" fillId="0" borderId="16" xfId="0" applyNumberFormat="1" applyFont="1" applyBorder="1" applyAlignment="1">
      <alignment horizontal="center" vertical="top"/>
    </xf>
    <xf numFmtId="165" fontId="1" fillId="0" borderId="18" xfId="0" applyNumberFormat="1" applyFont="1" applyBorder="1" applyAlignment="1">
      <alignment horizontal="left" vertical="top" wrapText="1"/>
    </xf>
    <xf numFmtId="2" fontId="1" fillId="6" borderId="11"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49" fontId="33" fillId="0" borderId="30" xfId="0" applyNumberFormat="1" applyFont="1" applyFill="1" applyBorder="1" applyAlignment="1">
      <alignment horizontal="center" vertical="top" textRotation="90"/>
    </xf>
    <xf numFmtId="49" fontId="33" fillId="0" borderId="12" xfId="0" applyNumberFormat="1" applyFont="1" applyFill="1" applyBorder="1" applyAlignment="1">
      <alignment horizontal="center" vertical="top" textRotation="90"/>
    </xf>
    <xf numFmtId="49" fontId="33" fillId="0" borderId="18" xfId="0" applyNumberFormat="1" applyFont="1" applyFill="1" applyBorder="1" applyAlignment="1">
      <alignment horizontal="center" vertical="top" textRotation="90"/>
    </xf>
    <xf numFmtId="49" fontId="33" fillId="0" borderId="47" xfId="0" applyNumberFormat="1" applyFont="1" applyFill="1" applyBorder="1" applyAlignment="1">
      <alignment horizontal="center" vertical="top" textRotation="90"/>
    </xf>
    <xf numFmtId="3" fontId="1" fillId="12" borderId="48" xfId="0" applyNumberFormat="1" applyFont="1" applyFill="1" applyBorder="1" applyAlignment="1">
      <alignment horizontal="left" vertical="top" wrapText="1"/>
    </xf>
    <xf numFmtId="0" fontId="1" fillId="12" borderId="51" xfId="0" applyFont="1" applyFill="1" applyBorder="1" applyAlignment="1">
      <alignment horizontal="left" vertical="top" wrapText="1"/>
    </xf>
    <xf numFmtId="49" fontId="1" fillId="12" borderId="52" xfId="0" applyNumberFormat="1" applyFont="1" applyFill="1" applyBorder="1" applyAlignment="1">
      <alignment horizontal="center" vertical="top"/>
    </xf>
    <xf numFmtId="49" fontId="1" fillId="12" borderId="50" xfId="0" applyNumberFormat="1" applyFont="1" applyFill="1" applyBorder="1" applyAlignment="1">
      <alignment horizontal="center" vertical="top"/>
    </xf>
    <xf numFmtId="49" fontId="1" fillId="12" borderId="51" xfId="0" applyNumberFormat="1" applyFont="1" applyFill="1" applyBorder="1" applyAlignment="1">
      <alignment horizontal="center" vertical="top"/>
    </xf>
    <xf numFmtId="49" fontId="1" fillId="12" borderId="47" xfId="0" applyNumberFormat="1" applyFont="1" applyFill="1" applyBorder="1" applyAlignment="1">
      <alignment horizontal="left" vertical="top" wrapText="1"/>
    </xf>
    <xf numFmtId="164" fontId="1" fillId="6" borderId="16"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49" fontId="1" fillId="6" borderId="31" xfId="0" applyNumberFormat="1" applyFont="1" applyFill="1" applyBorder="1" applyAlignment="1">
      <alignment horizontal="center" vertical="top"/>
    </xf>
    <xf numFmtId="49" fontId="1" fillId="6" borderId="39" xfId="0" applyNumberFormat="1" applyFont="1" applyFill="1" applyBorder="1" applyAlignment="1">
      <alignment horizontal="center" vertical="top"/>
    </xf>
    <xf numFmtId="49" fontId="1" fillId="6" borderId="13" xfId="0" applyNumberFormat="1" applyFont="1" applyFill="1" applyBorder="1" applyAlignment="1">
      <alignment horizontal="center" vertical="top"/>
    </xf>
    <xf numFmtId="49" fontId="1" fillId="6" borderId="54"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49" fontId="4" fillId="0" borderId="12"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49" fontId="4" fillId="0" borderId="47" xfId="0" applyNumberFormat="1" applyFont="1" applyFill="1" applyBorder="1" applyAlignment="1">
      <alignment horizontal="left" vertical="top" wrapText="1"/>
    </xf>
    <xf numFmtId="164" fontId="4" fillId="0" borderId="16" xfId="0" applyNumberFormat="1" applyFont="1" applyFill="1" applyBorder="1" applyAlignment="1">
      <alignment horizontal="center" vertical="top" wrapText="1"/>
    </xf>
    <xf numFmtId="3" fontId="33" fillId="0" borderId="16" xfId="0" applyNumberFormat="1" applyFont="1" applyFill="1" applyBorder="1" applyAlignment="1">
      <alignment horizontal="center" vertical="top"/>
    </xf>
    <xf numFmtId="164" fontId="33" fillId="6" borderId="0" xfId="0" applyNumberFormat="1" applyFont="1" applyFill="1" applyBorder="1" applyAlignment="1">
      <alignment horizontal="center" vertical="top" wrapText="1"/>
    </xf>
    <xf numFmtId="164" fontId="33" fillId="6" borderId="16" xfId="0" applyNumberFormat="1" applyFont="1" applyFill="1" applyBorder="1" applyAlignment="1">
      <alignment horizontal="center" vertical="top" wrapText="1"/>
    </xf>
    <xf numFmtId="3" fontId="4" fillId="6" borderId="18" xfId="0" applyNumberFormat="1" applyFont="1" applyFill="1" applyBorder="1" applyAlignment="1">
      <alignment vertical="top" wrapText="1"/>
    </xf>
    <xf numFmtId="3" fontId="4" fillId="0" borderId="45" xfId="0" applyNumberFormat="1" applyFont="1" applyFill="1" applyBorder="1" applyAlignment="1">
      <alignment horizontal="left" vertical="top" wrapText="1"/>
    </xf>
    <xf numFmtId="3" fontId="4" fillId="14" borderId="30" xfId="0" applyNumberFormat="1" applyFont="1" applyFill="1" applyBorder="1" applyAlignment="1">
      <alignment vertical="top" wrapText="1"/>
    </xf>
    <xf numFmtId="3" fontId="4" fillId="14" borderId="11" xfId="0" applyNumberFormat="1" applyFont="1" applyFill="1" applyBorder="1" applyAlignment="1">
      <alignment horizontal="center" vertical="top"/>
    </xf>
    <xf numFmtId="3" fontId="4" fillId="14" borderId="12" xfId="0" applyNumberFormat="1" applyFont="1" applyFill="1" applyBorder="1" applyAlignment="1">
      <alignment horizontal="center" vertical="top"/>
    </xf>
    <xf numFmtId="3" fontId="4" fillId="14" borderId="18" xfId="0" applyNumberFormat="1" applyFont="1" applyFill="1" applyBorder="1" applyAlignment="1">
      <alignment horizontal="center" vertical="top"/>
    </xf>
    <xf numFmtId="3" fontId="4" fillId="14" borderId="47"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3" fontId="1" fillId="0" borderId="0" xfId="0" applyNumberFormat="1" applyFont="1" applyFill="1" applyBorder="1" applyAlignment="1">
      <alignment vertical="center" textRotation="90" wrapText="1"/>
    </xf>
    <xf numFmtId="3" fontId="4" fillId="0" borderId="53" xfId="0" applyNumberFormat="1" applyFont="1" applyFill="1" applyBorder="1" applyAlignment="1">
      <alignment horizontal="left" vertical="top" wrapText="1"/>
    </xf>
    <xf numFmtId="164" fontId="4" fillId="0" borderId="16" xfId="0" applyNumberFormat="1" applyFont="1" applyBorder="1" applyAlignment="1">
      <alignment horizontal="center" vertical="top"/>
    </xf>
    <xf numFmtId="3" fontId="4" fillId="0" borderId="47" xfId="0" applyNumberFormat="1" applyFont="1" applyFill="1" applyBorder="1" applyAlignment="1">
      <alignment horizontal="left" vertical="top" wrapText="1"/>
    </xf>
    <xf numFmtId="0" fontId="32" fillId="6" borderId="50" xfId="0" applyFont="1" applyFill="1" applyBorder="1" applyAlignment="1">
      <alignment horizontal="center" vertical="top"/>
    </xf>
    <xf numFmtId="164" fontId="4" fillId="7" borderId="16" xfId="0" applyNumberFormat="1" applyFont="1" applyFill="1" applyBorder="1" applyAlignment="1">
      <alignment horizontal="center" vertical="top" wrapText="1"/>
    </xf>
    <xf numFmtId="3" fontId="4" fillId="0" borderId="54" xfId="0" applyNumberFormat="1" applyFont="1" applyFill="1" applyBorder="1" applyAlignment="1">
      <alignment horizontal="left" vertical="top" wrapText="1"/>
    </xf>
    <xf numFmtId="164" fontId="4" fillId="7" borderId="48" xfId="0" applyNumberFormat="1" applyFont="1" applyFill="1" applyBorder="1" applyAlignment="1">
      <alignment horizontal="center" vertical="top" wrapText="1"/>
    </xf>
    <xf numFmtId="165" fontId="6" fillId="8" borderId="55" xfId="0" applyNumberFormat="1" applyFont="1" applyFill="1" applyBorder="1" applyAlignment="1">
      <alignment horizontal="center" vertical="top" wrapText="1"/>
    </xf>
    <xf numFmtId="165" fontId="6" fillId="8" borderId="58"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xf>
    <xf numFmtId="3" fontId="1" fillId="0" borderId="36"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xf>
    <xf numFmtId="164" fontId="1" fillId="7" borderId="7" xfId="0" applyNumberFormat="1" applyFont="1" applyFill="1" applyBorder="1" applyAlignment="1">
      <alignment horizontal="center" vertical="top" wrapText="1"/>
    </xf>
    <xf numFmtId="3" fontId="4" fillId="6" borderId="35"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49" fontId="4" fillId="0" borderId="49"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1" fillId="0" borderId="52" xfId="0" applyNumberFormat="1" applyFont="1" applyFill="1" applyBorder="1" applyAlignment="1">
      <alignment horizontal="center" vertical="center" textRotation="90" wrapText="1"/>
    </xf>
    <xf numFmtId="0" fontId="1" fillId="0" borderId="51" xfId="0" applyFont="1" applyFill="1" applyBorder="1" applyAlignment="1">
      <alignment vertical="top" wrapText="1"/>
    </xf>
    <xf numFmtId="0" fontId="1" fillId="0" borderId="18" xfId="0" applyFont="1" applyFill="1" applyBorder="1" applyAlignment="1">
      <alignment vertical="top" wrapText="1"/>
    </xf>
    <xf numFmtId="1" fontId="4" fillId="6" borderId="13"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65" fontId="3" fillId="8" borderId="55" xfId="0" applyNumberFormat="1" applyFont="1" applyFill="1" applyBorder="1" applyAlignment="1">
      <alignment horizontal="center" vertical="top"/>
    </xf>
    <xf numFmtId="165" fontId="3" fillId="8" borderId="58" xfId="0" applyNumberFormat="1" applyFont="1" applyFill="1" applyBorder="1" applyAlignment="1">
      <alignment horizontal="center" vertical="top"/>
    </xf>
    <xf numFmtId="165" fontId="4" fillId="0" borderId="37" xfId="0" applyNumberFormat="1" applyFont="1" applyBorder="1" applyAlignment="1">
      <alignment horizontal="center" vertical="top" wrapText="1"/>
    </xf>
    <xf numFmtId="165" fontId="4" fillId="0" borderId="7"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0" xfId="0" applyNumberFormat="1" applyFont="1" applyBorder="1" applyAlignment="1">
      <alignment horizontal="center" vertical="top" wrapText="1"/>
    </xf>
    <xf numFmtId="49" fontId="4" fillId="12" borderId="39" xfId="0" applyNumberFormat="1" applyFont="1" applyFill="1" applyBorder="1" applyAlignment="1">
      <alignment horizontal="center" vertical="top"/>
    </xf>
    <xf numFmtId="49" fontId="4" fillId="12" borderId="13"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0" fontId="4" fillId="0" borderId="28" xfId="0" applyNumberFormat="1" applyFont="1" applyFill="1" applyBorder="1" applyAlignment="1">
      <alignment horizontal="center" vertical="top"/>
    </xf>
    <xf numFmtId="0" fontId="4" fillId="0" borderId="51"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0" fontId="4" fillId="0" borderId="18" xfId="0" applyNumberFormat="1" applyFont="1" applyFill="1" applyBorder="1" applyAlignment="1">
      <alignment horizontal="center" vertical="top"/>
    </xf>
    <xf numFmtId="0" fontId="4" fillId="0" borderId="55" xfId="0" applyFont="1" applyFill="1" applyBorder="1" applyAlignment="1">
      <alignment vertical="top" wrapText="1"/>
    </xf>
    <xf numFmtId="164" fontId="4" fillId="0" borderId="7"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6" fillId="8" borderId="40" xfId="0" applyNumberFormat="1" applyFont="1" applyFill="1" applyBorder="1" applyAlignment="1">
      <alignment horizontal="center" vertical="top"/>
    </xf>
    <xf numFmtId="164" fontId="4" fillId="6" borderId="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wrapText="1"/>
    </xf>
    <xf numFmtId="164" fontId="4" fillId="6" borderId="40"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3" fontId="4" fillId="12" borderId="39" xfId="0" applyNumberFormat="1" applyFont="1" applyFill="1" applyBorder="1" applyAlignment="1">
      <alignment horizontal="center" vertical="top"/>
    </xf>
    <xf numFmtId="3" fontId="4" fillId="12" borderId="13" xfId="0" applyNumberFormat="1" applyFont="1" applyFill="1" applyBorder="1" applyAlignment="1">
      <alignment horizontal="center" vertical="top"/>
    </xf>
    <xf numFmtId="164" fontId="4" fillId="6" borderId="49" xfId="0" applyNumberFormat="1" applyFont="1" applyFill="1" applyBorder="1" applyAlignment="1">
      <alignment horizontal="center" vertical="top" wrapText="1"/>
    </xf>
    <xf numFmtId="164" fontId="4" fillId="6" borderId="48" xfId="0" applyNumberFormat="1" applyFont="1" applyFill="1" applyBorder="1" applyAlignment="1">
      <alignment horizontal="center" vertical="top" wrapText="1"/>
    </xf>
    <xf numFmtId="164" fontId="3" fillId="8" borderId="41"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0" fontId="1" fillId="6" borderId="37" xfId="0" applyFont="1" applyFill="1" applyBorder="1" applyAlignment="1">
      <alignment horizontal="left" vertical="top" wrapText="1"/>
    </xf>
    <xf numFmtId="0" fontId="1" fillId="6" borderId="40" xfId="0" applyFont="1" applyFill="1" applyBorder="1" applyAlignment="1">
      <alignment horizontal="center" vertical="top"/>
    </xf>
    <xf numFmtId="164" fontId="1" fillId="6" borderId="40" xfId="0" applyNumberFormat="1" applyFont="1" applyFill="1" applyBorder="1" applyAlignment="1">
      <alignment horizontal="center" vertical="top"/>
    </xf>
    <xf numFmtId="0" fontId="1" fillId="6" borderId="41" xfId="0" applyFont="1" applyFill="1" applyBorder="1" applyAlignment="1">
      <alignment horizontal="left" vertical="top" wrapText="1"/>
    </xf>
    <xf numFmtId="0" fontId="33" fillId="0" borderId="62" xfId="0" applyFont="1" applyBorder="1" applyAlignment="1">
      <alignment vertical="top" wrapText="1"/>
    </xf>
    <xf numFmtId="164" fontId="3" fillId="5" borderId="70" xfId="0" applyNumberFormat="1" applyFont="1" applyFill="1" applyBorder="1" applyAlignment="1">
      <alignment horizontal="center" vertical="top"/>
    </xf>
    <xf numFmtId="49" fontId="6" fillId="7" borderId="61" xfId="0" applyNumberFormat="1" applyFont="1" applyFill="1" applyBorder="1" applyAlignment="1">
      <alignment horizontal="center" vertical="top" wrapText="1"/>
    </xf>
    <xf numFmtId="3" fontId="6" fillId="0" borderId="37" xfId="0" applyNumberFormat="1" applyFont="1" applyBorder="1" applyAlignment="1">
      <alignment horizontal="center" vertical="top"/>
    </xf>
    <xf numFmtId="3" fontId="4" fillId="7" borderId="35" xfId="0" applyNumberFormat="1" applyFont="1" applyFill="1" applyBorder="1" applyAlignment="1">
      <alignment horizontal="center" vertical="top" wrapText="1"/>
    </xf>
    <xf numFmtId="49" fontId="6" fillId="7" borderId="14"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textRotation="180" wrapText="1"/>
    </xf>
    <xf numFmtId="3" fontId="6" fillId="7" borderId="49" xfId="0" applyNumberFormat="1" applyFont="1" applyFill="1" applyBorder="1" applyAlignment="1">
      <alignment vertical="top" wrapText="1"/>
    </xf>
    <xf numFmtId="3" fontId="3" fillId="6" borderId="54" xfId="0" applyNumberFormat="1" applyFont="1" applyFill="1" applyBorder="1" applyAlignment="1">
      <alignment horizontal="center" vertical="top"/>
    </xf>
    <xf numFmtId="0" fontId="4" fillId="12" borderId="42" xfId="0" applyFont="1" applyFill="1" applyBorder="1" applyAlignment="1">
      <alignment horizontal="left" vertical="top" wrapText="1"/>
    </xf>
    <xf numFmtId="0" fontId="4" fillId="12" borderId="43" xfId="0" applyFont="1" applyFill="1" applyBorder="1" applyAlignment="1">
      <alignment horizontal="center" vertical="top" wrapText="1"/>
    </xf>
    <xf numFmtId="0" fontId="4" fillId="6" borderId="42" xfId="0" applyFont="1" applyFill="1" applyBorder="1" applyAlignment="1">
      <alignment horizontal="left" vertical="top" wrapText="1"/>
    </xf>
    <xf numFmtId="0" fontId="4" fillId="6" borderId="43" xfId="0" applyFont="1" applyFill="1" applyBorder="1" applyAlignment="1">
      <alignment horizontal="center" vertical="top" wrapText="1"/>
    </xf>
    <xf numFmtId="0" fontId="4" fillId="6" borderId="44" xfId="0" applyFont="1" applyFill="1" applyBorder="1" applyAlignment="1">
      <alignment horizontal="center" vertical="top" wrapText="1"/>
    </xf>
    <xf numFmtId="0" fontId="4" fillId="6" borderId="39" xfId="0" applyFont="1" applyFill="1" applyBorder="1" applyAlignment="1">
      <alignment horizontal="center" vertical="top" wrapText="1"/>
    </xf>
    <xf numFmtId="3" fontId="4" fillId="6" borderId="41" xfId="0" applyNumberFormat="1" applyFont="1" applyFill="1" applyBorder="1" applyAlignment="1">
      <alignment vertical="center" textRotation="90" wrapText="1"/>
    </xf>
    <xf numFmtId="3" fontId="1" fillId="6" borderId="52" xfId="0" applyNumberFormat="1" applyFont="1" applyFill="1" applyBorder="1" applyAlignment="1">
      <alignment horizontal="center" vertical="top"/>
    </xf>
    <xf numFmtId="3" fontId="1" fillId="6" borderId="50" xfId="0" applyNumberFormat="1" applyFont="1" applyFill="1" applyBorder="1" applyAlignment="1">
      <alignment horizontal="center" vertical="top"/>
    </xf>
    <xf numFmtId="3" fontId="3" fillId="6" borderId="43"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3" fillId="6" borderId="52"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0" borderId="46" xfId="0" applyNumberFormat="1" applyFont="1" applyFill="1" applyBorder="1" applyAlignment="1">
      <alignment horizontal="center" vertical="top"/>
    </xf>
    <xf numFmtId="3" fontId="1" fillId="6" borderId="31"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165" fontId="3" fillId="8" borderId="55" xfId="0" applyNumberFormat="1" applyFont="1" applyFill="1" applyBorder="1" applyAlignment="1">
      <alignment horizontal="center" vertical="top" wrapText="1"/>
    </xf>
    <xf numFmtId="165" fontId="3" fillId="8" borderId="58" xfId="0"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xf>
    <xf numFmtId="3" fontId="4" fillId="12" borderId="43" xfId="0" applyNumberFormat="1" applyFont="1" applyFill="1" applyBorder="1" applyAlignment="1">
      <alignment horizontal="center" vertical="top" wrapText="1"/>
    </xf>
    <xf numFmtId="3" fontId="1" fillId="12" borderId="72" xfId="0" applyNumberFormat="1" applyFont="1" applyFill="1" applyBorder="1" applyAlignment="1">
      <alignment vertical="top" wrapText="1"/>
    </xf>
    <xf numFmtId="3" fontId="1" fillId="12" borderId="13" xfId="0" applyNumberFormat="1" applyFont="1" applyFill="1" applyBorder="1" applyAlignment="1">
      <alignment horizontal="center" vertical="top"/>
    </xf>
    <xf numFmtId="3" fontId="1" fillId="12" borderId="75" xfId="0" applyNumberFormat="1" applyFont="1" applyFill="1" applyBorder="1" applyAlignment="1">
      <alignment vertical="top" wrapText="1"/>
    </xf>
    <xf numFmtId="0" fontId="1" fillId="6" borderId="75" xfId="0" applyFont="1" applyFill="1" applyBorder="1" applyAlignment="1">
      <alignment vertical="top" wrapText="1"/>
    </xf>
    <xf numFmtId="0" fontId="1" fillId="6" borderId="11" xfId="0" applyFont="1" applyFill="1" applyBorder="1" applyAlignment="1">
      <alignment horizontal="center" vertical="top" wrapText="1"/>
    </xf>
    <xf numFmtId="0" fontId="1" fillId="6" borderId="12" xfId="0" applyFont="1" applyFill="1" applyBorder="1" applyAlignment="1">
      <alignment horizontal="center" vertical="top" wrapText="1"/>
    </xf>
    <xf numFmtId="0" fontId="1" fillId="6" borderId="42" xfId="0" applyFont="1" applyFill="1" applyBorder="1" applyAlignment="1">
      <alignment vertical="top" wrapText="1"/>
    </xf>
    <xf numFmtId="0" fontId="1" fillId="6" borderId="43" xfId="0" applyFont="1" applyFill="1" applyBorder="1" applyAlignment="1">
      <alignment horizontal="center" vertical="top" wrapText="1"/>
    </xf>
    <xf numFmtId="0" fontId="1" fillId="6" borderId="39" xfId="0" applyFont="1" applyFill="1" applyBorder="1" applyAlignment="1">
      <alignment horizontal="center" vertical="top" wrapText="1"/>
    </xf>
    <xf numFmtId="0" fontId="1" fillId="6" borderId="13" xfId="0" applyFont="1" applyFill="1" applyBorder="1" applyAlignment="1">
      <alignment horizontal="center" vertical="top" wrapText="1"/>
    </xf>
    <xf numFmtId="3" fontId="3" fillId="0" borderId="11"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52"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3" fontId="1" fillId="6" borderId="31"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3" fontId="6" fillId="0"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164" fontId="4" fillId="7" borderId="40" xfId="0" applyNumberFormat="1" applyFont="1" applyFill="1" applyBorder="1" applyAlignment="1">
      <alignment horizontal="center" vertical="top" wrapText="1"/>
    </xf>
    <xf numFmtId="165" fontId="1" fillId="0" borderId="40" xfId="0" applyNumberFormat="1" applyFont="1" applyBorder="1" applyAlignment="1">
      <alignment horizontal="center" vertical="top"/>
    </xf>
    <xf numFmtId="165" fontId="1" fillId="0" borderId="16" xfId="0" applyNumberFormat="1" applyFont="1" applyBorder="1" applyAlignment="1">
      <alignment horizontal="center" vertical="top"/>
    </xf>
    <xf numFmtId="0" fontId="4" fillId="6" borderId="52" xfId="0" applyFont="1" applyFill="1" applyBorder="1" applyAlignment="1">
      <alignment horizontal="center" vertical="top"/>
    </xf>
    <xf numFmtId="0" fontId="4" fillId="6" borderId="50" xfId="0" applyFont="1" applyFill="1" applyBorder="1" applyAlignment="1">
      <alignment horizontal="center" vertical="top"/>
    </xf>
    <xf numFmtId="165" fontId="1" fillId="0" borderId="16" xfId="0" applyNumberFormat="1" applyFont="1" applyFill="1" applyBorder="1" applyAlignment="1">
      <alignment horizontal="center" vertical="top"/>
    </xf>
    <xf numFmtId="0" fontId="4" fillId="0" borderId="49" xfId="0" applyFont="1" applyFill="1" applyBorder="1" applyAlignment="1">
      <alignment horizontal="center" vertical="top"/>
    </xf>
    <xf numFmtId="165" fontId="1" fillId="7" borderId="16" xfId="0" applyNumberFormat="1" applyFont="1" applyFill="1" applyBorder="1" applyAlignment="1">
      <alignment horizontal="center" vertical="top" wrapText="1"/>
    </xf>
    <xf numFmtId="3" fontId="4" fillId="6" borderId="30" xfId="0" applyNumberFormat="1" applyFont="1" applyFill="1" applyBorder="1" applyAlignment="1">
      <alignment vertical="top" wrapText="1"/>
    </xf>
    <xf numFmtId="165" fontId="1" fillId="7" borderId="48"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3" fontId="4" fillId="0" borderId="0" xfId="0" applyNumberFormat="1" applyFont="1" applyBorder="1" applyAlignment="1">
      <alignment horizontal="center" vertical="top" wrapText="1"/>
    </xf>
    <xf numFmtId="164" fontId="6" fillId="5" borderId="70" xfId="0" applyNumberFormat="1" applyFont="1" applyFill="1" applyBorder="1" applyAlignment="1">
      <alignment horizontal="center" vertical="top"/>
    </xf>
    <xf numFmtId="3" fontId="3" fillId="12" borderId="23" xfId="0" applyNumberFormat="1" applyFont="1" applyFill="1" applyBorder="1" applyAlignment="1">
      <alignment horizontal="center" vertical="top"/>
    </xf>
    <xf numFmtId="164" fontId="3" fillId="12" borderId="70" xfId="0" applyNumberFormat="1" applyFont="1" applyFill="1" applyBorder="1" applyAlignment="1">
      <alignment horizontal="center" vertical="top"/>
    </xf>
    <xf numFmtId="164" fontId="3" fillId="12" borderId="10" xfId="0" applyNumberFormat="1" applyFont="1" applyFill="1" applyBorder="1" applyAlignment="1">
      <alignment horizontal="center" vertical="top"/>
    </xf>
    <xf numFmtId="3" fontId="3" fillId="10" borderId="33" xfId="0" applyNumberFormat="1" applyFont="1" applyFill="1" applyBorder="1" applyAlignment="1">
      <alignment horizontal="center" vertical="top"/>
    </xf>
    <xf numFmtId="164" fontId="3" fillId="10" borderId="25" xfId="0" applyNumberFormat="1" applyFont="1" applyFill="1" applyBorder="1" applyAlignment="1">
      <alignment horizontal="center" vertical="top" wrapText="1"/>
    </xf>
    <xf numFmtId="164" fontId="3" fillId="10" borderId="24" xfId="0" applyNumberFormat="1" applyFont="1" applyFill="1" applyBorder="1" applyAlignment="1">
      <alignment horizontal="center" vertical="top" wrapText="1"/>
    </xf>
    <xf numFmtId="3" fontId="1" fillId="0" borderId="0" xfId="0" applyNumberFormat="1" applyFont="1" applyFill="1" applyBorder="1" applyAlignment="1">
      <alignment vertical="top"/>
    </xf>
    <xf numFmtId="164" fontId="1" fillId="0" borderId="16" xfId="0" applyNumberFormat="1" applyFont="1" applyBorder="1" applyAlignment="1">
      <alignment horizontal="center" vertical="center" textRotation="90" wrapText="1"/>
    </xf>
    <xf numFmtId="164" fontId="6" fillId="10" borderId="8" xfId="0" applyNumberFormat="1" applyFont="1" applyFill="1" applyBorder="1" applyAlignment="1">
      <alignment horizontal="center" vertical="top" wrapText="1"/>
    </xf>
    <xf numFmtId="164" fontId="6" fillId="10" borderId="70"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164" fontId="6" fillId="8" borderId="70" xfId="0" applyNumberFormat="1" applyFont="1" applyFill="1" applyBorder="1" applyAlignment="1">
      <alignment horizontal="center" vertical="top" wrapText="1"/>
    </xf>
    <xf numFmtId="0" fontId="32" fillId="0" borderId="0" xfId="0" applyFont="1" applyAlignment="1">
      <alignment horizontal="center" vertical="top"/>
    </xf>
    <xf numFmtId="0" fontId="32" fillId="0" borderId="0" xfId="0" applyFont="1" applyAlignment="1">
      <alignment horizontal="center"/>
    </xf>
    <xf numFmtId="0" fontId="29" fillId="0" borderId="0" xfId="0" applyFont="1" applyAlignment="1">
      <alignment horizontal="center" vertical="top"/>
    </xf>
    <xf numFmtId="0" fontId="1" fillId="12" borderId="37" xfId="0" applyFont="1" applyFill="1" applyBorder="1" applyAlignment="1">
      <alignment horizontal="left" vertical="top" wrapText="1"/>
    </xf>
    <xf numFmtId="0" fontId="1" fillId="12" borderId="30" xfId="0" applyFont="1" applyFill="1" applyBorder="1" applyAlignment="1">
      <alignment horizontal="left" vertical="top" wrapText="1"/>
    </xf>
    <xf numFmtId="0" fontId="1" fillId="12" borderId="12" xfId="0" applyFont="1" applyFill="1" applyBorder="1" applyAlignment="1">
      <alignment horizontal="center" vertical="top" wrapText="1"/>
    </xf>
    <xf numFmtId="0" fontId="1" fillId="12" borderId="49" xfId="0" applyFont="1" applyFill="1" applyBorder="1" applyAlignment="1">
      <alignment horizontal="left" vertical="top" wrapText="1"/>
    </xf>
    <xf numFmtId="3" fontId="1" fillId="12" borderId="1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1" fillId="12" borderId="30" xfId="0" applyNumberFormat="1" applyFont="1" applyFill="1" applyBorder="1" applyAlignment="1">
      <alignment horizontal="left" vertical="top" wrapText="1"/>
    </xf>
    <xf numFmtId="3" fontId="1" fillId="11" borderId="16" xfId="0" applyNumberFormat="1" applyFont="1" applyFill="1" applyBorder="1" applyAlignment="1">
      <alignment horizontal="left" vertical="top" wrapText="1"/>
    </xf>
    <xf numFmtId="0" fontId="1" fillId="11" borderId="0" xfId="0" applyFont="1" applyFill="1" applyBorder="1" applyAlignment="1">
      <alignment horizontal="left" vertical="top" wrapText="1"/>
    </xf>
    <xf numFmtId="49" fontId="1" fillId="11" borderId="39" xfId="0" applyNumberFormat="1" applyFont="1" applyFill="1" applyBorder="1" applyAlignment="1">
      <alignment horizontal="center" vertical="top"/>
    </xf>
    <xf numFmtId="49" fontId="1" fillId="11" borderId="13" xfId="0" applyNumberFormat="1" applyFont="1" applyFill="1" applyBorder="1" applyAlignment="1">
      <alignment horizontal="center" vertical="top"/>
    </xf>
    <xf numFmtId="3" fontId="4" fillId="12" borderId="15" xfId="0" applyNumberFormat="1" applyFont="1" applyFill="1" applyBorder="1" applyAlignment="1">
      <alignment vertical="top" wrapText="1"/>
    </xf>
    <xf numFmtId="49" fontId="4" fillId="12" borderId="14"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6" fillId="0" borderId="11" xfId="0" applyNumberFormat="1" applyFont="1" applyFill="1" applyBorder="1" applyAlignment="1">
      <alignment horizontal="center" vertical="top" wrapText="1"/>
    </xf>
    <xf numFmtId="3" fontId="6" fillId="0" borderId="47" xfId="0" applyNumberFormat="1" applyFont="1" applyBorder="1" applyAlignment="1">
      <alignment horizontal="center" vertical="top"/>
    </xf>
    <xf numFmtId="164" fontId="1" fillId="6" borderId="4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16" xfId="0" applyNumberFormat="1" applyFont="1" applyBorder="1" applyAlignment="1">
      <alignment horizontal="center" vertical="top" wrapText="1"/>
    </xf>
    <xf numFmtId="3" fontId="4" fillId="0" borderId="24" xfId="0" applyNumberFormat="1" applyFont="1" applyFill="1" applyBorder="1" applyAlignment="1">
      <alignment horizontal="center" vertical="top"/>
    </xf>
    <xf numFmtId="0" fontId="6" fillId="6" borderId="38" xfId="0" applyFont="1" applyFill="1" applyBorder="1" applyAlignment="1">
      <alignment horizontal="center" vertical="top" wrapText="1"/>
    </xf>
    <xf numFmtId="164" fontId="6" fillId="6" borderId="27" xfId="0" applyNumberFormat="1" applyFont="1" applyFill="1" applyBorder="1" applyAlignment="1">
      <alignment horizontal="center" vertical="top" wrapText="1"/>
    </xf>
    <xf numFmtId="164" fontId="6" fillId="6" borderId="7" xfId="0" applyNumberFormat="1" applyFont="1" applyFill="1" applyBorder="1" applyAlignment="1">
      <alignment horizontal="center" vertical="top" wrapText="1"/>
    </xf>
    <xf numFmtId="0" fontId="6" fillId="6" borderId="40" xfId="0" applyFont="1" applyFill="1" applyBorder="1" applyAlignment="1">
      <alignment horizontal="center" vertical="top" wrapText="1"/>
    </xf>
    <xf numFmtId="164" fontId="6" fillId="6" borderId="46" xfId="0" applyNumberFormat="1" applyFont="1" applyFill="1" applyBorder="1" applyAlignment="1">
      <alignment horizontal="center" vertical="top" wrapText="1"/>
    </xf>
    <xf numFmtId="0" fontId="4" fillId="0" borderId="14" xfId="0" applyFont="1" applyFill="1" applyBorder="1" applyAlignment="1">
      <alignment horizontal="center" vertical="top"/>
    </xf>
    <xf numFmtId="0" fontId="17" fillId="0" borderId="0" xfId="0" applyFont="1" applyAlignment="1">
      <alignment vertical="top"/>
    </xf>
    <xf numFmtId="0" fontId="29" fillId="0" borderId="0" xfId="0" applyFont="1" applyAlignment="1">
      <alignment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3" fillId="12" borderId="36" xfId="0" applyNumberFormat="1" applyFont="1" applyFill="1" applyBorder="1" applyAlignment="1">
      <alignment horizontal="center" vertical="top"/>
    </xf>
    <xf numFmtId="3" fontId="3" fillId="12"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54" xfId="0" applyNumberFormat="1" applyFont="1" applyBorder="1" applyAlignment="1">
      <alignment horizontal="center" vertical="top" wrapText="1"/>
    </xf>
    <xf numFmtId="3" fontId="3" fillId="12"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36" xfId="0" applyNumberFormat="1" applyFont="1" applyFill="1" applyBorder="1" applyAlignment="1">
      <alignment horizontal="center" vertical="top"/>
    </xf>
    <xf numFmtId="3" fontId="4" fillId="12"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12" borderId="42" xfId="0" applyNumberFormat="1" applyFont="1" applyFill="1" applyBorder="1" applyAlignment="1">
      <alignment horizontal="left" vertical="top" wrapText="1"/>
    </xf>
    <xf numFmtId="3" fontId="4" fillId="6"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1" fillId="12" borderId="52"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3" fontId="4" fillId="6" borderId="54" xfId="0" applyNumberFormat="1" applyFont="1" applyFill="1" applyBorder="1" applyAlignment="1">
      <alignment horizontal="center" vertical="top"/>
    </xf>
    <xf numFmtId="3" fontId="4" fillId="0" borderId="53"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0" borderId="47"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1" fillId="6" borderId="42" xfId="0" applyNumberFormat="1" applyFont="1" applyFill="1" applyBorder="1" applyAlignment="1">
      <alignment horizontal="left" vertical="top" wrapText="1"/>
    </xf>
    <xf numFmtId="49" fontId="3" fillId="7" borderId="14" xfId="0" applyNumberFormat="1" applyFont="1" applyFill="1" applyBorder="1" applyAlignment="1">
      <alignment horizontal="center" vertical="top"/>
    </xf>
    <xf numFmtId="3" fontId="1" fillId="0" borderId="52"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 fillId="0" borderId="1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4" fillId="6" borderId="45" xfId="0" applyNumberFormat="1" applyFont="1" applyFill="1" applyBorder="1" applyAlignment="1">
      <alignment horizontal="left" vertical="top" wrapText="1"/>
    </xf>
    <xf numFmtId="3" fontId="3" fillId="12"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3" fontId="3" fillId="12"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53" xfId="0" applyNumberFormat="1" applyFont="1" applyBorder="1" applyAlignment="1">
      <alignment horizontal="center" vertical="top"/>
    </xf>
    <xf numFmtId="3" fontId="4" fillId="0" borderId="49"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4" fillId="0" borderId="3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3" xfId="0" applyNumberFormat="1" applyFont="1" applyBorder="1" applyAlignment="1">
      <alignment horizontal="center" vertical="top"/>
    </xf>
    <xf numFmtId="3" fontId="6" fillId="7" borderId="16" xfId="0" applyNumberFormat="1" applyFont="1" applyFill="1" applyBorder="1" applyAlignment="1">
      <alignment horizontal="left" vertical="top" wrapText="1"/>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4" fillId="12" borderId="36" xfId="0" applyNumberFormat="1" applyFont="1" applyFill="1" applyBorder="1" applyAlignment="1">
      <alignment horizontal="center" vertical="top"/>
    </xf>
    <xf numFmtId="3" fontId="4" fillId="12" borderId="39" xfId="0" applyNumberFormat="1" applyFont="1" applyFill="1" applyBorder="1" applyAlignment="1">
      <alignment horizontal="center" vertical="top"/>
    </xf>
    <xf numFmtId="3" fontId="4" fillId="12" borderId="4" xfId="0" applyNumberFormat="1" applyFont="1" applyFill="1" applyBorder="1" applyAlignment="1">
      <alignment horizontal="center" vertical="top"/>
    </xf>
    <xf numFmtId="3" fontId="4" fillId="12" borderId="13" xfId="0" applyNumberFormat="1" applyFont="1" applyFill="1" applyBorder="1" applyAlignment="1">
      <alignment horizontal="center" vertical="top"/>
    </xf>
    <xf numFmtId="3" fontId="1" fillId="6" borderId="40"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6" borderId="16" xfId="0" applyNumberFormat="1" applyFont="1" applyFill="1" applyBorder="1" applyAlignment="1">
      <alignment horizontal="center" vertical="top" wrapText="1"/>
    </xf>
    <xf numFmtId="3" fontId="1" fillId="0" borderId="48"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0" borderId="12"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0" borderId="11"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53"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 fillId="0" borderId="7" xfId="0" applyNumberFormat="1" applyFont="1" applyFill="1" applyBorder="1" applyAlignment="1">
      <alignment horizontal="center" vertical="top"/>
    </xf>
    <xf numFmtId="3" fontId="3" fillId="12" borderId="49" xfId="0" applyNumberFormat="1" applyFont="1" applyFill="1" applyBorder="1" applyAlignment="1">
      <alignment horizontal="center" vertical="top" wrapText="1"/>
    </xf>
    <xf numFmtId="3" fontId="3" fillId="12" borderId="75" xfId="0" applyNumberFormat="1" applyFont="1" applyFill="1" applyBorder="1" applyAlignment="1">
      <alignment horizontal="left" vertical="top"/>
    </xf>
    <xf numFmtId="3" fontId="3" fillId="12" borderId="51" xfId="0" applyNumberFormat="1" applyFont="1" applyFill="1" applyBorder="1" applyAlignment="1">
      <alignment horizontal="left" vertical="top"/>
    </xf>
    <xf numFmtId="3" fontId="3" fillId="12" borderId="66" xfId="0" applyNumberFormat="1" applyFont="1" applyFill="1" applyBorder="1" applyAlignment="1">
      <alignment horizontal="left" vertical="top"/>
    </xf>
    <xf numFmtId="3" fontId="6" fillId="6" borderId="41" xfId="0" applyNumberFormat="1" applyFont="1" applyFill="1" applyBorder="1" applyAlignment="1">
      <alignment vertical="top" wrapText="1"/>
    </xf>
    <xf numFmtId="3" fontId="4" fillId="0" borderId="49" xfId="0" applyNumberFormat="1" applyFont="1" applyBorder="1" applyAlignment="1">
      <alignment vertical="top" wrapText="1"/>
    </xf>
    <xf numFmtId="3" fontId="4" fillId="0" borderId="27" xfId="0" applyNumberFormat="1" applyFont="1" applyFill="1" applyBorder="1" applyAlignment="1">
      <alignment horizontal="center" vertical="center" wrapText="1"/>
    </xf>
    <xf numFmtId="3" fontId="3" fillId="0" borderId="67"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7" borderId="38"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3" fontId="1" fillId="12" borderId="51" xfId="0" applyNumberFormat="1" applyFont="1" applyFill="1" applyBorder="1" applyAlignment="1">
      <alignment horizontal="left" vertical="top" wrapText="1"/>
    </xf>
    <xf numFmtId="3" fontId="1" fillId="12" borderId="52" xfId="0" applyNumberFormat="1" applyFont="1" applyFill="1" applyBorder="1" applyAlignment="1">
      <alignment horizontal="center" vertical="top"/>
    </xf>
    <xf numFmtId="3" fontId="1" fillId="12" borderId="50" xfId="0" applyNumberFormat="1" applyFont="1" applyFill="1" applyBorder="1" applyAlignment="1">
      <alignment horizontal="center" vertical="top"/>
    </xf>
    <xf numFmtId="3" fontId="1" fillId="12" borderId="50" xfId="0" applyNumberFormat="1" applyFont="1" applyFill="1" applyBorder="1" applyAlignment="1">
      <alignment horizontal="left" vertical="top" wrapText="1"/>
    </xf>
    <xf numFmtId="3" fontId="3" fillId="12" borderId="52" xfId="0" applyNumberFormat="1" applyFont="1" applyFill="1" applyBorder="1" applyAlignment="1">
      <alignment horizontal="center" vertical="top"/>
    </xf>
    <xf numFmtId="49" fontId="3" fillId="0" borderId="53" xfId="0" applyNumberFormat="1" applyFont="1" applyBorder="1" applyAlignment="1">
      <alignment horizontal="center" vertical="top"/>
    </xf>
    <xf numFmtId="3" fontId="1" fillId="0" borderId="51"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1" fillId="0" borderId="52" xfId="0" applyNumberFormat="1" applyFont="1" applyFill="1" applyBorder="1" applyAlignment="1">
      <alignment vertical="center" textRotation="90" wrapText="1"/>
    </xf>
    <xf numFmtId="3" fontId="6" fillId="0" borderId="75" xfId="0" applyNumberFormat="1" applyFont="1" applyBorder="1" applyAlignment="1">
      <alignment horizontal="center" vertical="top"/>
    </xf>
    <xf numFmtId="1" fontId="4" fillId="0" borderId="51" xfId="0" applyNumberFormat="1" applyFont="1" applyFill="1" applyBorder="1" applyAlignment="1">
      <alignment horizontal="center" vertical="top"/>
    </xf>
    <xf numFmtId="3" fontId="3" fillId="12"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49" fontId="3" fillId="0" borderId="53" xfId="0" applyNumberFormat="1" applyFont="1" applyBorder="1" applyAlignment="1">
      <alignment horizontal="center" vertical="top" wrapText="1"/>
    </xf>
    <xf numFmtId="0" fontId="4" fillId="0" borderId="20" xfId="0" applyNumberFormat="1" applyFont="1" applyFill="1" applyBorder="1" applyAlignment="1">
      <alignment horizontal="center" vertical="top"/>
    </xf>
    <xf numFmtId="0" fontId="4" fillId="0" borderId="21" xfId="0" applyNumberFormat="1" applyFont="1" applyFill="1" applyBorder="1" applyAlignment="1">
      <alignment horizontal="center" vertical="top"/>
    </xf>
    <xf numFmtId="0" fontId="4" fillId="0" borderId="56" xfId="0" applyNumberFormat="1" applyFont="1" applyFill="1" applyBorder="1" applyAlignment="1">
      <alignment horizontal="center" vertical="top"/>
    </xf>
    <xf numFmtId="0" fontId="4" fillId="0" borderId="26" xfId="0" applyNumberFormat="1" applyFont="1" applyFill="1" applyBorder="1" applyAlignment="1">
      <alignment horizontal="center" vertical="top"/>
    </xf>
    <xf numFmtId="3" fontId="3" fillId="6" borderId="39" xfId="0" applyNumberFormat="1" applyFont="1" applyFill="1" applyBorder="1" applyAlignment="1">
      <alignment vertical="top" wrapText="1"/>
    </xf>
    <xf numFmtId="3" fontId="3" fillId="6" borderId="52" xfId="0" applyNumberFormat="1" applyFont="1" applyFill="1" applyBorder="1" applyAlignment="1">
      <alignment vertical="top" wrapText="1"/>
    </xf>
    <xf numFmtId="3" fontId="3" fillId="6" borderId="54" xfId="0" applyNumberFormat="1" applyFont="1" applyFill="1" applyBorder="1" applyAlignment="1">
      <alignment vertical="top"/>
    </xf>
    <xf numFmtId="49" fontId="3" fillId="7" borderId="75" xfId="0" applyNumberFormat="1" applyFont="1" applyFill="1" applyBorder="1" applyAlignment="1">
      <alignment horizontal="center" vertical="top"/>
    </xf>
    <xf numFmtId="3" fontId="3" fillId="6" borderId="53" xfId="0" applyNumberFormat="1" applyFont="1" applyFill="1" applyBorder="1" applyAlignment="1">
      <alignment vertical="top"/>
    </xf>
    <xf numFmtId="0" fontId="4" fillId="6" borderId="49" xfId="0" applyFont="1" applyFill="1" applyBorder="1" applyAlignment="1">
      <alignment horizontal="left" vertical="top" wrapText="1"/>
    </xf>
    <xf numFmtId="0" fontId="4" fillId="6" borderId="52" xfId="0" applyFont="1" applyFill="1" applyBorder="1" applyAlignment="1">
      <alignment horizontal="center" vertical="top" wrapText="1"/>
    </xf>
    <xf numFmtId="0" fontId="4" fillId="6" borderId="50" xfId="0" applyFont="1" applyFill="1" applyBorder="1" applyAlignment="1">
      <alignment horizontal="center" vertical="top" wrapText="1"/>
    </xf>
    <xf numFmtId="165" fontId="3" fillId="8" borderId="57" xfId="0" applyNumberFormat="1" applyFont="1" applyFill="1" applyBorder="1" applyAlignment="1">
      <alignment horizontal="center" vertical="top" wrapText="1"/>
    </xf>
    <xf numFmtId="3" fontId="4" fillId="7" borderId="62" xfId="0" applyNumberFormat="1" applyFont="1" applyFill="1" applyBorder="1" applyAlignment="1">
      <alignment horizontal="left" vertical="top" wrapText="1"/>
    </xf>
    <xf numFmtId="3" fontId="3" fillId="0" borderId="59" xfId="0" applyNumberFormat="1" applyFont="1" applyFill="1" applyBorder="1" applyAlignment="1">
      <alignment horizontal="center" vertical="top"/>
    </xf>
    <xf numFmtId="3" fontId="1" fillId="0" borderId="1" xfId="0" applyNumberFormat="1" applyFont="1" applyFill="1" applyBorder="1" applyAlignment="1">
      <alignment horizontal="center" vertical="top"/>
    </xf>
    <xf numFmtId="164" fontId="4" fillId="6" borderId="51" xfId="0" applyNumberFormat="1" applyFont="1" applyFill="1" applyBorder="1" applyAlignment="1">
      <alignment horizontal="center" vertical="top"/>
    </xf>
    <xf numFmtId="3" fontId="4" fillId="6" borderId="51" xfId="0" applyNumberFormat="1" applyFont="1" applyFill="1" applyBorder="1" applyAlignment="1">
      <alignment vertical="top" wrapText="1"/>
    </xf>
    <xf numFmtId="164" fontId="4" fillId="0" borderId="48" xfId="0" applyNumberFormat="1" applyFont="1" applyFill="1" applyBorder="1" applyAlignment="1">
      <alignment horizontal="center" vertical="top" wrapText="1"/>
    </xf>
    <xf numFmtId="3" fontId="1" fillId="0" borderId="51" xfId="0" applyNumberFormat="1" applyFont="1" applyFill="1" applyBorder="1" applyAlignment="1">
      <alignment vertical="center" textRotation="90" wrapText="1"/>
    </xf>
    <xf numFmtId="164" fontId="4" fillId="0" borderId="48" xfId="0" applyNumberFormat="1" applyFont="1" applyBorder="1" applyAlignment="1">
      <alignment horizontal="center" vertical="top"/>
    </xf>
    <xf numFmtId="3" fontId="6" fillId="0" borderId="53" xfId="0" applyNumberFormat="1" applyFont="1" applyBorder="1" applyAlignment="1">
      <alignment horizontal="center" vertical="top" wrapText="1"/>
    </xf>
    <xf numFmtId="164" fontId="1" fillId="0" borderId="49" xfId="0" applyNumberFormat="1" applyFont="1" applyFill="1" applyBorder="1" applyAlignment="1">
      <alignment horizontal="center" vertical="top"/>
    </xf>
    <xf numFmtId="49" fontId="4" fillId="12" borderId="52" xfId="0" applyNumberFormat="1" applyFont="1" applyFill="1" applyBorder="1" applyAlignment="1">
      <alignment horizontal="center" vertical="top"/>
    </xf>
    <xf numFmtId="49" fontId="4" fillId="12" borderId="50" xfId="0" applyNumberFormat="1" applyFont="1" applyFill="1" applyBorder="1" applyAlignment="1">
      <alignment horizontal="center" vertical="top"/>
    </xf>
    <xf numFmtId="49" fontId="3" fillId="7" borderId="50" xfId="0" applyNumberFormat="1" applyFont="1" applyFill="1" applyBorder="1" applyAlignment="1">
      <alignment horizontal="center" vertical="top"/>
    </xf>
    <xf numFmtId="3" fontId="4" fillId="0" borderId="51" xfId="0" applyNumberFormat="1" applyFont="1" applyBorder="1" applyAlignment="1">
      <alignment horizontal="center" vertical="top" textRotation="90"/>
    </xf>
    <xf numFmtId="0" fontId="4" fillId="0" borderId="75" xfId="0" applyFont="1" applyFill="1" applyBorder="1" applyAlignment="1">
      <alignment horizontal="center" vertical="top"/>
    </xf>
    <xf numFmtId="0" fontId="4" fillId="0" borderId="66" xfId="0" applyFont="1" applyFill="1" applyBorder="1" applyAlignment="1">
      <alignment horizontal="center" vertical="top"/>
    </xf>
    <xf numFmtId="3" fontId="6" fillId="0" borderId="54" xfId="0" applyNumberFormat="1" applyFont="1" applyBorder="1" applyAlignment="1">
      <alignment horizontal="center" vertical="top"/>
    </xf>
    <xf numFmtId="164" fontId="34" fillId="6" borderId="41" xfId="0" applyNumberFormat="1" applyFont="1" applyFill="1" applyBorder="1" applyAlignment="1">
      <alignment horizontal="center" vertical="top"/>
    </xf>
    <xf numFmtId="164" fontId="34" fillId="6" borderId="16" xfId="0" applyNumberFormat="1" applyFont="1" applyFill="1" applyBorder="1" applyAlignment="1">
      <alignment horizontal="center" vertical="top"/>
    </xf>
    <xf numFmtId="0" fontId="34" fillId="6" borderId="16" xfId="0" applyFont="1" applyFill="1" applyBorder="1" applyAlignment="1">
      <alignment horizontal="center" vertical="top" wrapText="1"/>
    </xf>
    <xf numFmtId="3" fontId="34" fillId="6" borderId="16" xfId="0" applyNumberFormat="1" applyFont="1" applyFill="1" applyBorder="1" applyAlignment="1">
      <alignment horizontal="center" vertical="top"/>
    </xf>
    <xf numFmtId="3" fontId="34" fillId="6" borderId="48" xfId="0" applyNumberFormat="1" applyFont="1" applyFill="1" applyBorder="1" applyAlignment="1">
      <alignment horizontal="center" vertical="top"/>
    </xf>
    <xf numFmtId="164" fontId="34" fillId="6" borderId="49" xfId="0" applyNumberFormat="1" applyFont="1" applyFill="1" applyBorder="1" applyAlignment="1">
      <alignment horizontal="center" vertical="top"/>
    </xf>
    <xf numFmtId="164" fontId="34" fillId="6" borderId="48" xfId="0" applyNumberFormat="1" applyFont="1" applyFill="1" applyBorder="1" applyAlignment="1">
      <alignment horizontal="center" vertical="top"/>
    </xf>
    <xf numFmtId="164" fontId="34" fillId="6" borderId="41" xfId="0" applyNumberFormat="1" applyFont="1" applyFill="1" applyBorder="1" applyAlignment="1">
      <alignment horizontal="center" vertical="top" wrapText="1"/>
    </xf>
    <xf numFmtId="164" fontId="34" fillId="6" borderId="16" xfId="0" applyNumberFormat="1" applyFont="1" applyFill="1" applyBorder="1" applyAlignment="1">
      <alignment horizontal="center" vertical="top" wrapText="1"/>
    </xf>
    <xf numFmtId="3" fontId="34" fillId="6" borderId="48" xfId="0" applyNumberFormat="1" applyFont="1" applyFill="1" applyBorder="1" applyAlignment="1">
      <alignment horizontal="center" vertical="top" wrapText="1"/>
    </xf>
    <xf numFmtId="164" fontId="34" fillId="6" borderId="49" xfId="0" applyNumberFormat="1" applyFont="1" applyFill="1" applyBorder="1" applyAlignment="1">
      <alignment horizontal="center" vertical="top" wrapText="1"/>
    </xf>
    <xf numFmtId="164" fontId="34" fillId="6" borderId="48" xfId="0" applyNumberFormat="1" applyFont="1" applyFill="1" applyBorder="1" applyAlignment="1">
      <alignment horizontal="center" vertical="top" wrapText="1"/>
    </xf>
    <xf numFmtId="3" fontId="6" fillId="6" borderId="40" xfId="0" applyNumberFormat="1" applyFont="1" applyFill="1" applyBorder="1" applyAlignment="1">
      <alignment horizontal="center" vertical="top" wrapText="1"/>
    </xf>
    <xf numFmtId="164" fontId="6" fillId="6" borderId="40" xfId="0" applyNumberFormat="1" applyFont="1" applyFill="1" applyBorder="1" applyAlignment="1">
      <alignment horizontal="center" vertical="top" wrapText="1"/>
    </xf>
    <xf numFmtId="3" fontId="34" fillId="6" borderId="16" xfId="0" applyNumberFormat="1" applyFont="1" applyFill="1" applyBorder="1" applyAlignment="1">
      <alignment horizontal="center" vertical="top" wrapText="1"/>
    </xf>
    <xf numFmtId="0" fontId="15" fillId="7" borderId="0" xfId="0" applyFont="1" applyFill="1" applyAlignment="1">
      <alignment horizontal="left" vertical="top" wrapText="1"/>
    </xf>
    <xf numFmtId="0" fontId="16" fillId="7" borderId="0" xfId="0" applyFont="1" applyFill="1" applyAlignment="1">
      <alignment horizontal="center" vertical="top" wrapText="1"/>
    </xf>
    <xf numFmtId="0" fontId="14" fillId="7" borderId="0" xfId="0" applyFont="1" applyFill="1" applyAlignment="1">
      <alignment horizontal="left" vertical="top" wrapText="1"/>
    </xf>
    <xf numFmtId="0" fontId="16" fillId="7" borderId="0" xfId="0" applyFont="1" applyFill="1" applyAlignment="1">
      <alignment horizontal="justify" vertical="top" wrapText="1"/>
    </xf>
    <xf numFmtId="0" fontId="12" fillId="0" borderId="0" xfId="0" applyFont="1" applyFill="1" applyAlignment="1">
      <alignment horizontal="left" vertical="top" wrapText="1"/>
    </xf>
    <xf numFmtId="0" fontId="15" fillId="7" borderId="0" xfId="0" applyFont="1" applyFill="1" applyBorder="1" applyAlignment="1">
      <alignment horizontal="left" vertical="top" wrapText="1"/>
    </xf>
    <xf numFmtId="0" fontId="15" fillId="0" borderId="0" xfId="0" applyFont="1" applyBorder="1" applyAlignment="1">
      <alignment horizontal="right" vertical="top" wrapText="1"/>
    </xf>
    <xf numFmtId="0" fontId="12" fillId="7" borderId="0" xfId="0" applyFont="1" applyFill="1" applyAlignment="1">
      <alignment horizontal="left" vertical="top" wrapText="1"/>
    </xf>
    <xf numFmtId="0" fontId="15" fillId="7" borderId="0" xfId="0" applyFont="1" applyFill="1" applyAlignment="1">
      <alignment wrapText="1"/>
    </xf>
    <xf numFmtId="0" fontId="12" fillId="0" borderId="0" xfId="0" applyFont="1" applyAlignment="1">
      <alignment horizontal="left" vertical="top" wrapText="1"/>
    </xf>
    <xf numFmtId="0" fontId="30" fillId="0" borderId="0" xfId="1" applyFont="1" applyBorder="1" applyAlignment="1">
      <alignment horizontal="left" vertical="top" wrapText="1"/>
    </xf>
    <xf numFmtId="0" fontId="30" fillId="0" borderId="0" xfId="1" applyFont="1" applyAlignment="1">
      <alignment horizontal="left" vertical="center" wrapText="1"/>
    </xf>
    <xf numFmtId="0" fontId="17" fillId="0" borderId="0" xfId="0" applyFont="1" applyAlignment="1">
      <alignment horizontal="center" vertical="top"/>
    </xf>
    <xf numFmtId="0" fontId="29" fillId="0" borderId="0" xfId="0" applyFont="1" applyAlignment="1">
      <alignment horizontal="center" vertical="top"/>
    </xf>
    <xf numFmtId="3" fontId="3" fillId="10" borderId="33" xfId="0" applyNumberFormat="1" applyFont="1" applyFill="1" applyBorder="1" applyAlignment="1">
      <alignment horizontal="left" vertical="top" wrapText="1"/>
    </xf>
    <xf numFmtId="3" fontId="3" fillId="10" borderId="34" xfId="0" applyNumberFormat="1" applyFont="1" applyFill="1" applyBorder="1" applyAlignment="1">
      <alignment horizontal="left" vertical="top" wrapText="1"/>
    </xf>
    <xf numFmtId="3" fontId="3" fillId="10" borderId="77" xfId="0" applyNumberFormat="1"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164" fontId="1" fillId="7" borderId="0" xfId="0" applyNumberFormat="1" applyFont="1" applyFill="1" applyBorder="1" applyAlignment="1">
      <alignment horizontal="center"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7" xfId="0" applyNumberFormat="1" applyFont="1" applyFill="1" applyBorder="1" applyAlignment="1">
      <alignment horizontal="righ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3" fillId="12" borderId="1" xfId="0" applyNumberFormat="1" applyFont="1" applyFill="1" applyBorder="1" applyAlignment="1">
      <alignment horizontal="right" vertical="top"/>
    </xf>
    <xf numFmtId="3" fontId="4" fillId="12" borderId="8" xfId="0" applyNumberFormat="1" applyFont="1" applyFill="1" applyBorder="1" applyAlignment="1">
      <alignment horizontal="center" vertical="top"/>
    </xf>
    <xf numFmtId="3" fontId="4" fillId="12" borderId="9" xfId="0" applyNumberFormat="1" applyFont="1" applyFill="1" applyBorder="1" applyAlignment="1">
      <alignment horizontal="center" vertical="top"/>
    </xf>
    <xf numFmtId="3" fontId="4" fillId="12" borderId="10" xfId="0" applyNumberFormat="1" applyFont="1" applyFill="1" applyBorder="1" applyAlignment="1">
      <alignment horizontal="center" vertical="top"/>
    </xf>
    <xf numFmtId="3" fontId="3" fillId="10" borderId="65" xfId="0" applyNumberFormat="1" applyFont="1" applyFill="1" applyBorder="1" applyAlignment="1">
      <alignment horizontal="right" vertical="center"/>
    </xf>
    <xf numFmtId="3" fontId="3" fillId="10" borderId="9" xfId="0" applyNumberFormat="1" applyFont="1" applyFill="1" applyBorder="1" applyAlignment="1">
      <alignment horizontal="right" vertical="center"/>
    </xf>
    <xf numFmtId="3" fontId="4" fillId="10" borderId="8" xfId="0" applyNumberFormat="1" applyFont="1" applyFill="1" applyBorder="1" applyAlignment="1">
      <alignment horizontal="center" vertical="center" wrapText="1"/>
    </xf>
    <xf numFmtId="3" fontId="4" fillId="10" borderId="9" xfId="0" applyNumberFormat="1" applyFont="1" applyFill="1" applyBorder="1" applyAlignment="1">
      <alignment horizontal="center" vertical="center" wrapText="1"/>
    </xf>
    <xf numFmtId="3" fontId="4" fillId="10" borderId="10" xfId="0" applyNumberFormat="1" applyFont="1" applyFill="1" applyBorder="1" applyAlignment="1">
      <alignment horizontal="center" vertical="center" wrapText="1"/>
    </xf>
    <xf numFmtId="49" fontId="1" fillId="6" borderId="37" xfId="0" applyNumberFormat="1" applyFont="1" applyFill="1" applyBorder="1" applyAlignment="1">
      <alignment horizontal="left" vertical="top"/>
    </xf>
    <xf numFmtId="49" fontId="1" fillId="6" borderId="35" xfId="0" applyNumberFormat="1" applyFont="1" applyFill="1" applyBorder="1" applyAlignment="1">
      <alignment horizontal="left" vertical="top"/>
    </xf>
    <xf numFmtId="49" fontId="1" fillId="6" borderId="41" xfId="0" applyNumberFormat="1" applyFont="1" applyFill="1" applyBorder="1" applyAlignment="1">
      <alignment horizontal="left" vertical="top"/>
    </xf>
    <xf numFmtId="49" fontId="1" fillId="6" borderId="0" xfId="0" applyNumberFormat="1" applyFont="1" applyFill="1" applyBorder="1" applyAlignment="1">
      <alignment horizontal="left" vertical="top"/>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0" fontId="1" fillId="6" borderId="72" xfId="0" applyFont="1" applyFill="1" applyBorder="1" applyAlignment="1">
      <alignment horizontal="left" vertical="top" wrapText="1"/>
    </xf>
    <xf numFmtId="0" fontId="1" fillId="6" borderId="32" xfId="0" applyFont="1" applyFill="1" applyBorder="1" applyAlignment="1">
      <alignment horizontal="left" vertical="top" wrapText="1"/>
    </xf>
    <xf numFmtId="0" fontId="1" fillId="6" borderId="14" xfId="0" applyFont="1" applyFill="1" applyBorder="1" applyAlignment="1">
      <alignment horizontal="left" vertical="top" wrapText="1"/>
    </xf>
    <xf numFmtId="0" fontId="1" fillId="6" borderId="15" xfId="0" applyFont="1" applyFill="1" applyBorder="1" applyAlignment="1">
      <alignment horizontal="left" vertical="top" wrapText="1"/>
    </xf>
    <xf numFmtId="0" fontId="1" fillId="6" borderId="75" xfId="0" applyFont="1" applyFill="1" applyBorder="1" applyAlignment="1">
      <alignment horizontal="left" vertical="top" wrapText="1"/>
    </xf>
    <xf numFmtId="0" fontId="1" fillId="6" borderId="66" xfId="0" applyFont="1" applyFill="1" applyBorder="1" applyAlignment="1">
      <alignment horizontal="left" vertical="top" wrapText="1"/>
    </xf>
    <xf numFmtId="0" fontId="1" fillId="6" borderId="16" xfId="0" applyFont="1" applyFill="1" applyBorder="1" applyAlignment="1">
      <alignment horizontal="left" vertical="top" wrapText="1"/>
    </xf>
    <xf numFmtId="0" fontId="1" fillId="6" borderId="48" xfId="0" applyFont="1" applyFill="1" applyBorder="1" applyAlignment="1">
      <alignment horizontal="left" vertical="top" wrapText="1"/>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3" fillId="5" borderId="9"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4" fillId="0" borderId="14"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1" fillId="6" borderId="72" xfId="0" applyNumberFormat="1" applyFont="1" applyFill="1" applyBorder="1" applyAlignment="1">
      <alignment horizontal="left" vertical="top" wrapText="1"/>
    </xf>
    <xf numFmtId="3" fontId="1" fillId="6" borderId="32" xfId="0" applyNumberFormat="1" applyFont="1" applyFill="1" applyBorder="1" applyAlignment="1">
      <alignment horizontal="left" vertical="top" wrapText="1"/>
    </xf>
    <xf numFmtId="3" fontId="1" fillId="6" borderId="75" xfId="0" applyNumberFormat="1" applyFont="1" applyFill="1" applyBorder="1" applyAlignment="1">
      <alignment horizontal="left" vertical="top" wrapText="1"/>
    </xf>
    <xf numFmtId="3" fontId="1" fillId="6" borderId="66" xfId="0" applyNumberFormat="1" applyFont="1" applyFill="1" applyBorder="1" applyAlignment="1">
      <alignment horizontal="left" vertical="top" wrapText="1"/>
    </xf>
    <xf numFmtId="3" fontId="3" fillId="8" borderId="55" xfId="0" applyNumberFormat="1" applyFont="1" applyFill="1" applyBorder="1" applyAlignment="1">
      <alignment horizontal="right" vertical="top" wrapText="1"/>
    </xf>
    <xf numFmtId="3" fontId="3" fillId="8" borderId="56" xfId="0" applyNumberFormat="1" applyFont="1" applyFill="1" applyBorder="1" applyAlignment="1">
      <alignment horizontal="right" vertical="top" wrapText="1"/>
    </xf>
    <xf numFmtId="3" fontId="3" fillId="8" borderId="57" xfId="0" applyNumberFormat="1" applyFont="1" applyFill="1" applyBorder="1" applyAlignment="1">
      <alignment horizontal="right" vertical="top" wrapText="1"/>
    </xf>
    <xf numFmtId="3" fontId="4" fillId="8" borderId="55" xfId="0" applyNumberFormat="1" applyFont="1" applyFill="1" applyBorder="1" applyAlignment="1">
      <alignment horizontal="center" vertical="top"/>
    </xf>
    <xf numFmtId="3" fontId="4" fillId="8" borderId="56" xfId="0" applyNumberFormat="1" applyFont="1" applyFill="1" applyBorder="1" applyAlignment="1">
      <alignment horizontal="center" vertical="top"/>
    </xf>
    <xf numFmtId="3" fontId="4" fillId="8" borderId="57" xfId="0" applyNumberFormat="1" applyFont="1" applyFill="1" applyBorder="1" applyAlignment="1">
      <alignment horizontal="center" vertical="top"/>
    </xf>
    <xf numFmtId="3" fontId="3" fillId="5" borderId="65"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5" borderId="65" xfId="0" applyNumberFormat="1" applyFont="1" applyFill="1" applyBorder="1" applyAlignment="1">
      <alignment horizontal="left" vertical="top"/>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1" fillId="12" borderId="40" xfId="0" applyNumberFormat="1" applyFont="1" applyFill="1" applyBorder="1" applyAlignment="1">
      <alignment horizontal="left" vertical="top" wrapText="1"/>
    </xf>
    <xf numFmtId="3" fontId="1" fillId="12" borderId="16" xfId="0" applyNumberFormat="1" applyFont="1" applyFill="1" applyBorder="1" applyAlignment="1">
      <alignment horizontal="left" vertical="top" wrapText="1"/>
    </xf>
    <xf numFmtId="3" fontId="1" fillId="12" borderId="45" xfId="0" applyNumberFormat="1" applyFont="1" applyFill="1" applyBorder="1" applyAlignment="1">
      <alignment horizontal="left" vertical="top" wrapText="1"/>
    </xf>
    <xf numFmtId="3" fontId="1" fillId="12" borderId="53" xfId="0" applyNumberFormat="1" applyFont="1" applyFill="1" applyBorder="1" applyAlignment="1">
      <alignment horizontal="left" vertical="top" wrapText="1"/>
    </xf>
    <xf numFmtId="3" fontId="1" fillId="12" borderId="72" xfId="0" applyNumberFormat="1" applyFont="1" applyFill="1" applyBorder="1" applyAlignment="1">
      <alignment horizontal="left" vertical="top" wrapText="1"/>
    </xf>
    <xf numFmtId="3" fontId="1" fillId="12" borderId="32"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49" fontId="3" fillId="12" borderId="36" xfId="0" applyNumberFormat="1" applyFont="1" applyFill="1" applyBorder="1" applyAlignment="1">
      <alignment horizontal="center" vertical="top"/>
    </xf>
    <xf numFmtId="49" fontId="3" fillId="12" borderId="3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6" borderId="37"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5" borderId="9" xfId="0" applyNumberFormat="1" applyFont="1" applyFill="1" applyBorder="1" applyAlignment="1">
      <alignment horizontal="left" vertical="top"/>
    </xf>
    <xf numFmtId="3" fontId="6" fillId="5" borderId="10" xfId="0" applyNumberFormat="1" applyFont="1" applyFill="1" applyBorder="1" applyAlignment="1">
      <alignment horizontal="left" vertical="top"/>
    </xf>
    <xf numFmtId="3" fontId="6" fillId="12" borderId="37" xfId="0" applyNumberFormat="1" applyFont="1" applyFill="1" applyBorder="1" applyAlignment="1">
      <alignment horizontal="left" vertical="top" wrapText="1"/>
    </xf>
    <xf numFmtId="3" fontId="6" fillId="12" borderId="41" xfId="0" applyNumberFormat="1" applyFont="1" applyFill="1" applyBorder="1" applyAlignment="1">
      <alignment horizontal="left" vertical="top" wrapText="1"/>
    </xf>
    <xf numFmtId="3" fontId="1" fillId="12" borderId="41" xfId="0" applyNumberFormat="1" applyFont="1" applyFill="1" applyBorder="1" applyAlignment="1">
      <alignment horizontal="left" vertical="top" wrapText="1"/>
    </xf>
    <xf numFmtId="3" fontId="4" fillId="12" borderId="7" xfId="0" applyNumberFormat="1" applyFont="1" applyFill="1" applyBorder="1" applyAlignment="1">
      <alignment horizontal="left" vertical="top" wrapText="1"/>
    </xf>
    <xf numFmtId="3" fontId="4" fillId="12" borderId="16" xfId="0" applyNumberFormat="1" applyFont="1" applyFill="1" applyBorder="1" applyAlignment="1">
      <alignment horizontal="left" vertical="top" wrapText="1"/>
    </xf>
    <xf numFmtId="3" fontId="4" fillId="12" borderId="36" xfId="0" applyNumberFormat="1" applyFont="1" applyFill="1" applyBorder="1" applyAlignment="1">
      <alignment horizontal="center" vertical="top"/>
    </xf>
    <xf numFmtId="3" fontId="4" fillId="12" borderId="39" xfId="0" applyNumberFormat="1" applyFont="1" applyFill="1" applyBorder="1" applyAlignment="1">
      <alignment horizontal="center" vertical="top"/>
    </xf>
    <xf numFmtId="3" fontId="4" fillId="12" borderId="4" xfId="0" applyNumberFormat="1" applyFont="1" applyFill="1" applyBorder="1" applyAlignment="1">
      <alignment horizontal="center" vertical="top"/>
    </xf>
    <xf numFmtId="3" fontId="4" fillId="12" borderId="13" xfId="0" applyNumberFormat="1" applyFont="1" applyFill="1" applyBorder="1" applyAlignment="1">
      <alignment horizontal="center" vertical="top"/>
    </xf>
    <xf numFmtId="3" fontId="3" fillId="12" borderId="36" xfId="0" applyNumberFormat="1" applyFont="1" applyFill="1" applyBorder="1" applyAlignment="1">
      <alignment horizontal="center" vertical="top"/>
    </xf>
    <xf numFmtId="3" fontId="3" fillId="12"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7"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49" fontId="3" fillId="12" borderId="59"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6"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3" fillId="6" borderId="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12" borderId="7" xfId="0" applyNumberFormat="1" applyFont="1" applyFill="1" applyBorder="1" applyAlignment="1">
      <alignment horizontal="left" vertical="top" wrapText="1"/>
    </xf>
    <xf numFmtId="3" fontId="3" fillId="12" borderId="16"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3" fillId="12"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4" fillId="12" borderId="16" xfId="0" applyFont="1" applyFill="1" applyBorder="1" applyAlignment="1">
      <alignment horizontal="left" vertical="top" wrapText="1"/>
    </xf>
    <xf numFmtId="0" fontId="4" fillId="12" borderId="48"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6" fillId="12" borderId="36" xfId="0" applyNumberFormat="1" applyFont="1" applyFill="1" applyBorder="1" applyAlignment="1">
      <alignment horizontal="center" vertical="top"/>
    </xf>
    <xf numFmtId="3" fontId="6" fillId="12"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4" xfId="0" applyNumberFormat="1" applyFont="1" applyFill="1" applyBorder="1" applyAlignment="1">
      <alignment horizontal="left" vertical="top" wrapText="1"/>
    </xf>
    <xf numFmtId="0" fontId="32" fillId="0" borderId="22" xfId="0" applyFont="1" applyBorder="1" applyAlignment="1">
      <alignment vertical="top"/>
    </xf>
    <xf numFmtId="3" fontId="4" fillId="0" borderId="72"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3" fillId="12"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14" borderId="7" xfId="0" applyNumberFormat="1" applyFont="1" applyFill="1" applyBorder="1" applyAlignment="1">
      <alignment horizontal="left" vertical="top" wrapText="1"/>
    </xf>
    <xf numFmtId="3" fontId="4" fillId="14" borderId="16" xfId="0" applyNumberFormat="1" applyFont="1" applyFill="1" applyBorder="1" applyAlignment="1">
      <alignment horizontal="left" vertical="top" wrapText="1"/>
    </xf>
    <xf numFmtId="3" fontId="4" fillId="14" borderId="25" xfId="0" applyNumberFormat="1" applyFont="1" applyFill="1" applyBorder="1" applyAlignment="1">
      <alignment horizontal="left" vertical="top" wrapText="1"/>
    </xf>
    <xf numFmtId="0" fontId="1" fillId="6" borderId="42" xfId="0" applyFont="1" applyFill="1" applyBorder="1" applyAlignment="1">
      <alignment horizontal="left" vertical="top" wrapText="1"/>
    </xf>
    <xf numFmtId="0" fontId="11" fillId="6" borderId="62" xfId="0" applyFont="1" applyFill="1" applyBorder="1" applyAlignment="1">
      <alignment horizontal="lef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3" fillId="5" borderId="35" xfId="0" applyNumberFormat="1" applyFont="1" applyFill="1" applyBorder="1" applyAlignment="1">
      <alignment horizontal="left" vertical="top"/>
    </xf>
    <xf numFmtId="3" fontId="3" fillId="5" borderId="6" xfId="0" applyNumberFormat="1" applyFont="1" applyFill="1" applyBorder="1" applyAlignment="1">
      <alignment horizontal="left" vertical="top"/>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3" fontId="1" fillId="6" borderId="4"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50" xfId="0" applyNumberFormat="1" applyFont="1" applyFill="1" applyBorder="1" applyAlignment="1">
      <alignment horizontal="center" vertical="top" wrapText="1"/>
    </xf>
    <xf numFmtId="3" fontId="1" fillId="6" borderId="61" xfId="0" applyNumberFormat="1" applyFont="1" applyFill="1" applyBorder="1" applyAlignment="1">
      <alignment horizontal="center" vertical="top" wrapText="1"/>
    </xf>
    <xf numFmtId="3" fontId="1" fillId="6" borderId="54" xfId="0" applyNumberFormat="1" applyFont="1" applyFill="1" applyBorder="1" applyAlignment="1">
      <alignment horizontal="center" vertical="top" wrapText="1"/>
    </xf>
    <xf numFmtId="3" fontId="1" fillId="6" borderId="53"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center" textRotation="90" wrapText="1"/>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 xfId="0" applyNumberFormat="1" applyFont="1" applyFill="1" applyBorder="1" applyAlignment="1">
      <alignment horizontal="left" vertical="top" wrapText="1"/>
    </xf>
    <xf numFmtId="0" fontId="32" fillId="0" borderId="22" xfId="0" applyFont="1" applyBorder="1" applyAlignment="1">
      <alignmen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23" xfId="0" applyNumberFormat="1" applyFont="1" applyFill="1" applyBorder="1" applyAlignment="1">
      <alignment horizontal="left" vertical="top" wrapText="1"/>
    </xf>
    <xf numFmtId="3" fontId="4" fillId="0" borderId="24"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center" vertical="center" textRotation="90" wrapText="1"/>
    </xf>
    <xf numFmtId="3" fontId="1" fillId="12" borderId="42" xfId="0" applyNumberFormat="1" applyFont="1" applyFill="1" applyBorder="1" applyAlignment="1">
      <alignment horizontal="left" vertical="top" wrapText="1"/>
    </xf>
    <xf numFmtId="3" fontId="1" fillId="12" borderId="75" xfId="0" applyNumberFormat="1" applyFont="1" applyFill="1" applyBorder="1" applyAlignment="1">
      <alignment horizontal="left" vertical="top" wrapText="1"/>
    </xf>
    <xf numFmtId="3" fontId="1" fillId="12" borderId="66" xfId="0" applyNumberFormat="1" applyFont="1" applyFill="1" applyBorder="1" applyAlignment="1">
      <alignment horizontal="left" vertical="top" wrapText="1"/>
    </xf>
    <xf numFmtId="3" fontId="4" fillId="6" borderId="41"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4" xfId="0" applyNumberFormat="1" applyFont="1" applyFill="1" applyBorder="1" applyAlignment="1">
      <alignment horizontal="left" vertical="top" wrapText="1"/>
    </xf>
    <xf numFmtId="0" fontId="32" fillId="0" borderId="50" xfId="0" applyFont="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6" borderId="42" xfId="0" applyNumberFormat="1" applyFont="1" applyFill="1" applyBorder="1" applyAlignment="1">
      <alignment horizontal="left" vertical="top" wrapText="1"/>
    </xf>
    <xf numFmtId="3" fontId="1" fillId="6" borderId="43" xfId="0" applyNumberFormat="1" applyFont="1" applyFill="1" applyBorder="1" applyAlignment="1">
      <alignment horizontal="left" vertical="center" textRotation="90" wrapText="1"/>
    </xf>
    <xf numFmtId="3" fontId="1" fillId="6" borderId="52" xfId="0" applyNumberFormat="1" applyFont="1" applyFill="1" applyBorder="1" applyAlignment="1">
      <alignment horizontal="left" vertical="center" textRotation="90" wrapText="1"/>
    </xf>
    <xf numFmtId="49" fontId="1" fillId="6" borderId="72" xfId="0" applyNumberFormat="1" applyFont="1" applyFill="1" applyBorder="1" applyAlignment="1">
      <alignment horizontal="left" vertical="top" wrapText="1"/>
    </xf>
    <xf numFmtId="49" fontId="1" fillId="6" borderId="32" xfId="0" applyNumberFormat="1" applyFont="1" applyFill="1" applyBorder="1" applyAlignment="1">
      <alignment horizontal="left" vertical="top" wrapText="1"/>
    </xf>
    <xf numFmtId="49" fontId="1" fillId="6" borderId="75" xfId="0" applyNumberFormat="1" applyFont="1" applyFill="1" applyBorder="1" applyAlignment="1">
      <alignment horizontal="left" vertical="top" wrapText="1"/>
    </xf>
    <xf numFmtId="49" fontId="1" fillId="6" borderId="66" xfId="0" applyNumberFormat="1" applyFont="1" applyFill="1" applyBorder="1" applyAlignment="1">
      <alignment horizontal="left" vertical="top" wrapText="1"/>
    </xf>
    <xf numFmtId="3" fontId="4" fillId="12" borderId="41" xfId="0" applyNumberFormat="1" applyFont="1" applyFill="1" applyBorder="1" applyAlignment="1">
      <alignment horizontal="left" vertical="top" wrapText="1"/>
    </xf>
    <xf numFmtId="3" fontId="4" fillId="12"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1" fillId="12" borderId="54" xfId="0" applyNumberFormat="1" applyFont="1" applyFill="1" applyBorder="1" applyAlignment="1">
      <alignment horizontal="left" vertical="top" wrapText="1"/>
    </xf>
    <xf numFmtId="3" fontId="1" fillId="12" borderId="49" xfId="0" applyNumberFormat="1" applyFont="1" applyFill="1" applyBorder="1" applyAlignment="1">
      <alignment horizontal="left" vertical="top" wrapText="1"/>
    </xf>
    <xf numFmtId="3" fontId="1" fillId="12" borderId="44" xfId="0" applyNumberFormat="1" applyFont="1" applyFill="1" applyBorder="1" applyAlignment="1">
      <alignment horizontal="left" vertical="top" wrapText="1"/>
    </xf>
    <xf numFmtId="0" fontId="32" fillId="12" borderId="50" xfId="0" applyFont="1" applyFill="1" applyBorder="1" applyAlignment="1">
      <alignment horizontal="left" vertical="top" wrapText="1"/>
    </xf>
    <xf numFmtId="3" fontId="4" fillId="12" borderId="42" xfId="0" applyNumberFormat="1" applyFont="1" applyFill="1" applyBorder="1" applyAlignment="1">
      <alignment horizontal="left" vertical="top" wrapText="1"/>
    </xf>
    <xf numFmtId="0" fontId="12" fillId="0" borderId="0" xfId="0" applyFont="1" applyAlignment="1">
      <alignment horizontal="center"/>
    </xf>
    <xf numFmtId="0" fontId="16" fillId="0" borderId="0" xfId="0" applyFont="1" applyAlignment="1">
      <alignment horizontal="center" vertical="center" wrapText="1"/>
    </xf>
    <xf numFmtId="3" fontId="1" fillId="0" borderId="1" xfId="0" applyNumberFormat="1" applyFont="1" applyBorder="1" applyAlignment="1">
      <alignment horizontal="right"/>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4" fillId="0" borderId="61" xfId="0" applyNumberFormat="1" applyFont="1" applyBorder="1" applyAlignment="1">
      <alignment horizontal="center" vertical="center" wrapText="1"/>
    </xf>
    <xf numFmtId="3" fontId="4" fillId="0" borderId="54" xfId="0" applyNumberFormat="1" applyFont="1" applyBorder="1" applyAlignment="1">
      <alignment horizontal="center" vertical="center" wrapText="1"/>
    </xf>
    <xf numFmtId="3" fontId="4" fillId="0" borderId="60"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72" xfId="0" applyNumberFormat="1" applyFont="1" applyBorder="1" applyAlignment="1">
      <alignment horizontal="center" vertical="top" textRotation="90" wrapText="1"/>
    </xf>
    <xf numFmtId="3" fontId="1" fillId="0" borderId="23" xfId="0" applyNumberFormat="1" applyFont="1" applyBorder="1" applyAlignment="1">
      <alignment horizontal="center" vertical="top" textRotation="90" wrapText="1"/>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21" fillId="0" borderId="43" xfId="0" applyNumberFormat="1" applyFont="1" applyFill="1" applyBorder="1" applyAlignment="1">
      <alignment horizontal="center" vertical="center" textRotation="90" wrapText="1"/>
    </xf>
    <xf numFmtId="3" fontId="21" fillId="0" borderId="52" xfId="0" applyNumberFormat="1" applyFont="1" applyFill="1" applyBorder="1" applyAlignment="1">
      <alignment horizontal="center" vertical="center" textRotation="90" wrapText="1"/>
    </xf>
    <xf numFmtId="3" fontId="3" fillId="11" borderId="27" xfId="0" applyNumberFormat="1" applyFont="1" applyFill="1" applyBorder="1" applyAlignment="1">
      <alignment horizontal="left" vertical="top" wrapText="1"/>
    </xf>
    <xf numFmtId="3" fontId="3" fillId="11" borderId="28" xfId="0" applyNumberFormat="1" applyFont="1" applyFill="1" applyBorder="1" applyAlignment="1">
      <alignment horizontal="left" vertical="top" wrapText="1"/>
    </xf>
    <xf numFmtId="3" fontId="3" fillId="11" borderId="29" xfId="0" applyNumberFormat="1" applyFont="1" applyFill="1" applyBorder="1" applyAlignment="1">
      <alignment horizontal="left" vertical="top" wrapText="1"/>
    </xf>
    <xf numFmtId="3" fontId="5" fillId="10" borderId="30" xfId="0" applyNumberFormat="1" applyFont="1" applyFill="1" applyBorder="1" applyAlignment="1">
      <alignment horizontal="left" vertical="top" wrapText="1"/>
    </xf>
    <xf numFmtId="3" fontId="5" fillId="10" borderId="31" xfId="0" applyNumberFormat="1" applyFont="1" applyFill="1" applyBorder="1" applyAlignment="1">
      <alignment horizontal="left" vertical="top" wrapText="1"/>
    </xf>
    <xf numFmtId="3" fontId="5" fillId="10" borderId="32" xfId="0" applyNumberFormat="1" applyFont="1" applyFill="1" applyBorder="1" applyAlignment="1">
      <alignment horizontal="left" vertical="top" wrapText="1"/>
    </xf>
    <xf numFmtId="3" fontId="3" fillId="12" borderId="5" xfId="0" applyNumberFormat="1" applyFont="1" applyFill="1" applyBorder="1" applyAlignment="1">
      <alignment horizontal="left" vertical="top" wrapText="1"/>
    </xf>
    <xf numFmtId="3" fontId="3" fillId="12" borderId="35" xfId="0" applyNumberFormat="1" applyFont="1" applyFill="1" applyBorder="1" applyAlignment="1">
      <alignment horizontal="left" vertical="top" wrapText="1"/>
    </xf>
    <xf numFmtId="3" fontId="3" fillId="12" borderId="6" xfId="0" applyNumberFormat="1" applyFont="1" applyFill="1" applyBorder="1" applyAlignment="1">
      <alignment horizontal="left" vertical="top" wrapText="1"/>
    </xf>
    <xf numFmtId="3" fontId="1" fillId="12" borderId="30" xfId="0" applyNumberFormat="1" applyFont="1" applyFill="1" applyBorder="1" applyAlignment="1">
      <alignment horizontal="left" vertical="top" wrapText="1"/>
    </xf>
    <xf numFmtId="3" fontId="1" fillId="12" borderId="19" xfId="0" applyNumberFormat="1" applyFont="1" applyFill="1" applyBorder="1" applyAlignment="1">
      <alignment horizontal="left" vertical="top" wrapText="1"/>
    </xf>
    <xf numFmtId="3" fontId="1" fillId="12" borderId="39" xfId="0" applyNumberFormat="1" applyFont="1" applyFill="1" applyBorder="1" applyAlignment="1">
      <alignment horizontal="left" vertical="top" wrapText="1"/>
    </xf>
    <xf numFmtId="3" fontId="1" fillId="12" borderId="52" xfId="0" applyNumberFormat="1" applyFont="1" applyFill="1" applyBorder="1" applyAlignment="1">
      <alignment horizontal="left" vertical="top" wrapText="1"/>
    </xf>
    <xf numFmtId="3" fontId="4" fillId="6" borderId="72" xfId="0" applyNumberFormat="1" applyFont="1" applyFill="1" applyBorder="1" applyAlignment="1">
      <alignment horizontal="left" vertical="top" wrapText="1"/>
    </xf>
    <xf numFmtId="3" fontId="4" fillId="6" borderId="32" xfId="0" applyNumberFormat="1" applyFont="1" applyFill="1" applyBorder="1" applyAlignment="1">
      <alignment horizontal="left" vertical="top" wrapText="1"/>
    </xf>
    <xf numFmtId="3" fontId="4" fillId="6" borderId="75" xfId="0" applyNumberFormat="1" applyFont="1" applyFill="1" applyBorder="1" applyAlignment="1">
      <alignment horizontal="left" vertical="top" wrapText="1"/>
    </xf>
    <xf numFmtId="3" fontId="4" fillId="6" borderId="66" xfId="0" applyNumberFormat="1" applyFont="1" applyFill="1" applyBorder="1" applyAlignment="1">
      <alignment horizontal="left" vertical="top" wrapText="1"/>
    </xf>
    <xf numFmtId="3" fontId="1" fillId="12" borderId="55" xfId="0" applyNumberFormat="1" applyFont="1" applyFill="1" applyBorder="1" applyAlignment="1">
      <alignment horizontal="left" vertical="top" wrapText="1"/>
    </xf>
    <xf numFmtId="3" fontId="1" fillId="12" borderId="57" xfId="0" applyNumberFormat="1" applyFont="1" applyFill="1" applyBorder="1" applyAlignment="1">
      <alignment horizontal="left" vertical="top" wrapText="1"/>
    </xf>
    <xf numFmtId="3" fontId="3" fillId="12" borderId="9" xfId="0" applyNumberFormat="1" applyFont="1" applyFill="1" applyBorder="1" applyAlignment="1">
      <alignment horizontal="left" vertical="top"/>
    </xf>
    <xf numFmtId="3" fontId="3" fillId="12" borderId="10" xfId="0" applyNumberFormat="1" applyFont="1" applyFill="1" applyBorder="1" applyAlignment="1">
      <alignment horizontal="left" vertical="top"/>
    </xf>
    <xf numFmtId="3" fontId="3" fillId="13" borderId="9" xfId="0" applyNumberFormat="1" applyFont="1" applyFill="1" applyBorder="1" applyAlignment="1">
      <alignment horizontal="left" vertical="top" wrapText="1"/>
    </xf>
    <xf numFmtId="3" fontId="3" fillId="13" borderId="35" xfId="0" applyNumberFormat="1" applyFont="1" applyFill="1" applyBorder="1" applyAlignment="1">
      <alignment horizontal="left" vertical="top" wrapText="1"/>
    </xf>
    <xf numFmtId="3" fontId="3" fillId="13" borderId="6"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6" borderId="13" xfId="0" applyNumberFormat="1" applyFont="1" applyFill="1" applyBorder="1" applyAlignment="1">
      <alignment horizontal="left" vertical="top" wrapText="1"/>
    </xf>
    <xf numFmtId="0" fontId="32" fillId="0" borderId="13" xfId="0" applyFont="1" applyBorder="1" applyAlignment="1">
      <alignment horizontal="left" vertical="top"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4" fillId="0" borderId="61" xfId="0" applyNumberFormat="1" applyFont="1" applyFill="1" applyBorder="1" applyAlignment="1">
      <alignment horizontal="left" vertical="top" wrapText="1"/>
    </xf>
    <xf numFmtId="0" fontId="32" fillId="0" borderId="60" xfId="0" applyFont="1" applyBorder="1" applyAlignment="1">
      <alignment vertical="top" wrapText="1"/>
    </xf>
    <xf numFmtId="3" fontId="3" fillId="6" borderId="16" xfId="0" applyNumberFormat="1" applyFont="1" applyFill="1" applyBorder="1" applyAlignment="1">
      <alignment horizontal="left" vertical="top" wrapText="1"/>
    </xf>
    <xf numFmtId="3" fontId="3" fillId="6" borderId="42" xfId="0" applyNumberFormat="1" applyFont="1" applyFill="1" applyBorder="1" applyAlignment="1">
      <alignment horizontal="left" vertical="top" wrapText="1"/>
    </xf>
    <xf numFmtId="3" fontId="3" fillId="6" borderId="41" xfId="0" applyNumberFormat="1" applyFont="1" applyFill="1" applyBorder="1" applyAlignment="1">
      <alignment horizontal="left" vertical="top" wrapText="1"/>
    </xf>
    <xf numFmtId="3" fontId="3" fillId="6" borderId="49" xfId="0" applyNumberFormat="1" applyFont="1" applyFill="1" applyBorder="1" applyAlignment="1">
      <alignment horizontal="left" vertical="top" wrapText="1"/>
    </xf>
    <xf numFmtId="0" fontId="32" fillId="0" borderId="22" xfId="0" applyFont="1" applyBorder="1" applyAlignment="1">
      <alignment horizontal="left" vertical="top" wrapText="1"/>
    </xf>
    <xf numFmtId="3" fontId="4" fillId="12" borderId="5" xfId="0" applyNumberFormat="1" applyFont="1" applyFill="1" applyBorder="1" applyAlignment="1">
      <alignment horizontal="left" vertical="top" wrapText="1"/>
    </xf>
    <xf numFmtId="3" fontId="4" fillId="12" borderId="6" xfId="0" applyNumberFormat="1" applyFont="1" applyFill="1" applyBorder="1" applyAlignment="1">
      <alignment horizontal="left" vertical="top" wrapText="1"/>
    </xf>
    <xf numFmtId="3" fontId="4" fillId="12" borderId="14" xfId="0" applyNumberFormat="1" applyFont="1" applyFill="1" applyBorder="1" applyAlignment="1">
      <alignment horizontal="left" vertical="top" wrapText="1"/>
    </xf>
    <xf numFmtId="3" fontId="4" fillId="12" borderId="15" xfId="0" applyNumberFormat="1" applyFont="1" applyFill="1" applyBorder="1" applyAlignment="1">
      <alignment horizontal="left" vertical="top" wrapText="1"/>
    </xf>
    <xf numFmtId="3" fontId="4" fillId="12" borderId="23" xfId="0" applyNumberFormat="1" applyFont="1" applyFill="1" applyBorder="1" applyAlignment="1">
      <alignment horizontal="left" vertical="top" wrapText="1"/>
    </xf>
    <xf numFmtId="3" fontId="4" fillId="12" borderId="24" xfId="0" applyNumberFormat="1" applyFont="1" applyFill="1" applyBorder="1" applyAlignment="1">
      <alignment horizontal="left" vertical="top" wrapText="1"/>
    </xf>
    <xf numFmtId="3" fontId="6" fillId="7" borderId="37" xfId="0" applyNumberFormat="1" applyFont="1" applyFill="1" applyBorder="1" applyAlignment="1">
      <alignment horizontal="left" vertical="top" wrapText="1"/>
    </xf>
    <xf numFmtId="3" fontId="6" fillId="7" borderId="41" xfId="0" applyNumberFormat="1" applyFont="1" applyFill="1" applyBorder="1" applyAlignment="1">
      <alignment horizontal="left" vertical="top" wrapText="1"/>
    </xf>
    <xf numFmtId="0" fontId="4" fillId="12" borderId="72" xfId="0" applyFont="1" applyFill="1" applyBorder="1" applyAlignment="1">
      <alignment horizontal="left" vertical="top" wrapText="1"/>
    </xf>
    <xf numFmtId="0" fontId="4" fillId="12" borderId="32" xfId="0" applyFont="1" applyFill="1" applyBorder="1" applyAlignment="1">
      <alignment horizontal="left" vertical="top" wrapText="1"/>
    </xf>
    <xf numFmtId="0" fontId="4" fillId="12" borderId="14" xfId="0" applyFont="1" applyFill="1" applyBorder="1" applyAlignment="1">
      <alignment horizontal="left" vertical="top" wrapText="1"/>
    </xf>
    <xf numFmtId="0" fontId="4" fillId="12" borderId="15" xfId="0" applyFont="1" applyFill="1" applyBorder="1" applyAlignment="1">
      <alignment horizontal="left" vertical="top" wrapText="1"/>
    </xf>
    <xf numFmtId="0" fontId="4" fillId="6" borderId="72" xfId="0" applyFont="1" applyFill="1" applyBorder="1" applyAlignment="1">
      <alignment horizontal="left" vertical="top" wrapText="1"/>
    </xf>
    <xf numFmtId="0" fontId="4" fillId="6" borderId="32" xfId="0" applyFont="1" applyFill="1" applyBorder="1" applyAlignment="1">
      <alignment horizontal="left" vertical="top" wrapText="1"/>
    </xf>
    <xf numFmtId="0" fontId="4" fillId="6" borderId="14" xfId="0" applyFont="1" applyFill="1" applyBorder="1" applyAlignment="1">
      <alignment horizontal="left" vertical="top" wrapText="1"/>
    </xf>
    <xf numFmtId="0" fontId="4" fillId="6" borderId="15" xfId="0" applyFont="1" applyFill="1" applyBorder="1" applyAlignment="1">
      <alignment horizontal="left" vertical="top" wrapText="1"/>
    </xf>
    <xf numFmtId="0" fontId="4" fillId="6" borderId="75" xfId="0" applyFont="1" applyFill="1" applyBorder="1" applyAlignment="1">
      <alignment horizontal="left" vertical="top" wrapText="1"/>
    </xf>
    <xf numFmtId="0" fontId="4" fillId="6" borderId="66" xfId="0" applyFont="1" applyFill="1" applyBorder="1" applyAlignment="1">
      <alignment horizontal="left" vertical="top" wrapText="1"/>
    </xf>
    <xf numFmtId="3" fontId="1" fillId="6" borderId="14" xfId="0" applyNumberFormat="1" applyFont="1" applyFill="1" applyBorder="1" applyAlignment="1">
      <alignment horizontal="left" vertical="top" wrapText="1"/>
    </xf>
    <xf numFmtId="3" fontId="1" fillId="6" borderId="15" xfId="0" applyNumberFormat="1" applyFont="1" applyFill="1" applyBorder="1" applyAlignment="1">
      <alignment horizontal="left" vertical="top" wrapText="1"/>
    </xf>
    <xf numFmtId="3" fontId="4" fillId="6" borderId="16" xfId="0" applyNumberFormat="1" applyFont="1" applyFill="1" applyBorder="1" applyAlignment="1">
      <alignment vertical="top" wrapText="1"/>
    </xf>
    <xf numFmtId="2" fontId="1" fillId="6" borderId="17" xfId="0" applyNumberFormat="1" applyFont="1" applyFill="1" applyBorder="1" applyAlignment="1">
      <alignment horizontal="left" vertical="top" wrapText="1"/>
    </xf>
    <xf numFmtId="2" fontId="1" fillId="6" borderId="19" xfId="0" applyNumberFormat="1" applyFont="1" applyFill="1" applyBorder="1" applyAlignment="1">
      <alignment horizontal="left" vertical="top" wrapText="1"/>
    </xf>
    <xf numFmtId="49" fontId="1" fillId="11" borderId="17" xfId="0" applyNumberFormat="1" applyFont="1" applyFill="1" applyBorder="1" applyAlignment="1">
      <alignment horizontal="left" vertical="top" wrapText="1"/>
    </xf>
    <xf numFmtId="49" fontId="1" fillId="11" borderId="19" xfId="0" applyNumberFormat="1" applyFont="1" applyFill="1" applyBorder="1" applyAlignment="1">
      <alignment horizontal="left" vertical="top" wrapText="1"/>
    </xf>
    <xf numFmtId="0" fontId="1" fillId="6" borderId="41" xfId="0" applyFont="1" applyFill="1" applyBorder="1" applyAlignment="1">
      <alignment horizontal="left" vertical="top" wrapText="1"/>
    </xf>
    <xf numFmtId="3" fontId="4" fillId="12" borderId="75" xfId="0" applyNumberFormat="1" applyFont="1" applyFill="1" applyBorder="1" applyAlignment="1">
      <alignment horizontal="left" vertical="top" wrapText="1"/>
    </xf>
    <xf numFmtId="3" fontId="4" fillId="12" borderId="66" xfId="0" applyNumberFormat="1" applyFont="1" applyFill="1" applyBorder="1" applyAlignment="1">
      <alignment horizontal="left" vertical="top" wrapText="1"/>
    </xf>
    <xf numFmtId="3" fontId="6" fillId="8" borderId="57" xfId="0" applyNumberFormat="1" applyFont="1" applyFill="1" applyBorder="1" applyAlignment="1">
      <alignment horizontal="right" vertical="top" wrapText="1"/>
    </xf>
    <xf numFmtId="49" fontId="4" fillId="0" borderId="17" xfId="0" applyNumberFormat="1" applyFont="1" applyFill="1" applyBorder="1" applyAlignment="1">
      <alignment horizontal="left" vertical="top" wrapText="1"/>
    </xf>
    <xf numFmtId="49" fontId="4" fillId="0" borderId="19" xfId="0" applyNumberFormat="1" applyFont="1" applyFill="1" applyBorder="1" applyAlignment="1">
      <alignment horizontal="left" vertical="top" wrapText="1"/>
    </xf>
    <xf numFmtId="3" fontId="4" fillId="14" borderId="40" xfId="0" applyNumberFormat="1" applyFont="1" applyFill="1" applyBorder="1" applyAlignment="1">
      <alignment horizontal="left" vertical="top" wrapText="1"/>
    </xf>
    <xf numFmtId="3" fontId="4" fillId="14" borderId="48" xfId="0" applyNumberFormat="1" applyFont="1" applyFill="1" applyBorder="1" applyAlignment="1">
      <alignment horizontal="left" vertical="top" wrapText="1"/>
    </xf>
    <xf numFmtId="3" fontId="4" fillId="0" borderId="45" xfId="0" applyNumberFormat="1" applyFont="1" applyFill="1" applyBorder="1" applyAlignment="1">
      <alignment horizontal="left" vertical="top" wrapText="1"/>
    </xf>
    <xf numFmtId="3" fontId="4" fillId="0" borderId="53" xfId="0" applyNumberFormat="1" applyFont="1" applyFill="1" applyBorder="1" applyAlignment="1">
      <alignment horizontal="left" vertical="top" wrapText="1"/>
    </xf>
    <xf numFmtId="0" fontId="17" fillId="6" borderId="30" xfId="0" applyFont="1" applyFill="1" applyBorder="1" applyAlignment="1">
      <alignment horizontal="left" vertical="top" wrapText="1"/>
    </xf>
    <xf numFmtId="3" fontId="4" fillId="6" borderId="52" xfId="0" applyNumberFormat="1" applyFont="1" applyFill="1" applyBorder="1" applyAlignment="1">
      <alignment horizontal="center" vertical="top"/>
    </xf>
    <xf numFmtId="0" fontId="32" fillId="6" borderId="11" xfId="0" applyFont="1" applyFill="1" applyBorder="1" applyAlignment="1">
      <alignment horizontal="center" vertical="top"/>
    </xf>
    <xf numFmtId="3" fontId="4" fillId="6" borderId="50" xfId="0" applyNumberFormat="1" applyFont="1" applyFill="1" applyBorder="1" applyAlignment="1">
      <alignment horizontal="center" vertical="top"/>
    </xf>
    <xf numFmtId="0" fontId="32" fillId="6" borderId="12" xfId="0" applyFont="1" applyFill="1" applyBorder="1" applyAlignment="1">
      <alignment horizontal="center" vertical="top"/>
    </xf>
    <xf numFmtId="3" fontId="4" fillId="6" borderId="54" xfId="0" applyNumberFormat="1" applyFont="1" applyFill="1" applyBorder="1" applyAlignment="1">
      <alignment horizontal="left" vertical="top" wrapText="1"/>
    </xf>
    <xf numFmtId="3" fontId="4" fillId="6" borderId="53"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4" fillId="6" borderId="44" xfId="0" applyNumberFormat="1" applyFont="1" applyFill="1" applyBorder="1" applyAlignment="1">
      <alignment horizontal="left" vertical="top" wrapText="1"/>
    </xf>
    <xf numFmtId="3" fontId="4" fillId="6" borderId="50" xfId="0" applyNumberFormat="1" applyFont="1" applyFill="1" applyBorder="1" applyAlignment="1">
      <alignment horizontal="left" vertical="top" wrapText="1"/>
    </xf>
    <xf numFmtId="164" fontId="4" fillId="6" borderId="45" xfId="0" applyNumberFormat="1" applyFont="1" applyFill="1" applyBorder="1" applyAlignment="1">
      <alignment horizontal="left" vertical="top" wrapText="1"/>
    </xf>
    <xf numFmtId="0" fontId="32" fillId="0" borderId="53" xfId="0" applyFont="1" applyBorder="1" applyAlignment="1">
      <alignment horizontal="left"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4" fillId="7" borderId="42"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0" borderId="7"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2" fillId="0" borderId="0" xfId="0" applyNumberFormat="1" applyFont="1" applyAlignment="1">
      <alignment horizontal="center"/>
    </xf>
    <xf numFmtId="3" fontId="16" fillId="0" borderId="0" xfId="0" applyNumberFormat="1" applyFont="1" applyAlignment="1">
      <alignment horizontal="center" vertical="center" wrapText="1"/>
    </xf>
    <xf numFmtId="3" fontId="12" fillId="0" borderId="0" xfId="0" applyNumberFormat="1" applyFont="1" applyAlignment="1">
      <alignment horizontal="center" vertical="top" wrapText="1"/>
    </xf>
    <xf numFmtId="3" fontId="1" fillId="0" borderId="1" xfId="0" applyNumberFormat="1" applyFont="1" applyBorder="1" applyAlignment="1">
      <alignment horizontal="right" vertical="top"/>
    </xf>
    <xf numFmtId="49" fontId="4" fillId="0" borderId="3" xfId="0" applyNumberFormat="1" applyFont="1" applyBorder="1" applyAlignment="1">
      <alignment horizontal="center" vertical="center" textRotation="90" wrapText="1"/>
    </xf>
    <xf numFmtId="49" fontId="4" fillId="0" borderId="12" xfId="0" applyNumberFormat="1" applyFont="1" applyBorder="1" applyAlignment="1">
      <alignment horizontal="center" vertical="center" textRotation="90" wrapText="1"/>
    </xf>
    <xf numFmtId="49" fontId="4" fillId="0" borderId="21"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1" fillId="0" borderId="42" xfId="0" applyNumberFormat="1" applyFont="1" applyFill="1" applyBorder="1" applyAlignment="1">
      <alignment horizontal="center" vertical="center" textRotation="90" wrapText="1"/>
    </xf>
    <xf numFmtId="3" fontId="1" fillId="0" borderId="45" xfId="0" applyNumberFormat="1" applyFont="1" applyFill="1" applyBorder="1" applyAlignment="1">
      <alignment horizontal="center" vertical="center" textRotation="90" wrapText="1"/>
    </xf>
    <xf numFmtId="3" fontId="1" fillId="0" borderId="60"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xf>
    <xf numFmtId="3" fontId="4" fillId="0" borderId="71" xfId="0" applyNumberFormat="1" applyFont="1" applyFill="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3" fontId="3" fillId="0" borderId="28"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4" fillId="0" borderId="45"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4" borderId="52" xfId="0" applyNumberFormat="1" applyFont="1" applyFill="1" applyBorder="1" applyAlignment="1">
      <alignment horizontal="center" vertical="top"/>
    </xf>
    <xf numFmtId="3" fontId="10" fillId="0" borderId="41" xfId="0" applyNumberFormat="1" applyFont="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3" fillId="10" borderId="56" xfId="0" applyNumberFormat="1" applyFont="1" applyFill="1" applyBorder="1" applyAlignment="1">
      <alignment horizontal="right" vertical="top"/>
    </xf>
    <xf numFmtId="3" fontId="3" fillId="10" borderId="57" xfId="0" applyNumberFormat="1" applyFont="1" applyFill="1" applyBorder="1" applyAlignment="1">
      <alignment horizontal="right" vertical="top"/>
    </xf>
    <xf numFmtId="0" fontId="4" fillId="0" borderId="42" xfId="0" applyFont="1" applyFill="1" applyBorder="1" applyAlignment="1">
      <alignment horizontal="left" vertical="top" wrapText="1"/>
    </xf>
    <xf numFmtId="0" fontId="4" fillId="0" borderId="42" xfId="0" applyFont="1" applyFill="1" applyBorder="1" applyAlignment="1">
      <alignment horizontal="center" vertical="top" wrapText="1"/>
    </xf>
    <xf numFmtId="0" fontId="4" fillId="0" borderId="6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3" fontId="2" fillId="0" borderId="24" xfId="0" applyNumberFormat="1" applyFont="1" applyFill="1" applyBorder="1" applyAlignment="1">
      <alignment horizontal="center" vertical="top"/>
    </xf>
    <xf numFmtId="3" fontId="1" fillId="0" borderId="37" xfId="0" applyNumberFormat="1" applyFont="1" applyFill="1" applyBorder="1" applyAlignment="1">
      <alignment horizontal="center" vertical="top" textRotation="1"/>
    </xf>
    <xf numFmtId="3" fontId="1" fillId="0" borderId="62" xfId="0" applyNumberFormat="1" applyFont="1" applyFill="1" applyBorder="1" applyAlignment="1">
      <alignment horizontal="center" vertical="top" textRotation="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4" fillId="0" borderId="7" xfId="0" applyNumberFormat="1" applyFont="1" applyFill="1" applyBorder="1" applyAlignment="1">
      <alignment horizontal="left" vertical="top" wrapText="1"/>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49" fontId="1" fillId="9" borderId="14" xfId="0" applyNumberFormat="1" applyFont="1" applyFill="1" applyBorder="1" applyAlignment="1">
      <alignment horizontal="center" vertical="top"/>
    </xf>
    <xf numFmtId="49" fontId="1" fillId="9" borderId="75" xfId="0" applyNumberFormat="1" applyFont="1" applyFill="1" applyBorder="1" applyAlignment="1">
      <alignment horizontal="center" vertical="top"/>
    </xf>
    <xf numFmtId="2" fontId="4" fillId="0" borderId="40" xfId="0" applyNumberFormat="1" applyFont="1" applyFill="1" applyBorder="1" applyAlignment="1">
      <alignment horizontal="left" vertical="top" wrapText="1"/>
    </xf>
    <xf numFmtId="2" fontId="4" fillId="0" borderId="48" xfId="0" applyNumberFormat="1" applyFont="1" applyFill="1" applyBorder="1" applyAlignment="1">
      <alignment horizontal="left" vertical="top" wrapText="1"/>
    </xf>
    <xf numFmtId="0" fontId="11" fillId="0" borderId="40" xfId="0" applyFont="1" applyFill="1" applyBorder="1" applyAlignment="1">
      <alignment horizontal="left" vertical="top" wrapText="1"/>
    </xf>
    <xf numFmtId="0" fontId="11" fillId="0" borderId="25"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0" borderId="37" xfId="0" applyNumberFormat="1" applyFont="1" applyFill="1" applyBorder="1" applyAlignment="1">
      <alignment horizontal="center" vertical="center" textRotation="90" wrapText="1"/>
    </xf>
    <xf numFmtId="3" fontId="6" fillId="0" borderId="62" xfId="0" applyNumberFormat="1"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3" fillId="9" borderId="56" xfId="0" applyNumberFormat="1" applyFont="1" applyFill="1" applyBorder="1" applyAlignment="1">
      <alignment horizontal="right" vertical="top"/>
    </xf>
    <xf numFmtId="3" fontId="3" fillId="9" borderId="57" xfId="0" applyNumberFormat="1" applyFont="1" applyFill="1" applyBorder="1" applyAlignment="1">
      <alignment horizontal="right" vertical="top"/>
    </xf>
    <xf numFmtId="3" fontId="4" fillId="10" borderId="55" xfId="0" applyNumberFormat="1" applyFont="1" applyFill="1" applyBorder="1" applyAlignment="1">
      <alignment horizontal="center" vertical="top" wrapText="1"/>
    </xf>
    <xf numFmtId="3" fontId="4" fillId="10" borderId="56" xfId="0" applyNumberFormat="1" applyFont="1" applyFill="1" applyBorder="1" applyAlignment="1">
      <alignment horizontal="center" vertical="top" wrapText="1"/>
    </xf>
    <xf numFmtId="3" fontId="4" fillId="10" borderId="57"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6" fillId="0" borderId="1"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3" fontId="4" fillId="0" borderId="41" xfId="0" applyNumberFormat="1" applyFont="1" applyFill="1" applyBorder="1" applyAlignment="1">
      <alignment horizontal="center" vertical="top" textRotation="90" wrapText="1"/>
    </xf>
    <xf numFmtId="3" fontId="4" fillId="0" borderId="62" xfId="0" applyNumberFormat="1" applyFont="1" applyFill="1" applyBorder="1" applyAlignment="1">
      <alignment horizontal="center" vertical="top" textRotation="90"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3" fillId="0" borderId="24" xfId="0" applyNumberFormat="1" applyFont="1" applyBorder="1" applyAlignment="1">
      <alignment horizontal="center" vertical="top"/>
    </xf>
    <xf numFmtId="3" fontId="4" fillId="0" borderId="25" xfId="0" applyNumberFormat="1" applyFont="1" applyBorder="1" applyAlignment="1">
      <alignment horizontal="center" vertical="top" wrapText="1"/>
    </xf>
    <xf numFmtId="0" fontId="4" fillId="0" borderId="25" xfId="0" applyFont="1" applyFill="1" applyBorder="1" applyAlignment="1">
      <alignment horizontal="left" vertical="top" wrapText="1"/>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textRotation="90" wrapText="1"/>
    </xf>
    <xf numFmtId="3" fontId="3" fillId="0" borderId="6"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3" fontId="10" fillId="6" borderId="49" xfId="0" applyNumberFormat="1" applyFont="1" applyFill="1" applyBorder="1" applyAlignment="1">
      <alignment horizontal="left" vertical="top" wrapText="1"/>
    </xf>
    <xf numFmtId="3" fontId="6" fillId="6" borderId="45"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6" borderId="42" xfId="0" applyNumberFormat="1" applyFont="1" applyFill="1" applyBorder="1" applyAlignment="1">
      <alignment horizontal="left" vertical="top" wrapText="1"/>
    </xf>
    <xf numFmtId="3" fontId="1" fillId="6" borderId="40"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1" fillId="7" borderId="42"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1" fillId="9" borderId="23"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4" fillId="9" borderId="55"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57" xfId="0" applyNumberFormat="1" applyFont="1" applyFill="1" applyBorder="1" applyAlignment="1">
      <alignment horizontal="center" vertical="top" wrapText="1"/>
    </xf>
    <xf numFmtId="3" fontId="3" fillId="5" borderId="8" xfId="0" applyNumberFormat="1" applyFont="1" applyFill="1" applyBorder="1" applyAlignment="1">
      <alignment horizontal="right" vertical="top"/>
    </xf>
    <xf numFmtId="3" fontId="3" fillId="9" borderId="23" xfId="0" applyNumberFormat="1" applyFont="1" applyFill="1" applyBorder="1" applyAlignment="1">
      <alignment horizontal="center" vertical="top"/>
    </xf>
    <xf numFmtId="3" fontId="3" fillId="9" borderId="56" xfId="0" applyNumberFormat="1" applyFont="1" applyFill="1" applyBorder="1" applyAlignment="1">
      <alignment horizontal="center" vertical="top"/>
    </xf>
    <xf numFmtId="3" fontId="3" fillId="9" borderId="57" xfId="0" applyNumberFormat="1" applyFont="1" applyFill="1" applyBorder="1" applyAlignment="1">
      <alignment horizontal="center" vertical="top"/>
    </xf>
    <xf numFmtId="3" fontId="4" fillId="9" borderId="55"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1" fillId="7" borderId="15"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3" fillId="5" borderId="8" xfId="0" applyNumberFormat="1" applyFont="1" applyFill="1" applyBorder="1" applyAlignment="1">
      <alignment horizontal="left" vertical="top"/>
    </xf>
    <xf numFmtId="3" fontId="3" fillId="0" borderId="41" xfId="0" applyNumberFormat="1" applyFont="1" applyBorder="1" applyAlignment="1">
      <alignment horizontal="center" vertical="center" textRotation="90"/>
    </xf>
    <xf numFmtId="3" fontId="4" fillId="0" borderId="16" xfId="0" applyNumberFormat="1" applyFont="1" applyBorder="1" applyAlignment="1">
      <alignment horizontal="center" vertical="center" wrapText="1"/>
    </xf>
    <xf numFmtId="3" fontId="3" fillId="0" borderId="39" xfId="0" applyNumberFormat="1" applyFont="1" applyBorder="1" applyAlignment="1">
      <alignment horizontal="center" vertical="center" textRotation="90"/>
    </xf>
    <xf numFmtId="3" fontId="3" fillId="0" borderId="52" xfId="0" applyNumberFormat="1" applyFont="1" applyBorder="1" applyAlignment="1">
      <alignment horizontal="center" vertical="center" textRotation="90"/>
    </xf>
    <xf numFmtId="3" fontId="1" fillId="0" borderId="45"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49" fontId="3" fillId="7" borderId="5" xfId="0" applyNumberFormat="1" applyFont="1" applyFill="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4" fillId="0" borderId="37" xfId="0" applyFont="1" applyFill="1" applyBorder="1" applyAlignment="1">
      <alignment horizontal="left" vertical="top" wrapText="1"/>
    </xf>
    <xf numFmtId="0" fontId="4" fillId="0" borderId="7" xfId="0" applyFont="1" applyFill="1" applyBorder="1" applyAlignment="1">
      <alignment horizontal="left" vertical="top" wrapText="1"/>
    </xf>
    <xf numFmtId="3" fontId="1" fillId="0" borderId="37"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1" fillId="0" borderId="35" xfId="0" applyNumberFormat="1" applyFont="1" applyBorder="1" applyAlignment="1">
      <alignment horizontal="left" vertical="top" wrapText="1"/>
    </xf>
    <xf numFmtId="0" fontId="12" fillId="0" borderId="0" xfId="0" applyFont="1" applyAlignment="1">
      <alignment horizontal="right"/>
    </xf>
    <xf numFmtId="3" fontId="3" fillId="8" borderId="8" xfId="0" applyNumberFormat="1" applyFont="1" applyFill="1" applyBorder="1" applyAlignment="1">
      <alignment horizontal="right" vertical="top" wrapText="1"/>
    </xf>
    <xf numFmtId="3" fontId="3" fillId="8" borderId="9" xfId="0" applyNumberFormat="1" applyFont="1" applyFill="1" applyBorder="1" applyAlignment="1">
      <alignment horizontal="right" vertical="top" wrapText="1"/>
    </xf>
    <xf numFmtId="3" fontId="3" fillId="8" borderId="10" xfId="0" applyNumberFormat="1" applyFont="1" applyFill="1" applyBorder="1" applyAlignment="1">
      <alignment horizontal="right" vertical="top" wrapText="1"/>
    </xf>
    <xf numFmtId="3" fontId="4" fillId="0" borderId="41"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0" borderId="55"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4" fillId="0" borderId="5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22" fillId="0" borderId="39" xfId="0" applyNumberFormat="1" applyFont="1" applyFill="1" applyBorder="1" applyAlignment="1">
      <alignment vertical="center" textRotation="90" wrapText="1"/>
    </xf>
    <xf numFmtId="3" fontId="22" fillId="0" borderId="52" xfId="0" applyNumberFormat="1" applyFont="1" applyFill="1" applyBorder="1" applyAlignment="1">
      <alignment vertical="center" textRotation="90" wrapText="1"/>
    </xf>
    <xf numFmtId="3" fontId="1" fillId="0" borderId="43" xfId="0" applyNumberFormat="1" applyFont="1" applyFill="1" applyBorder="1" applyAlignment="1">
      <alignment horizontal="center" vertical="center" textRotation="90" wrapText="1"/>
    </xf>
    <xf numFmtId="49" fontId="25" fillId="0" borderId="61" xfId="0" applyNumberFormat="1" applyFont="1" applyBorder="1" applyAlignment="1">
      <alignment horizontal="center" vertical="top" wrapText="1"/>
    </xf>
    <xf numFmtId="49" fontId="25" fillId="0" borderId="54" xfId="0" applyNumberFormat="1" applyFont="1" applyBorder="1" applyAlignment="1">
      <alignment horizontal="center"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textRotation="1"/>
    </xf>
    <xf numFmtId="3" fontId="1" fillId="0" borderId="1" xfId="0" applyNumberFormat="1" applyFont="1" applyFill="1" applyBorder="1" applyAlignment="1">
      <alignment horizontal="center" vertical="top" textRotation="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5" xfId="0" applyNumberFormat="1" applyFont="1" applyBorder="1" applyAlignment="1">
      <alignment horizontal="center" vertical="center" wrapText="1"/>
    </xf>
    <xf numFmtId="164" fontId="1" fillId="0" borderId="36" xfId="0" applyNumberFormat="1" applyFont="1" applyBorder="1" applyAlignment="1">
      <alignment horizontal="center" vertical="center" textRotation="90" wrapText="1"/>
    </xf>
    <xf numFmtId="164" fontId="1" fillId="0" borderId="39"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0" fontId="12" fillId="0" borderId="0" xfId="0" applyFont="1" applyAlignment="1">
      <alignment horizontal="right" vertical="top"/>
    </xf>
    <xf numFmtId="0" fontId="4" fillId="6" borderId="16" xfId="0" applyFont="1" applyFill="1" applyBorder="1" applyAlignment="1">
      <alignment horizontal="left" vertical="top" wrapText="1"/>
    </xf>
    <xf numFmtId="0" fontId="4" fillId="0" borderId="32" xfId="0" applyFont="1" applyFill="1" applyBorder="1" applyAlignment="1">
      <alignment horizontal="left" vertical="top" wrapText="1"/>
    </xf>
    <xf numFmtId="0" fontId="4" fillId="0" borderId="24" xfId="0" applyFont="1" applyFill="1" applyBorder="1" applyAlignment="1">
      <alignment horizontal="left" vertical="top" wrapText="1"/>
    </xf>
    <xf numFmtId="3" fontId="4" fillId="5" borderId="62"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49" fontId="4" fillId="0" borderId="16"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4" fillId="0" borderId="41" xfId="0" applyNumberFormat="1" applyFont="1" applyBorder="1" applyAlignment="1">
      <alignment horizontal="center" vertical="center" textRotation="90"/>
    </xf>
    <xf numFmtId="3" fontId="3" fillId="7" borderId="7" xfId="0" applyNumberFormat="1" applyFont="1" applyFill="1" applyBorder="1" applyAlignment="1">
      <alignment horizontal="left" vertical="top" wrapText="1"/>
    </xf>
    <xf numFmtId="3" fontId="3" fillId="7" borderId="48" xfId="0" applyNumberFormat="1" applyFont="1" applyFill="1" applyBorder="1" applyAlignment="1">
      <alignment horizontal="left" vertical="top" wrapText="1"/>
    </xf>
    <xf numFmtId="3" fontId="6" fillId="5" borderId="65" xfId="0" applyNumberFormat="1" applyFont="1" applyFill="1" applyBorder="1" applyAlignment="1">
      <alignment horizontal="left" vertical="top"/>
    </xf>
    <xf numFmtId="3" fontId="19" fillId="6"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18" fillId="6" borderId="16" xfId="0" applyNumberFormat="1" applyFont="1" applyFill="1" applyBorder="1" applyAlignment="1">
      <alignment horizontal="left" vertical="top" wrapText="1"/>
    </xf>
    <xf numFmtId="3" fontId="18" fillId="6" borderId="48"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0" fontId="17" fillId="0" borderId="48" xfId="0" applyFont="1" applyBorder="1" applyAlignment="1">
      <alignment vertical="top" wrapText="1"/>
    </xf>
    <xf numFmtId="3" fontId="19" fillId="6" borderId="7" xfId="0" applyNumberFormat="1" applyFont="1" applyFill="1" applyBorder="1" applyAlignment="1">
      <alignment horizontal="left" vertical="top" wrapText="1"/>
    </xf>
    <xf numFmtId="3" fontId="19" fillId="6" borderId="25"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3" fillId="4" borderId="43" xfId="0" applyNumberFormat="1" applyFont="1" applyFill="1" applyBorder="1" applyAlignment="1">
      <alignment horizontal="center" vertical="top"/>
    </xf>
    <xf numFmtId="3" fontId="3" fillId="5" borderId="44" xfId="0" applyNumberFormat="1" applyFont="1" applyFill="1" applyBorder="1" applyAlignment="1">
      <alignment horizontal="center" vertical="top"/>
    </xf>
    <xf numFmtId="3" fontId="1" fillId="0" borderId="32" xfId="0" applyNumberFormat="1" applyFont="1" applyFill="1" applyBorder="1" applyAlignment="1">
      <alignment horizontal="left" vertical="top" wrapText="1"/>
    </xf>
    <xf numFmtId="3" fontId="1" fillId="0" borderId="24" xfId="0" applyNumberFormat="1" applyFont="1" applyFill="1" applyBorder="1" applyAlignment="1">
      <alignment horizontal="left" vertical="top" wrapText="1"/>
    </xf>
    <xf numFmtId="3" fontId="19" fillId="0" borderId="30" xfId="0" applyNumberFormat="1" applyFont="1" applyFill="1" applyBorder="1" applyAlignment="1">
      <alignment horizontal="center" vertical="top"/>
    </xf>
    <xf numFmtId="3" fontId="19" fillId="0" borderId="55"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6" fillId="6" borderId="25" xfId="0" applyNumberFormat="1" applyFont="1" applyFill="1" applyBorder="1" applyAlignment="1">
      <alignment horizontal="left" vertical="top" wrapText="1"/>
    </xf>
    <xf numFmtId="3" fontId="6" fillId="0" borderId="54" xfId="0" applyNumberFormat="1" applyFont="1" applyBorder="1" applyAlignment="1">
      <alignment horizontal="center" vertical="top"/>
    </xf>
    <xf numFmtId="3" fontId="6" fillId="6" borderId="54" xfId="0" applyNumberFormat="1" applyFont="1" applyFill="1" applyBorder="1" applyAlignment="1">
      <alignment horizontal="center" vertical="top"/>
    </xf>
    <xf numFmtId="0" fontId="1" fillId="0" borderId="40" xfId="0" applyFont="1" applyBorder="1" applyAlignment="1">
      <alignment horizontal="left" vertical="top" wrapText="1"/>
    </xf>
    <xf numFmtId="0" fontId="1" fillId="0" borderId="16" xfId="0" applyFont="1" applyBorder="1" applyAlignment="1">
      <alignment horizontal="left" vertical="top" wrapText="1"/>
    </xf>
    <xf numFmtId="3" fontId="1" fillId="6" borderId="7"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2" fontId="4" fillId="0" borderId="32" xfId="0" applyNumberFormat="1" applyFont="1" applyFill="1" applyBorder="1" applyAlignment="1">
      <alignment horizontal="left" vertical="top" wrapText="1"/>
    </xf>
    <xf numFmtId="2" fontId="4" fillId="0" borderId="6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4" fillId="0" borderId="66" xfId="0" applyFont="1" applyFill="1" applyBorder="1" applyAlignment="1">
      <alignment horizontal="left" vertical="top" wrapText="1"/>
    </xf>
    <xf numFmtId="3" fontId="19" fillId="0" borderId="40" xfId="0" applyNumberFormat="1" applyFont="1" applyFill="1" applyBorder="1" applyAlignment="1">
      <alignment horizontal="left" vertical="top" wrapText="1"/>
    </xf>
    <xf numFmtId="3" fontId="19" fillId="0" borderId="48"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1" fillId="0" borderId="59" xfId="0" applyNumberFormat="1" applyFont="1" applyFill="1" applyBorder="1" applyAlignment="1">
      <alignment horizontal="center" vertical="center" textRotation="90" wrapText="1"/>
    </xf>
    <xf numFmtId="49" fontId="4" fillId="6" borderId="41" xfId="0" applyNumberFormat="1" applyFont="1" applyFill="1" applyBorder="1" applyAlignment="1">
      <alignment horizontal="center" vertical="top"/>
    </xf>
    <xf numFmtId="49" fontId="4" fillId="6" borderId="49"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49" fontId="4" fillId="6" borderId="50"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4" fillId="6" borderId="66" xfId="0" applyNumberFormat="1" applyFont="1" applyFill="1" applyBorder="1" applyAlignment="1">
      <alignment horizontal="center" vertical="top"/>
    </xf>
    <xf numFmtId="3" fontId="3" fillId="0" borderId="9" xfId="0" applyNumberFormat="1" applyFont="1" applyFill="1" applyBorder="1" applyAlignment="1">
      <alignment horizontal="center" wrapText="1"/>
    </xf>
    <xf numFmtId="3" fontId="4" fillId="7" borderId="52" xfId="0" applyNumberFormat="1" applyFont="1" applyFill="1" applyBorder="1" applyAlignment="1">
      <alignment horizontal="left" vertical="top" wrapText="1"/>
    </xf>
    <xf numFmtId="3" fontId="4" fillId="7" borderId="50" xfId="0" applyNumberFormat="1" applyFont="1" applyFill="1" applyBorder="1" applyAlignment="1">
      <alignment horizontal="left" vertical="top" wrapText="1"/>
    </xf>
    <xf numFmtId="3" fontId="4" fillId="7" borderId="53" xfId="0" applyNumberFormat="1" applyFont="1" applyFill="1" applyBorder="1" applyAlignment="1">
      <alignment horizontal="left" vertical="top" wrapText="1"/>
    </xf>
    <xf numFmtId="3" fontId="3" fillId="3" borderId="33" xfId="0" applyNumberFormat="1" applyFont="1" applyFill="1" applyBorder="1" applyAlignment="1">
      <alignment horizontal="right" vertical="top" wrapText="1"/>
    </xf>
    <xf numFmtId="3" fontId="3" fillId="3" borderId="34" xfId="0" applyNumberFormat="1" applyFont="1" applyFill="1" applyBorder="1" applyAlignment="1">
      <alignment horizontal="right" vertical="top" wrapText="1"/>
    </xf>
    <xf numFmtId="3" fontId="3" fillId="3" borderId="77" xfId="0" applyNumberFormat="1" applyFont="1" applyFill="1" applyBorder="1" applyAlignment="1">
      <alignment horizontal="right" vertical="top" wrapText="1"/>
    </xf>
    <xf numFmtId="3" fontId="18" fillId="6" borderId="40" xfId="0" applyNumberFormat="1" applyFont="1" applyFill="1" applyBorder="1" applyAlignment="1">
      <alignment horizontal="left" vertical="top" wrapText="1"/>
    </xf>
    <xf numFmtId="3" fontId="6" fillId="10" borderId="55" xfId="0" applyNumberFormat="1" applyFont="1" applyFill="1" applyBorder="1" applyAlignment="1">
      <alignment horizontal="right" vertical="top" wrapText="1"/>
    </xf>
    <xf numFmtId="3" fontId="6" fillId="10" borderId="56" xfId="0" applyNumberFormat="1" applyFont="1" applyFill="1" applyBorder="1" applyAlignment="1">
      <alignment horizontal="right" vertical="top" wrapText="1"/>
    </xf>
    <xf numFmtId="3" fontId="6" fillId="10" borderId="57" xfId="0" applyNumberFormat="1" applyFont="1" applyFill="1" applyBorder="1" applyAlignment="1">
      <alignment horizontal="right" vertical="top" wrapText="1"/>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0" fontId="4" fillId="0" borderId="31"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0" xfId="0" applyFont="1" applyFill="1" applyBorder="1" applyAlignment="1">
      <alignment horizontal="left" vertical="top" wrapText="1"/>
    </xf>
  </cellXfs>
  <cellStyles count="2">
    <cellStyle name="Įprastas" xfId="0" builtinId="0"/>
    <cellStyle name="Įprastas 2 2" xfId="1"/>
  </cellStyles>
  <dxfs count="0"/>
  <tableStyles count="0" defaultTableStyle="TableStyleMedium2" defaultPivotStyle="PivotStyleLight16"/>
  <colors>
    <mruColors>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2018 m. SVP programos nr. 12 įvykdymas</a:t>
            </a:r>
          </a:p>
        </c:rich>
      </c:tx>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7.0177393600514573E-2"/>
          <c:y val="0.28416094452839857"/>
          <c:w val="0.81869830755478468"/>
          <c:h val="0.68667249927092444"/>
        </c:manualLayout>
      </c:layout>
      <c:pie3DChart>
        <c:varyColors val="1"/>
        <c:ser>
          <c:idx val="0"/>
          <c:order val="0"/>
          <c:spPr>
            <a:ln>
              <a:solidFill>
                <a:sysClr val="windowText" lastClr="000000"/>
              </a:solidFill>
            </a:ln>
          </c:spPr>
          <c:explosion val="14"/>
          <c:dPt>
            <c:idx val="0"/>
            <c:bubble3D val="0"/>
            <c:spPr>
              <a:solidFill>
                <a:schemeClr val="bg1"/>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1-58A8-4308-ABD4-23CFF852BFE4}"/>
              </c:ext>
            </c:extLst>
          </c:dPt>
          <c:dPt>
            <c:idx val="1"/>
            <c:bubble3D val="0"/>
            <c:spPr>
              <a:solidFill>
                <a:schemeClr val="accent5">
                  <a:lumMod val="20000"/>
                  <a:lumOff val="80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58A8-4308-ABD4-23CFF852BFE4}"/>
              </c:ext>
            </c:extLst>
          </c:dPt>
          <c:dPt>
            <c:idx val="2"/>
            <c:bubble3D val="0"/>
            <c:spPr>
              <a:solidFill>
                <a:srgbClr val="FFCCFF"/>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58A8-4308-ABD4-23CFF852BFE4}"/>
              </c:ext>
            </c:extLst>
          </c:dPt>
          <c:dPt>
            <c:idx val="3"/>
            <c:bubble3D val="0"/>
            <c:spPr>
              <a:solidFill>
                <a:schemeClr val="bg1">
                  <a:lumMod val="85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6-18FD-4EB8-8207-ED43D7FF8272}"/>
              </c:ext>
            </c:extLst>
          </c:dPt>
          <c:dLbls>
            <c:dLbl>
              <c:idx val="0"/>
              <c:layout>
                <c:manualLayout>
                  <c:x val="2.300929943151174E-2"/>
                  <c:y val="5.2103891054022126E-2"/>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8A8-4308-ABD4-23CFF852BFE4}"/>
                </c:ext>
                <c:ext xmlns:c15="http://schemas.microsoft.com/office/drawing/2012/chart" uri="{CE6537A1-D6FC-4f65-9D91-7224C49458BB}">
                  <c15:layout/>
                </c:ext>
              </c:extLst>
            </c:dLbl>
            <c:dLbl>
              <c:idx val="1"/>
              <c:layout>
                <c:manualLayout>
                  <c:x val="-3.7593992381345573E-2"/>
                  <c:y val="-7.4243042851966784E-2"/>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8A8-4308-ABD4-23CFF852BFE4}"/>
                </c:ext>
                <c:ext xmlns:c15="http://schemas.microsoft.com/office/drawing/2012/chart" uri="{CE6537A1-D6FC-4f65-9D91-7224C49458BB}">
                  <c15:layout/>
                </c:ext>
              </c:extLst>
            </c:dLbl>
            <c:dLbl>
              <c:idx val="2"/>
              <c:layout>
                <c:manualLayout>
                  <c:x val="-5.50098231827112E-2"/>
                  <c:y val="0"/>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8A8-4308-ABD4-23CFF852BFE4}"/>
                </c:ext>
                <c:ext xmlns:c15="http://schemas.microsoft.com/office/drawing/2012/chart" uri="{CE6537A1-D6FC-4f65-9D91-7224C49458BB}"/>
              </c:extLst>
            </c:dLbl>
            <c:dLbl>
              <c:idx val="3"/>
              <c:layout>
                <c:manualLayout>
                  <c:x val="7.9334628910610813E-2"/>
                  <c:y val="-4.4893378226711564E-3"/>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18FD-4EB8-8207-ED43D7FF8272}"/>
                </c:ext>
                <c:ext xmlns:c15="http://schemas.microsoft.com/office/drawing/2012/chart" uri="{CE6537A1-D6FC-4f65-9D91-7224C49458BB}"/>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Ataskaita!$A$6:$A$7</c:f>
              <c:strCache>
                <c:ptCount val="2"/>
                <c:pt idx="0">
                  <c:v>faktiškai įvykdyta –</c:v>
                </c:pt>
                <c:pt idx="1">
                  <c:v>iš dalies įvykdyta –</c:v>
                </c:pt>
              </c:strCache>
            </c:strRef>
          </c:cat>
          <c:val>
            <c:numRef>
              <c:f>Ataskaita!$B$6:$B$7</c:f>
              <c:numCache>
                <c:formatCode>General</c:formatCode>
                <c:ptCount val="2"/>
                <c:pt idx="0">
                  <c:v>26</c:v>
                </c:pt>
                <c:pt idx="1">
                  <c:v>8</c:v>
                </c:pt>
              </c:numCache>
            </c:numRef>
          </c:val>
          <c:extLst xmlns:c16r2="http://schemas.microsoft.com/office/drawing/2015/06/chart">
            <c:ext xmlns:c16="http://schemas.microsoft.com/office/drawing/2014/chart" uri="{C3380CC4-5D6E-409C-BE32-E72D297353CC}">
              <c16:uniqueId val="{00000000-58A8-4308-ABD4-23CFF852BFE4}"/>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47625</xdr:colOff>
      <xdr:row>8</xdr:row>
      <xdr:rowOff>0</xdr:rowOff>
    </xdr:from>
    <xdr:to>
      <xdr:col>5</xdr:col>
      <xdr:colOff>981074</xdr:colOff>
      <xdr:row>22</xdr:row>
      <xdr:rowOff>104775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Normal="100" workbookViewId="0">
      <selection activeCell="I16" sqref="I16"/>
    </sheetView>
  </sheetViews>
  <sheetFormatPr defaultRowHeight="12.75" x14ac:dyDescent="0.2"/>
  <cols>
    <col min="1" max="1" width="19.7109375" style="1835" customWidth="1"/>
    <col min="2" max="2" width="8.42578125" style="1835" customWidth="1"/>
    <col min="3" max="3" width="11.140625" style="1835" customWidth="1"/>
    <col min="4" max="4" width="13" style="1835" customWidth="1"/>
    <col min="5" max="5" width="9.7109375" style="1835" customWidth="1"/>
    <col min="6" max="6" width="18.85546875" style="1835" customWidth="1"/>
    <col min="7" max="7" width="11.140625" style="1835" customWidth="1"/>
    <col min="8" max="9" width="9.140625" style="1835"/>
    <col min="10" max="10" width="15.140625" style="1835" customWidth="1"/>
    <col min="11" max="256" width="9.140625" style="1835"/>
    <col min="257" max="257" width="19.7109375" style="1835" customWidth="1"/>
    <col min="258" max="258" width="10.7109375" style="1835" customWidth="1"/>
    <col min="259" max="259" width="11.140625" style="1835" customWidth="1"/>
    <col min="260" max="260" width="10.85546875" style="1835" customWidth="1"/>
    <col min="261" max="261" width="9.7109375" style="1835" customWidth="1"/>
    <col min="262" max="262" width="9.140625" style="1835"/>
    <col min="263" max="263" width="15" style="1835" customWidth="1"/>
    <col min="264" max="265" width="9.140625" style="1835"/>
    <col min="266" max="266" width="15.140625" style="1835" customWidth="1"/>
    <col min="267" max="512" width="9.140625" style="1835"/>
    <col min="513" max="513" width="19.7109375" style="1835" customWidth="1"/>
    <col min="514" max="514" width="10.7109375" style="1835" customWidth="1"/>
    <col min="515" max="515" width="11.140625" style="1835" customWidth="1"/>
    <col min="516" max="516" width="10.85546875" style="1835" customWidth="1"/>
    <col min="517" max="517" width="9.7109375" style="1835" customWidth="1"/>
    <col min="518" max="518" width="9.140625" style="1835"/>
    <col min="519" max="519" width="15" style="1835" customWidth="1"/>
    <col min="520" max="521" width="9.140625" style="1835"/>
    <col min="522" max="522" width="15.140625" style="1835" customWidth="1"/>
    <col min="523" max="768" width="9.140625" style="1835"/>
    <col min="769" max="769" width="19.7109375" style="1835" customWidth="1"/>
    <col min="770" max="770" width="10.7109375" style="1835" customWidth="1"/>
    <col min="771" max="771" width="11.140625" style="1835" customWidth="1"/>
    <col min="772" max="772" width="10.85546875" style="1835" customWidth="1"/>
    <col min="773" max="773" width="9.7109375" style="1835" customWidth="1"/>
    <col min="774" max="774" width="9.140625" style="1835"/>
    <col min="775" max="775" width="15" style="1835" customWidth="1"/>
    <col min="776" max="777" width="9.140625" style="1835"/>
    <col min="778" max="778" width="15.140625" style="1835" customWidth="1"/>
    <col min="779" max="1024" width="9.140625" style="1835"/>
    <col min="1025" max="1025" width="19.7109375" style="1835" customWidth="1"/>
    <col min="1026" max="1026" width="10.7109375" style="1835" customWidth="1"/>
    <col min="1027" max="1027" width="11.140625" style="1835" customWidth="1"/>
    <col min="1028" max="1028" width="10.85546875" style="1835" customWidth="1"/>
    <col min="1029" max="1029" width="9.7109375" style="1835" customWidth="1"/>
    <col min="1030" max="1030" width="9.140625" style="1835"/>
    <col min="1031" max="1031" width="15" style="1835" customWidth="1"/>
    <col min="1032" max="1033" width="9.140625" style="1835"/>
    <col min="1034" max="1034" width="15.140625" style="1835" customWidth="1"/>
    <col min="1035" max="1280" width="9.140625" style="1835"/>
    <col min="1281" max="1281" width="19.7109375" style="1835" customWidth="1"/>
    <col min="1282" max="1282" width="10.7109375" style="1835" customWidth="1"/>
    <col min="1283" max="1283" width="11.140625" style="1835" customWidth="1"/>
    <col min="1284" max="1284" width="10.85546875" style="1835" customWidth="1"/>
    <col min="1285" max="1285" width="9.7109375" style="1835" customWidth="1"/>
    <col min="1286" max="1286" width="9.140625" style="1835"/>
    <col min="1287" max="1287" width="15" style="1835" customWidth="1"/>
    <col min="1288" max="1289" width="9.140625" style="1835"/>
    <col min="1290" max="1290" width="15.140625" style="1835" customWidth="1"/>
    <col min="1291" max="1536" width="9.140625" style="1835"/>
    <col min="1537" max="1537" width="19.7109375" style="1835" customWidth="1"/>
    <col min="1538" max="1538" width="10.7109375" style="1835" customWidth="1"/>
    <col min="1539" max="1539" width="11.140625" style="1835" customWidth="1"/>
    <col min="1540" max="1540" width="10.85546875" style="1835" customWidth="1"/>
    <col min="1541" max="1541" width="9.7109375" style="1835" customWidth="1"/>
    <col min="1542" max="1542" width="9.140625" style="1835"/>
    <col min="1543" max="1543" width="15" style="1835" customWidth="1"/>
    <col min="1544" max="1545" width="9.140625" style="1835"/>
    <col min="1546" max="1546" width="15.140625" style="1835" customWidth="1"/>
    <col min="1547" max="1792" width="9.140625" style="1835"/>
    <col min="1793" max="1793" width="19.7109375" style="1835" customWidth="1"/>
    <col min="1794" max="1794" width="10.7109375" style="1835" customWidth="1"/>
    <col min="1795" max="1795" width="11.140625" style="1835" customWidth="1"/>
    <col min="1796" max="1796" width="10.85546875" style="1835" customWidth="1"/>
    <col min="1797" max="1797" width="9.7109375" style="1835" customWidth="1"/>
    <col min="1798" max="1798" width="9.140625" style="1835"/>
    <col min="1799" max="1799" width="15" style="1835" customWidth="1"/>
    <col min="1800" max="1801" width="9.140625" style="1835"/>
    <col min="1802" max="1802" width="15.140625" style="1835" customWidth="1"/>
    <col min="1803" max="2048" width="9.140625" style="1835"/>
    <col min="2049" max="2049" width="19.7109375" style="1835" customWidth="1"/>
    <col min="2050" max="2050" width="10.7109375" style="1835" customWidth="1"/>
    <col min="2051" max="2051" width="11.140625" style="1835" customWidth="1"/>
    <col min="2052" max="2052" width="10.85546875" style="1835" customWidth="1"/>
    <col min="2053" max="2053" width="9.7109375" style="1835" customWidth="1"/>
    <col min="2054" max="2054" width="9.140625" style="1835"/>
    <col min="2055" max="2055" width="15" style="1835" customWidth="1"/>
    <col min="2056" max="2057" width="9.140625" style="1835"/>
    <col min="2058" max="2058" width="15.140625" style="1835" customWidth="1"/>
    <col min="2059" max="2304" width="9.140625" style="1835"/>
    <col min="2305" max="2305" width="19.7109375" style="1835" customWidth="1"/>
    <col min="2306" max="2306" width="10.7109375" style="1835" customWidth="1"/>
    <col min="2307" max="2307" width="11.140625" style="1835" customWidth="1"/>
    <col min="2308" max="2308" width="10.85546875" style="1835" customWidth="1"/>
    <col min="2309" max="2309" width="9.7109375" style="1835" customWidth="1"/>
    <col min="2310" max="2310" width="9.140625" style="1835"/>
    <col min="2311" max="2311" width="15" style="1835" customWidth="1"/>
    <col min="2312" max="2313" width="9.140625" style="1835"/>
    <col min="2314" max="2314" width="15.140625" style="1835" customWidth="1"/>
    <col min="2315" max="2560" width="9.140625" style="1835"/>
    <col min="2561" max="2561" width="19.7109375" style="1835" customWidth="1"/>
    <col min="2562" max="2562" width="10.7109375" style="1835" customWidth="1"/>
    <col min="2563" max="2563" width="11.140625" style="1835" customWidth="1"/>
    <col min="2564" max="2564" width="10.85546875" style="1835" customWidth="1"/>
    <col min="2565" max="2565" width="9.7109375" style="1835" customWidth="1"/>
    <col min="2566" max="2566" width="9.140625" style="1835"/>
    <col min="2567" max="2567" width="15" style="1835" customWidth="1"/>
    <col min="2568" max="2569" width="9.140625" style="1835"/>
    <col min="2570" max="2570" width="15.140625" style="1835" customWidth="1"/>
    <col min="2571" max="2816" width="9.140625" style="1835"/>
    <col min="2817" max="2817" width="19.7109375" style="1835" customWidth="1"/>
    <col min="2818" max="2818" width="10.7109375" style="1835" customWidth="1"/>
    <col min="2819" max="2819" width="11.140625" style="1835" customWidth="1"/>
    <col min="2820" max="2820" width="10.85546875" style="1835" customWidth="1"/>
    <col min="2821" max="2821" width="9.7109375" style="1835" customWidth="1"/>
    <col min="2822" max="2822" width="9.140625" style="1835"/>
    <col min="2823" max="2823" width="15" style="1835" customWidth="1"/>
    <col min="2824" max="2825" width="9.140625" style="1835"/>
    <col min="2826" max="2826" width="15.140625" style="1835" customWidth="1"/>
    <col min="2827" max="3072" width="9.140625" style="1835"/>
    <col min="3073" max="3073" width="19.7109375" style="1835" customWidth="1"/>
    <col min="3074" max="3074" width="10.7109375" style="1835" customWidth="1"/>
    <col min="3075" max="3075" width="11.140625" style="1835" customWidth="1"/>
    <col min="3076" max="3076" width="10.85546875" style="1835" customWidth="1"/>
    <col min="3077" max="3077" width="9.7109375" style="1835" customWidth="1"/>
    <col min="3078" max="3078" width="9.140625" style="1835"/>
    <col min="3079" max="3079" width="15" style="1835" customWidth="1"/>
    <col min="3080" max="3081" width="9.140625" style="1835"/>
    <col min="3082" max="3082" width="15.140625" style="1835" customWidth="1"/>
    <col min="3083" max="3328" width="9.140625" style="1835"/>
    <col min="3329" max="3329" width="19.7109375" style="1835" customWidth="1"/>
    <col min="3330" max="3330" width="10.7109375" style="1835" customWidth="1"/>
    <col min="3331" max="3331" width="11.140625" style="1835" customWidth="1"/>
    <col min="3332" max="3332" width="10.85546875" style="1835" customWidth="1"/>
    <col min="3333" max="3333" width="9.7109375" style="1835" customWidth="1"/>
    <col min="3334" max="3334" width="9.140625" style="1835"/>
    <col min="3335" max="3335" width="15" style="1835" customWidth="1"/>
    <col min="3336" max="3337" width="9.140625" style="1835"/>
    <col min="3338" max="3338" width="15.140625" style="1835" customWidth="1"/>
    <col min="3339" max="3584" width="9.140625" style="1835"/>
    <col min="3585" max="3585" width="19.7109375" style="1835" customWidth="1"/>
    <col min="3586" max="3586" width="10.7109375" style="1835" customWidth="1"/>
    <col min="3587" max="3587" width="11.140625" style="1835" customWidth="1"/>
    <col min="3588" max="3588" width="10.85546875" style="1835" customWidth="1"/>
    <col min="3589" max="3589" width="9.7109375" style="1835" customWidth="1"/>
    <col min="3590" max="3590" width="9.140625" style="1835"/>
    <col min="3591" max="3591" width="15" style="1835" customWidth="1"/>
    <col min="3592" max="3593" width="9.140625" style="1835"/>
    <col min="3594" max="3594" width="15.140625" style="1835" customWidth="1"/>
    <col min="3595" max="3840" width="9.140625" style="1835"/>
    <col min="3841" max="3841" width="19.7109375" style="1835" customWidth="1"/>
    <col min="3842" max="3842" width="10.7109375" style="1835" customWidth="1"/>
    <col min="3843" max="3843" width="11.140625" style="1835" customWidth="1"/>
    <col min="3844" max="3844" width="10.85546875" style="1835" customWidth="1"/>
    <col min="3845" max="3845" width="9.7109375" style="1835" customWidth="1"/>
    <col min="3846" max="3846" width="9.140625" style="1835"/>
    <col min="3847" max="3847" width="15" style="1835" customWidth="1"/>
    <col min="3848" max="3849" width="9.140625" style="1835"/>
    <col min="3850" max="3850" width="15.140625" style="1835" customWidth="1"/>
    <col min="3851" max="4096" width="9.140625" style="1835"/>
    <col min="4097" max="4097" width="19.7109375" style="1835" customWidth="1"/>
    <col min="4098" max="4098" width="10.7109375" style="1835" customWidth="1"/>
    <col min="4099" max="4099" width="11.140625" style="1835" customWidth="1"/>
    <col min="4100" max="4100" width="10.85546875" style="1835" customWidth="1"/>
    <col min="4101" max="4101" width="9.7109375" style="1835" customWidth="1"/>
    <col min="4102" max="4102" width="9.140625" style="1835"/>
    <col min="4103" max="4103" width="15" style="1835" customWidth="1"/>
    <col min="4104" max="4105" width="9.140625" style="1835"/>
    <col min="4106" max="4106" width="15.140625" style="1835" customWidth="1"/>
    <col min="4107" max="4352" width="9.140625" style="1835"/>
    <col min="4353" max="4353" width="19.7109375" style="1835" customWidth="1"/>
    <col min="4354" max="4354" width="10.7109375" style="1835" customWidth="1"/>
    <col min="4355" max="4355" width="11.140625" style="1835" customWidth="1"/>
    <col min="4356" max="4356" width="10.85546875" style="1835" customWidth="1"/>
    <col min="4357" max="4357" width="9.7109375" style="1835" customWidth="1"/>
    <col min="4358" max="4358" width="9.140625" style="1835"/>
    <col min="4359" max="4359" width="15" style="1835" customWidth="1"/>
    <col min="4360" max="4361" width="9.140625" style="1835"/>
    <col min="4362" max="4362" width="15.140625" style="1835" customWidth="1"/>
    <col min="4363" max="4608" width="9.140625" style="1835"/>
    <col min="4609" max="4609" width="19.7109375" style="1835" customWidth="1"/>
    <col min="4610" max="4610" width="10.7109375" style="1835" customWidth="1"/>
    <col min="4611" max="4611" width="11.140625" style="1835" customWidth="1"/>
    <col min="4612" max="4612" width="10.85546875" style="1835" customWidth="1"/>
    <col min="4613" max="4613" width="9.7109375" style="1835" customWidth="1"/>
    <col min="4614" max="4614" width="9.140625" style="1835"/>
    <col min="4615" max="4615" width="15" style="1835" customWidth="1"/>
    <col min="4616" max="4617" width="9.140625" style="1835"/>
    <col min="4618" max="4618" width="15.140625" style="1835" customWidth="1"/>
    <col min="4619" max="4864" width="9.140625" style="1835"/>
    <col min="4865" max="4865" width="19.7109375" style="1835" customWidth="1"/>
    <col min="4866" max="4866" width="10.7109375" style="1835" customWidth="1"/>
    <col min="4867" max="4867" width="11.140625" style="1835" customWidth="1"/>
    <col min="4868" max="4868" width="10.85546875" style="1835" customWidth="1"/>
    <col min="4869" max="4869" width="9.7109375" style="1835" customWidth="1"/>
    <col min="4870" max="4870" width="9.140625" style="1835"/>
    <col min="4871" max="4871" width="15" style="1835" customWidth="1"/>
    <col min="4872" max="4873" width="9.140625" style="1835"/>
    <col min="4874" max="4874" width="15.140625" style="1835" customWidth="1"/>
    <col min="4875" max="5120" width="9.140625" style="1835"/>
    <col min="5121" max="5121" width="19.7109375" style="1835" customWidth="1"/>
    <col min="5122" max="5122" width="10.7109375" style="1835" customWidth="1"/>
    <col min="5123" max="5123" width="11.140625" style="1835" customWidth="1"/>
    <col min="5124" max="5124" width="10.85546875" style="1835" customWidth="1"/>
    <col min="5125" max="5125" width="9.7109375" style="1835" customWidth="1"/>
    <col min="5126" max="5126" width="9.140625" style="1835"/>
    <col min="5127" max="5127" width="15" style="1835" customWidth="1"/>
    <col min="5128" max="5129" width="9.140625" style="1835"/>
    <col min="5130" max="5130" width="15.140625" style="1835" customWidth="1"/>
    <col min="5131" max="5376" width="9.140625" style="1835"/>
    <col min="5377" max="5377" width="19.7109375" style="1835" customWidth="1"/>
    <col min="5378" max="5378" width="10.7109375" style="1835" customWidth="1"/>
    <col min="5379" max="5379" width="11.140625" style="1835" customWidth="1"/>
    <col min="5380" max="5380" width="10.85546875" style="1835" customWidth="1"/>
    <col min="5381" max="5381" width="9.7109375" style="1835" customWidth="1"/>
    <col min="5382" max="5382" width="9.140625" style="1835"/>
    <col min="5383" max="5383" width="15" style="1835" customWidth="1"/>
    <col min="5384" max="5385" width="9.140625" style="1835"/>
    <col min="5386" max="5386" width="15.140625" style="1835" customWidth="1"/>
    <col min="5387" max="5632" width="9.140625" style="1835"/>
    <col min="5633" max="5633" width="19.7109375" style="1835" customWidth="1"/>
    <col min="5634" max="5634" width="10.7109375" style="1835" customWidth="1"/>
    <col min="5635" max="5635" width="11.140625" style="1835" customWidth="1"/>
    <col min="5636" max="5636" width="10.85546875" style="1835" customWidth="1"/>
    <col min="5637" max="5637" width="9.7109375" style="1835" customWidth="1"/>
    <col min="5638" max="5638" width="9.140625" style="1835"/>
    <col min="5639" max="5639" width="15" style="1835" customWidth="1"/>
    <col min="5640" max="5641" width="9.140625" style="1835"/>
    <col min="5642" max="5642" width="15.140625" style="1835" customWidth="1"/>
    <col min="5643" max="5888" width="9.140625" style="1835"/>
    <col min="5889" max="5889" width="19.7109375" style="1835" customWidth="1"/>
    <col min="5890" max="5890" width="10.7109375" style="1835" customWidth="1"/>
    <col min="5891" max="5891" width="11.140625" style="1835" customWidth="1"/>
    <col min="5892" max="5892" width="10.85546875" style="1835" customWidth="1"/>
    <col min="5893" max="5893" width="9.7109375" style="1835" customWidth="1"/>
    <col min="5894" max="5894" width="9.140625" style="1835"/>
    <col min="5895" max="5895" width="15" style="1835" customWidth="1"/>
    <col min="5896" max="5897" width="9.140625" style="1835"/>
    <col min="5898" max="5898" width="15.140625" style="1835" customWidth="1"/>
    <col min="5899" max="6144" width="9.140625" style="1835"/>
    <col min="6145" max="6145" width="19.7109375" style="1835" customWidth="1"/>
    <col min="6146" max="6146" width="10.7109375" style="1835" customWidth="1"/>
    <col min="6147" max="6147" width="11.140625" style="1835" customWidth="1"/>
    <col min="6148" max="6148" width="10.85546875" style="1835" customWidth="1"/>
    <col min="6149" max="6149" width="9.7109375" style="1835" customWidth="1"/>
    <col min="6150" max="6150" width="9.140625" style="1835"/>
    <col min="6151" max="6151" width="15" style="1835" customWidth="1"/>
    <col min="6152" max="6153" width="9.140625" style="1835"/>
    <col min="6154" max="6154" width="15.140625" style="1835" customWidth="1"/>
    <col min="6155" max="6400" width="9.140625" style="1835"/>
    <col min="6401" max="6401" width="19.7109375" style="1835" customWidth="1"/>
    <col min="6402" max="6402" width="10.7109375" style="1835" customWidth="1"/>
    <col min="6403" max="6403" width="11.140625" style="1835" customWidth="1"/>
    <col min="6404" max="6404" width="10.85546875" style="1835" customWidth="1"/>
    <col min="6405" max="6405" width="9.7109375" style="1835" customWidth="1"/>
    <col min="6406" max="6406" width="9.140625" style="1835"/>
    <col min="6407" max="6407" width="15" style="1835" customWidth="1"/>
    <col min="6408" max="6409" width="9.140625" style="1835"/>
    <col min="6410" max="6410" width="15.140625" style="1835" customWidth="1"/>
    <col min="6411" max="6656" width="9.140625" style="1835"/>
    <col min="6657" max="6657" width="19.7109375" style="1835" customWidth="1"/>
    <col min="6658" max="6658" width="10.7109375" style="1835" customWidth="1"/>
    <col min="6659" max="6659" width="11.140625" style="1835" customWidth="1"/>
    <col min="6660" max="6660" width="10.85546875" style="1835" customWidth="1"/>
    <col min="6661" max="6661" width="9.7109375" style="1835" customWidth="1"/>
    <col min="6662" max="6662" width="9.140625" style="1835"/>
    <col min="6663" max="6663" width="15" style="1835" customWidth="1"/>
    <col min="6664" max="6665" width="9.140625" style="1835"/>
    <col min="6666" max="6666" width="15.140625" style="1835" customWidth="1"/>
    <col min="6667" max="6912" width="9.140625" style="1835"/>
    <col min="6913" max="6913" width="19.7109375" style="1835" customWidth="1"/>
    <col min="6914" max="6914" width="10.7109375" style="1835" customWidth="1"/>
    <col min="6915" max="6915" width="11.140625" style="1835" customWidth="1"/>
    <col min="6916" max="6916" width="10.85546875" style="1835" customWidth="1"/>
    <col min="6917" max="6917" width="9.7109375" style="1835" customWidth="1"/>
    <col min="6918" max="6918" width="9.140625" style="1835"/>
    <col min="6919" max="6919" width="15" style="1835" customWidth="1"/>
    <col min="6920" max="6921" width="9.140625" style="1835"/>
    <col min="6922" max="6922" width="15.140625" style="1835" customWidth="1"/>
    <col min="6923" max="7168" width="9.140625" style="1835"/>
    <col min="7169" max="7169" width="19.7109375" style="1835" customWidth="1"/>
    <col min="7170" max="7170" width="10.7109375" style="1835" customWidth="1"/>
    <col min="7171" max="7171" width="11.140625" style="1835" customWidth="1"/>
    <col min="7172" max="7172" width="10.85546875" style="1835" customWidth="1"/>
    <col min="7173" max="7173" width="9.7109375" style="1835" customWidth="1"/>
    <col min="7174" max="7174" width="9.140625" style="1835"/>
    <col min="7175" max="7175" width="15" style="1835" customWidth="1"/>
    <col min="7176" max="7177" width="9.140625" style="1835"/>
    <col min="7178" max="7178" width="15.140625" style="1835" customWidth="1"/>
    <col min="7179" max="7424" width="9.140625" style="1835"/>
    <col min="7425" max="7425" width="19.7109375" style="1835" customWidth="1"/>
    <col min="7426" max="7426" width="10.7109375" style="1835" customWidth="1"/>
    <col min="7427" max="7427" width="11.140625" style="1835" customWidth="1"/>
    <col min="7428" max="7428" width="10.85546875" style="1835" customWidth="1"/>
    <col min="7429" max="7429" width="9.7109375" style="1835" customWidth="1"/>
    <col min="7430" max="7430" width="9.140625" style="1835"/>
    <col min="7431" max="7431" width="15" style="1835" customWidth="1"/>
    <col min="7432" max="7433" width="9.140625" style="1835"/>
    <col min="7434" max="7434" width="15.140625" style="1835" customWidth="1"/>
    <col min="7435" max="7680" width="9.140625" style="1835"/>
    <col min="7681" max="7681" width="19.7109375" style="1835" customWidth="1"/>
    <col min="7682" max="7682" width="10.7109375" style="1835" customWidth="1"/>
    <col min="7683" max="7683" width="11.140625" style="1835" customWidth="1"/>
    <col min="7684" max="7684" width="10.85546875" style="1835" customWidth="1"/>
    <col min="7685" max="7685" width="9.7109375" style="1835" customWidth="1"/>
    <col min="7686" max="7686" width="9.140625" style="1835"/>
    <col min="7687" max="7687" width="15" style="1835" customWidth="1"/>
    <col min="7688" max="7689" width="9.140625" style="1835"/>
    <col min="7690" max="7690" width="15.140625" style="1835" customWidth="1"/>
    <col min="7691" max="7936" width="9.140625" style="1835"/>
    <col min="7937" max="7937" width="19.7109375" style="1835" customWidth="1"/>
    <col min="7938" max="7938" width="10.7109375" style="1835" customWidth="1"/>
    <col min="7939" max="7939" width="11.140625" style="1835" customWidth="1"/>
    <col min="7940" max="7940" width="10.85546875" style="1835" customWidth="1"/>
    <col min="7941" max="7941" width="9.7109375" style="1835" customWidth="1"/>
    <col min="7942" max="7942" width="9.140625" style="1835"/>
    <col min="7943" max="7943" width="15" style="1835" customWidth="1"/>
    <col min="7944" max="7945" width="9.140625" style="1835"/>
    <col min="7946" max="7946" width="15.140625" style="1835" customWidth="1"/>
    <col min="7947" max="8192" width="9.140625" style="1835"/>
    <col min="8193" max="8193" width="19.7109375" style="1835" customWidth="1"/>
    <col min="8194" max="8194" width="10.7109375" style="1835" customWidth="1"/>
    <col min="8195" max="8195" width="11.140625" style="1835" customWidth="1"/>
    <col min="8196" max="8196" width="10.85546875" style="1835" customWidth="1"/>
    <col min="8197" max="8197" width="9.7109375" style="1835" customWidth="1"/>
    <col min="8198" max="8198" width="9.140625" style="1835"/>
    <col min="8199" max="8199" width="15" style="1835" customWidth="1"/>
    <col min="8200" max="8201" width="9.140625" style="1835"/>
    <col min="8202" max="8202" width="15.140625" style="1835" customWidth="1"/>
    <col min="8203" max="8448" width="9.140625" style="1835"/>
    <col min="8449" max="8449" width="19.7109375" style="1835" customWidth="1"/>
    <col min="8450" max="8450" width="10.7109375" style="1835" customWidth="1"/>
    <col min="8451" max="8451" width="11.140625" style="1835" customWidth="1"/>
    <col min="8452" max="8452" width="10.85546875" style="1835" customWidth="1"/>
    <col min="8453" max="8453" width="9.7109375" style="1835" customWidth="1"/>
    <col min="8454" max="8454" width="9.140625" style="1835"/>
    <col min="8455" max="8455" width="15" style="1835" customWidth="1"/>
    <col min="8456" max="8457" width="9.140625" style="1835"/>
    <col min="8458" max="8458" width="15.140625" style="1835" customWidth="1"/>
    <col min="8459" max="8704" width="9.140625" style="1835"/>
    <col min="8705" max="8705" width="19.7109375" style="1835" customWidth="1"/>
    <col min="8706" max="8706" width="10.7109375" style="1835" customWidth="1"/>
    <col min="8707" max="8707" width="11.140625" style="1835" customWidth="1"/>
    <col min="8708" max="8708" width="10.85546875" style="1835" customWidth="1"/>
    <col min="8709" max="8709" width="9.7109375" style="1835" customWidth="1"/>
    <col min="8710" max="8710" width="9.140625" style="1835"/>
    <col min="8711" max="8711" width="15" style="1835" customWidth="1"/>
    <col min="8712" max="8713" width="9.140625" style="1835"/>
    <col min="8714" max="8714" width="15.140625" style="1835" customWidth="1"/>
    <col min="8715" max="8960" width="9.140625" style="1835"/>
    <col min="8961" max="8961" width="19.7109375" style="1835" customWidth="1"/>
    <col min="8962" max="8962" width="10.7109375" style="1835" customWidth="1"/>
    <col min="8963" max="8963" width="11.140625" style="1835" customWidth="1"/>
    <col min="8964" max="8964" width="10.85546875" style="1835" customWidth="1"/>
    <col min="8965" max="8965" width="9.7109375" style="1835" customWidth="1"/>
    <col min="8966" max="8966" width="9.140625" style="1835"/>
    <col min="8967" max="8967" width="15" style="1835" customWidth="1"/>
    <col min="8968" max="8969" width="9.140625" style="1835"/>
    <col min="8970" max="8970" width="15.140625" style="1835" customWidth="1"/>
    <col min="8971" max="9216" width="9.140625" style="1835"/>
    <col min="9217" max="9217" width="19.7109375" style="1835" customWidth="1"/>
    <col min="9218" max="9218" width="10.7109375" style="1835" customWidth="1"/>
    <col min="9219" max="9219" width="11.140625" style="1835" customWidth="1"/>
    <col min="9220" max="9220" width="10.85546875" style="1835" customWidth="1"/>
    <col min="9221" max="9221" width="9.7109375" style="1835" customWidth="1"/>
    <col min="9222" max="9222" width="9.140625" style="1835"/>
    <col min="9223" max="9223" width="15" style="1835" customWidth="1"/>
    <col min="9224" max="9225" width="9.140625" style="1835"/>
    <col min="9226" max="9226" width="15.140625" style="1835" customWidth="1"/>
    <col min="9227" max="9472" width="9.140625" style="1835"/>
    <col min="9473" max="9473" width="19.7109375" style="1835" customWidth="1"/>
    <col min="9474" max="9474" width="10.7109375" style="1835" customWidth="1"/>
    <col min="9475" max="9475" width="11.140625" style="1835" customWidth="1"/>
    <col min="9476" max="9476" width="10.85546875" style="1835" customWidth="1"/>
    <col min="9477" max="9477" width="9.7109375" style="1835" customWidth="1"/>
    <col min="9478" max="9478" width="9.140625" style="1835"/>
    <col min="9479" max="9479" width="15" style="1835" customWidth="1"/>
    <col min="9480" max="9481" width="9.140625" style="1835"/>
    <col min="9482" max="9482" width="15.140625" style="1835" customWidth="1"/>
    <col min="9483" max="9728" width="9.140625" style="1835"/>
    <col min="9729" max="9729" width="19.7109375" style="1835" customWidth="1"/>
    <col min="9730" max="9730" width="10.7109375" style="1835" customWidth="1"/>
    <col min="9731" max="9731" width="11.140625" style="1835" customWidth="1"/>
    <col min="9732" max="9732" width="10.85546875" style="1835" customWidth="1"/>
    <col min="9733" max="9733" width="9.7109375" style="1835" customWidth="1"/>
    <col min="9734" max="9734" width="9.140625" style="1835"/>
    <col min="9735" max="9735" width="15" style="1835" customWidth="1"/>
    <col min="9736" max="9737" width="9.140625" style="1835"/>
    <col min="9738" max="9738" width="15.140625" style="1835" customWidth="1"/>
    <col min="9739" max="9984" width="9.140625" style="1835"/>
    <col min="9985" max="9985" width="19.7109375" style="1835" customWidth="1"/>
    <col min="9986" max="9986" width="10.7109375" style="1835" customWidth="1"/>
    <col min="9987" max="9987" width="11.140625" style="1835" customWidth="1"/>
    <col min="9988" max="9988" width="10.85546875" style="1835" customWidth="1"/>
    <col min="9989" max="9989" width="9.7109375" style="1835" customWidth="1"/>
    <col min="9990" max="9990" width="9.140625" style="1835"/>
    <col min="9991" max="9991" width="15" style="1835" customWidth="1"/>
    <col min="9992" max="9993" width="9.140625" style="1835"/>
    <col min="9994" max="9994" width="15.140625" style="1835" customWidth="1"/>
    <col min="9995" max="10240" width="9.140625" style="1835"/>
    <col min="10241" max="10241" width="19.7109375" style="1835" customWidth="1"/>
    <col min="10242" max="10242" width="10.7109375" style="1835" customWidth="1"/>
    <col min="10243" max="10243" width="11.140625" style="1835" customWidth="1"/>
    <col min="10244" max="10244" width="10.85546875" style="1835" customWidth="1"/>
    <col min="10245" max="10245" width="9.7109375" style="1835" customWidth="1"/>
    <col min="10246" max="10246" width="9.140625" style="1835"/>
    <col min="10247" max="10247" width="15" style="1835" customWidth="1"/>
    <col min="10248" max="10249" width="9.140625" style="1835"/>
    <col min="10250" max="10250" width="15.140625" style="1835" customWidth="1"/>
    <col min="10251" max="10496" width="9.140625" style="1835"/>
    <col min="10497" max="10497" width="19.7109375" style="1835" customWidth="1"/>
    <col min="10498" max="10498" width="10.7109375" style="1835" customWidth="1"/>
    <col min="10499" max="10499" width="11.140625" style="1835" customWidth="1"/>
    <col min="10500" max="10500" width="10.85546875" style="1835" customWidth="1"/>
    <col min="10501" max="10501" width="9.7109375" style="1835" customWidth="1"/>
    <col min="10502" max="10502" width="9.140625" style="1835"/>
    <col min="10503" max="10503" width="15" style="1835" customWidth="1"/>
    <col min="10504" max="10505" width="9.140625" style="1835"/>
    <col min="10506" max="10506" width="15.140625" style="1835" customWidth="1"/>
    <col min="10507" max="10752" width="9.140625" style="1835"/>
    <col min="10753" max="10753" width="19.7109375" style="1835" customWidth="1"/>
    <col min="10754" max="10754" width="10.7109375" style="1835" customWidth="1"/>
    <col min="10755" max="10755" width="11.140625" style="1835" customWidth="1"/>
    <col min="10756" max="10756" width="10.85546875" style="1835" customWidth="1"/>
    <col min="10757" max="10757" width="9.7109375" style="1835" customWidth="1"/>
    <col min="10758" max="10758" width="9.140625" style="1835"/>
    <col min="10759" max="10759" width="15" style="1835" customWidth="1"/>
    <col min="10760" max="10761" width="9.140625" style="1835"/>
    <col min="10762" max="10762" width="15.140625" style="1835" customWidth="1"/>
    <col min="10763" max="11008" width="9.140625" style="1835"/>
    <col min="11009" max="11009" width="19.7109375" style="1835" customWidth="1"/>
    <col min="11010" max="11010" width="10.7109375" style="1835" customWidth="1"/>
    <col min="11011" max="11011" width="11.140625" style="1835" customWidth="1"/>
    <col min="11012" max="11012" width="10.85546875" style="1835" customWidth="1"/>
    <col min="11013" max="11013" width="9.7109375" style="1835" customWidth="1"/>
    <col min="11014" max="11014" width="9.140625" style="1835"/>
    <col min="11015" max="11015" width="15" style="1835" customWidth="1"/>
    <col min="11016" max="11017" width="9.140625" style="1835"/>
    <col min="11018" max="11018" width="15.140625" style="1835" customWidth="1"/>
    <col min="11019" max="11264" width="9.140625" style="1835"/>
    <col min="11265" max="11265" width="19.7109375" style="1835" customWidth="1"/>
    <col min="11266" max="11266" width="10.7109375" style="1835" customWidth="1"/>
    <col min="11267" max="11267" width="11.140625" style="1835" customWidth="1"/>
    <col min="11268" max="11268" width="10.85546875" style="1835" customWidth="1"/>
    <col min="11269" max="11269" width="9.7109375" style="1835" customWidth="1"/>
    <col min="11270" max="11270" width="9.140625" style="1835"/>
    <col min="11271" max="11271" width="15" style="1835" customWidth="1"/>
    <col min="11272" max="11273" width="9.140625" style="1835"/>
    <col min="11274" max="11274" width="15.140625" style="1835" customWidth="1"/>
    <col min="11275" max="11520" width="9.140625" style="1835"/>
    <col min="11521" max="11521" width="19.7109375" style="1835" customWidth="1"/>
    <col min="11522" max="11522" width="10.7109375" style="1835" customWidth="1"/>
    <col min="11523" max="11523" width="11.140625" style="1835" customWidth="1"/>
    <col min="11524" max="11524" width="10.85546875" style="1835" customWidth="1"/>
    <col min="11525" max="11525" width="9.7109375" style="1835" customWidth="1"/>
    <col min="11526" max="11526" width="9.140625" style="1835"/>
    <col min="11527" max="11527" width="15" style="1835" customWidth="1"/>
    <col min="11528" max="11529" width="9.140625" style="1835"/>
    <col min="11530" max="11530" width="15.140625" style="1835" customWidth="1"/>
    <col min="11531" max="11776" width="9.140625" style="1835"/>
    <col min="11777" max="11777" width="19.7109375" style="1835" customWidth="1"/>
    <col min="11778" max="11778" width="10.7109375" style="1835" customWidth="1"/>
    <col min="11779" max="11779" width="11.140625" style="1835" customWidth="1"/>
    <col min="11780" max="11780" width="10.85546875" style="1835" customWidth="1"/>
    <col min="11781" max="11781" width="9.7109375" style="1835" customWidth="1"/>
    <col min="11782" max="11782" width="9.140625" style="1835"/>
    <col min="11783" max="11783" width="15" style="1835" customWidth="1"/>
    <col min="11784" max="11785" width="9.140625" style="1835"/>
    <col min="11786" max="11786" width="15.140625" style="1835" customWidth="1"/>
    <col min="11787" max="12032" width="9.140625" style="1835"/>
    <col min="12033" max="12033" width="19.7109375" style="1835" customWidth="1"/>
    <col min="12034" max="12034" width="10.7109375" style="1835" customWidth="1"/>
    <col min="12035" max="12035" width="11.140625" style="1835" customWidth="1"/>
    <col min="12036" max="12036" width="10.85546875" style="1835" customWidth="1"/>
    <col min="12037" max="12037" width="9.7109375" style="1835" customWidth="1"/>
    <col min="12038" max="12038" width="9.140625" style="1835"/>
    <col min="12039" max="12039" width="15" style="1835" customWidth="1"/>
    <col min="12040" max="12041" width="9.140625" style="1835"/>
    <col min="12042" max="12042" width="15.140625" style="1835" customWidth="1"/>
    <col min="12043" max="12288" width="9.140625" style="1835"/>
    <col min="12289" max="12289" width="19.7109375" style="1835" customWidth="1"/>
    <col min="12290" max="12290" width="10.7109375" style="1835" customWidth="1"/>
    <col min="12291" max="12291" width="11.140625" style="1835" customWidth="1"/>
    <col min="12292" max="12292" width="10.85546875" style="1835" customWidth="1"/>
    <col min="12293" max="12293" width="9.7109375" style="1835" customWidth="1"/>
    <col min="12294" max="12294" width="9.140625" style="1835"/>
    <col min="12295" max="12295" width="15" style="1835" customWidth="1"/>
    <col min="12296" max="12297" width="9.140625" style="1835"/>
    <col min="12298" max="12298" width="15.140625" style="1835" customWidth="1"/>
    <col min="12299" max="12544" width="9.140625" style="1835"/>
    <col min="12545" max="12545" width="19.7109375" style="1835" customWidth="1"/>
    <col min="12546" max="12546" width="10.7109375" style="1835" customWidth="1"/>
    <col min="12547" max="12547" width="11.140625" style="1835" customWidth="1"/>
    <col min="12548" max="12548" width="10.85546875" style="1835" customWidth="1"/>
    <col min="12549" max="12549" width="9.7109375" style="1835" customWidth="1"/>
    <col min="12550" max="12550" width="9.140625" style="1835"/>
    <col min="12551" max="12551" width="15" style="1835" customWidth="1"/>
    <col min="12552" max="12553" width="9.140625" style="1835"/>
    <col min="12554" max="12554" width="15.140625" style="1835" customWidth="1"/>
    <col min="12555" max="12800" width="9.140625" style="1835"/>
    <col min="12801" max="12801" width="19.7109375" style="1835" customWidth="1"/>
    <col min="12802" max="12802" width="10.7109375" style="1835" customWidth="1"/>
    <col min="12803" max="12803" width="11.140625" style="1835" customWidth="1"/>
    <col min="12804" max="12804" width="10.85546875" style="1835" customWidth="1"/>
    <col min="12805" max="12805" width="9.7109375" style="1835" customWidth="1"/>
    <col min="12806" max="12806" width="9.140625" style="1835"/>
    <col min="12807" max="12807" width="15" style="1835" customWidth="1"/>
    <col min="12808" max="12809" width="9.140625" style="1835"/>
    <col min="12810" max="12810" width="15.140625" style="1835" customWidth="1"/>
    <col min="12811" max="13056" width="9.140625" style="1835"/>
    <col min="13057" max="13057" width="19.7109375" style="1835" customWidth="1"/>
    <col min="13058" max="13058" width="10.7109375" style="1835" customWidth="1"/>
    <col min="13059" max="13059" width="11.140625" style="1835" customWidth="1"/>
    <col min="13060" max="13060" width="10.85546875" style="1835" customWidth="1"/>
    <col min="13061" max="13061" width="9.7109375" style="1835" customWidth="1"/>
    <col min="13062" max="13062" width="9.140625" style="1835"/>
    <col min="13063" max="13063" width="15" style="1835" customWidth="1"/>
    <col min="13064" max="13065" width="9.140625" style="1835"/>
    <col min="13066" max="13066" width="15.140625" style="1835" customWidth="1"/>
    <col min="13067" max="13312" width="9.140625" style="1835"/>
    <col min="13313" max="13313" width="19.7109375" style="1835" customWidth="1"/>
    <col min="13314" max="13314" width="10.7109375" style="1835" customWidth="1"/>
    <col min="13315" max="13315" width="11.140625" style="1835" customWidth="1"/>
    <col min="13316" max="13316" width="10.85546875" style="1835" customWidth="1"/>
    <col min="13317" max="13317" width="9.7109375" style="1835" customWidth="1"/>
    <col min="13318" max="13318" width="9.140625" style="1835"/>
    <col min="13319" max="13319" width="15" style="1835" customWidth="1"/>
    <col min="13320" max="13321" width="9.140625" style="1835"/>
    <col min="13322" max="13322" width="15.140625" style="1835" customWidth="1"/>
    <col min="13323" max="13568" width="9.140625" style="1835"/>
    <col min="13569" max="13569" width="19.7109375" style="1835" customWidth="1"/>
    <col min="13570" max="13570" width="10.7109375" style="1835" customWidth="1"/>
    <col min="13571" max="13571" width="11.140625" style="1835" customWidth="1"/>
    <col min="13572" max="13572" width="10.85546875" style="1835" customWidth="1"/>
    <col min="13573" max="13573" width="9.7109375" style="1835" customWidth="1"/>
    <col min="13574" max="13574" width="9.140625" style="1835"/>
    <col min="13575" max="13575" width="15" style="1835" customWidth="1"/>
    <col min="13576" max="13577" width="9.140625" style="1835"/>
    <col min="13578" max="13578" width="15.140625" style="1835" customWidth="1"/>
    <col min="13579" max="13824" width="9.140625" style="1835"/>
    <col min="13825" max="13825" width="19.7109375" style="1835" customWidth="1"/>
    <col min="13826" max="13826" width="10.7109375" style="1835" customWidth="1"/>
    <col min="13827" max="13827" width="11.140625" style="1835" customWidth="1"/>
    <col min="13828" max="13828" width="10.85546875" style="1835" customWidth="1"/>
    <col min="13829" max="13829" width="9.7109375" style="1835" customWidth="1"/>
    <col min="13830" max="13830" width="9.140625" style="1835"/>
    <col min="13831" max="13831" width="15" style="1835" customWidth="1"/>
    <col min="13832" max="13833" width="9.140625" style="1835"/>
    <col min="13834" max="13834" width="15.140625" style="1835" customWidth="1"/>
    <col min="13835" max="14080" width="9.140625" style="1835"/>
    <col min="14081" max="14081" width="19.7109375" style="1835" customWidth="1"/>
    <col min="14082" max="14082" width="10.7109375" style="1835" customWidth="1"/>
    <col min="14083" max="14083" width="11.140625" style="1835" customWidth="1"/>
    <col min="14084" max="14084" width="10.85546875" style="1835" customWidth="1"/>
    <col min="14085" max="14085" width="9.7109375" style="1835" customWidth="1"/>
    <col min="14086" max="14086" width="9.140625" style="1835"/>
    <col min="14087" max="14087" width="15" style="1835" customWidth="1"/>
    <col min="14088" max="14089" width="9.140625" style="1835"/>
    <col min="14090" max="14090" width="15.140625" style="1835" customWidth="1"/>
    <col min="14091" max="14336" width="9.140625" style="1835"/>
    <col min="14337" max="14337" width="19.7109375" style="1835" customWidth="1"/>
    <col min="14338" max="14338" width="10.7109375" style="1835" customWidth="1"/>
    <col min="14339" max="14339" width="11.140625" style="1835" customWidth="1"/>
    <col min="14340" max="14340" width="10.85546875" style="1835" customWidth="1"/>
    <col min="14341" max="14341" width="9.7109375" style="1835" customWidth="1"/>
    <col min="14342" max="14342" width="9.140625" style="1835"/>
    <col min="14343" max="14343" width="15" style="1835" customWidth="1"/>
    <col min="14344" max="14345" width="9.140625" style="1835"/>
    <col min="14346" max="14346" width="15.140625" style="1835" customWidth="1"/>
    <col min="14347" max="14592" width="9.140625" style="1835"/>
    <col min="14593" max="14593" width="19.7109375" style="1835" customWidth="1"/>
    <col min="14594" max="14594" width="10.7109375" style="1835" customWidth="1"/>
    <col min="14595" max="14595" width="11.140625" style="1835" customWidth="1"/>
    <col min="14596" max="14596" width="10.85546875" style="1835" customWidth="1"/>
    <col min="14597" max="14597" width="9.7109375" style="1835" customWidth="1"/>
    <col min="14598" max="14598" width="9.140625" style="1835"/>
    <col min="14599" max="14599" width="15" style="1835" customWidth="1"/>
    <col min="14600" max="14601" width="9.140625" style="1835"/>
    <col min="14602" max="14602" width="15.140625" style="1835" customWidth="1"/>
    <col min="14603" max="14848" width="9.140625" style="1835"/>
    <col min="14849" max="14849" width="19.7109375" style="1835" customWidth="1"/>
    <col min="14850" max="14850" width="10.7109375" style="1835" customWidth="1"/>
    <col min="14851" max="14851" width="11.140625" style="1835" customWidth="1"/>
    <col min="14852" max="14852" width="10.85546875" style="1835" customWidth="1"/>
    <col min="14853" max="14853" width="9.7109375" style="1835" customWidth="1"/>
    <col min="14854" max="14854" width="9.140625" style="1835"/>
    <col min="14855" max="14855" width="15" style="1835" customWidth="1"/>
    <col min="14856" max="14857" width="9.140625" style="1835"/>
    <col min="14858" max="14858" width="15.140625" style="1835" customWidth="1"/>
    <col min="14859" max="15104" width="9.140625" style="1835"/>
    <col min="15105" max="15105" width="19.7109375" style="1835" customWidth="1"/>
    <col min="15106" max="15106" width="10.7109375" style="1835" customWidth="1"/>
    <col min="15107" max="15107" width="11.140625" style="1835" customWidth="1"/>
    <col min="15108" max="15108" width="10.85546875" style="1835" customWidth="1"/>
    <col min="15109" max="15109" width="9.7109375" style="1835" customWidth="1"/>
    <col min="15110" max="15110" width="9.140625" style="1835"/>
    <col min="15111" max="15111" width="15" style="1835" customWidth="1"/>
    <col min="15112" max="15113" width="9.140625" style="1835"/>
    <col min="15114" max="15114" width="15.140625" style="1835" customWidth="1"/>
    <col min="15115" max="15360" width="9.140625" style="1835"/>
    <col min="15361" max="15361" width="19.7109375" style="1835" customWidth="1"/>
    <col min="15362" max="15362" width="10.7109375" style="1835" customWidth="1"/>
    <col min="15363" max="15363" width="11.140625" style="1835" customWidth="1"/>
    <col min="15364" max="15364" width="10.85546875" style="1835" customWidth="1"/>
    <col min="15365" max="15365" width="9.7109375" style="1835" customWidth="1"/>
    <col min="15366" max="15366" width="9.140625" style="1835"/>
    <col min="15367" max="15367" width="15" style="1835" customWidth="1"/>
    <col min="15368" max="15369" width="9.140625" style="1835"/>
    <col min="15370" max="15370" width="15.140625" style="1835" customWidth="1"/>
    <col min="15371" max="15616" width="9.140625" style="1835"/>
    <col min="15617" max="15617" width="19.7109375" style="1835" customWidth="1"/>
    <col min="15618" max="15618" width="10.7109375" style="1835" customWidth="1"/>
    <col min="15619" max="15619" width="11.140625" style="1835" customWidth="1"/>
    <col min="15620" max="15620" width="10.85546875" style="1835" customWidth="1"/>
    <col min="15621" max="15621" width="9.7109375" style="1835" customWidth="1"/>
    <col min="15622" max="15622" width="9.140625" style="1835"/>
    <col min="15623" max="15623" width="15" style="1835" customWidth="1"/>
    <col min="15624" max="15625" width="9.140625" style="1835"/>
    <col min="15626" max="15626" width="15.140625" style="1835" customWidth="1"/>
    <col min="15627" max="15872" width="9.140625" style="1835"/>
    <col min="15873" max="15873" width="19.7109375" style="1835" customWidth="1"/>
    <col min="15874" max="15874" width="10.7109375" style="1835" customWidth="1"/>
    <col min="15875" max="15875" width="11.140625" style="1835" customWidth="1"/>
    <col min="15876" max="15876" width="10.85546875" style="1835" customWidth="1"/>
    <col min="15877" max="15877" width="9.7109375" style="1835" customWidth="1"/>
    <col min="15878" max="15878" width="9.140625" style="1835"/>
    <col min="15879" max="15879" width="15" style="1835" customWidth="1"/>
    <col min="15880" max="15881" width="9.140625" style="1835"/>
    <col min="15882" max="15882" width="15.140625" style="1835" customWidth="1"/>
    <col min="15883" max="16128" width="9.140625" style="1835"/>
    <col min="16129" max="16129" width="19.7109375" style="1835" customWidth="1"/>
    <col min="16130" max="16130" width="10.7109375" style="1835" customWidth="1"/>
    <col min="16131" max="16131" width="11.140625" style="1835" customWidth="1"/>
    <col min="16132" max="16132" width="10.85546875" style="1835" customWidth="1"/>
    <col min="16133" max="16133" width="9.7109375" style="1835" customWidth="1"/>
    <col min="16134" max="16134" width="9.140625" style="1835"/>
    <col min="16135" max="16135" width="15" style="1835" customWidth="1"/>
    <col min="16136" max="16137" width="9.140625" style="1835"/>
    <col min="16138" max="16138" width="15.140625" style="1835" customWidth="1"/>
    <col min="16139" max="16384" width="9.140625" style="1835"/>
  </cols>
  <sheetData>
    <row r="1" spans="1:13" ht="31.5" customHeight="1" x14ac:dyDescent="0.25">
      <c r="A1" s="2471" t="s">
        <v>518</v>
      </c>
      <c r="B1" s="2471"/>
      <c r="C1" s="2471"/>
      <c r="D1" s="2471"/>
      <c r="E1" s="2471"/>
      <c r="F1" s="2471"/>
      <c r="G1" s="1834"/>
      <c r="H1" s="1834"/>
      <c r="I1"/>
      <c r="J1"/>
      <c r="K1"/>
      <c r="L1"/>
    </row>
    <row r="2" spans="1:13" ht="48.75" customHeight="1" x14ac:dyDescent="0.25">
      <c r="A2" s="2471" t="s">
        <v>393</v>
      </c>
      <c r="B2" s="2471"/>
      <c r="C2" s="2471"/>
      <c r="D2" s="2471"/>
      <c r="E2" s="2471"/>
      <c r="F2" s="2471"/>
      <c r="G2" s="1834"/>
      <c r="H2" s="1834"/>
      <c r="I2"/>
      <c r="J2"/>
      <c r="K2"/>
      <c r="L2"/>
    </row>
    <row r="3" spans="1:13" ht="53.25" customHeight="1" x14ac:dyDescent="0.25">
      <c r="A3" s="2472" t="s">
        <v>398</v>
      </c>
      <c r="B3" s="2472"/>
      <c r="C3" s="2472"/>
      <c r="D3" s="2472"/>
      <c r="E3" s="2472"/>
      <c r="F3" s="2472"/>
      <c r="G3" s="1836"/>
      <c r="H3" s="1836"/>
      <c r="I3"/>
      <c r="J3"/>
      <c r="K3"/>
      <c r="L3"/>
    </row>
    <row r="4" spans="1:13" ht="72" customHeight="1" x14ac:dyDescent="0.25">
      <c r="A4" s="2473" t="s">
        <v>394</v>
      </c>
      <c r="B4" s="2473"/>
      <c r="C4" s="2473"/>
      <c r="D4" s="2473"/>
      <c r="E4" s="2473"/>
      <c r="F4" s="2473"/>
      <c r="G4" s="1834"/>
      <c r="H4" s="1834"/>
      <c r="I4"/>
      <c r="J4"/>
      <c r="K4"/>
      <c r="L4"/>
    </row>
    <row r="5" spans="1:13" ht="36.75" customHeight="1" x14ac:dyDescent="0.25">
      <c r="A5" s="2474" t="s">
        <v>519</v>
      </c>
      <c r="B5" s="2474"/>
      <c r="C5" s="2474"/>
      <c r="D5" s="2474"/>
      <c r="E5" s="2474"/>
      <c r="F5" s="2474"/>
      <c r="G5" s="1837"/>
      <c r="H5" s="1838"/>
      <c r="I5"/>
      <c r="J5"/>
      <c r="K5"/>
      <c r="L5"/>
    </row>
    <row r="6" spans="1:13" ht="15.75" x14ac:dyDescent="0.25">
      <c r="A6" s="1839" t="s">
        <v>395</v>
      </c>
      <c r="B6" s="1840">
        <v>26</v>
      </c>
      <c r="C6" s="2475" t="s">
        <v>396</v>
      </c>
      <c r="D6" s="2475"/>
      <c r="E6" s="2475"/>
      <c r="F6" s="2475"/>
      <c r="G6" s="1841"/>
      <c r="H6" s="1842"/>
      <c r="I6"/>
      <c r="J6"/>
      <c r="K6"/>
      <c r="L6"/>
    </row>
    <row r="7" spans="1:13" ht="15.75" x14ac:dyDescent="0.25">
      <c r="A7" s="1839" t="s">
        <v>397</v>
      </c>
      <c r="B7" s="1840">
        <v>8</v>
      </c>
      <c r="C7" s="2475" t="s">
        <v>523</v>
      </c>
      <c r="D7" s="2475"/>
      <c r="E7" s="1841"/>
      <c r="F7" s="1841"/>
      <c r="G7" s="1841"/>
      <c r="H7" s="1842"/>
      <c r="I7"/>
      <c r="J7" s="1843"/>
      <c r="K7" s="1843"/>
      <c r="L7" s="1843"/>
    </row>
    <row r="8" spans="1:13" ht="15.75" x14ac:dyDescent="0.25">
      <c r="A8" s="2476"/>
      <c r="B8" s="2476"/>
      <c r="C8" s="1840"/>
      <c r="D8" s="1844"/>
      <c r="E8" s="1842"/>
      <c r="F8" s="1842"/>
      <c r="G8" s="1842"/>
      <c r="H8" s="1842"/>
      <c r="I8"/>
      <c r="J8" s="1843"/>
      <c r="K8" s="1843"/>
      <c r="L8" s="1843"/>
    </row>
    <row r="9" spans="1:13" ht="15.75" x14ac:dyDescent="0.25">
      <c r="A9" s="1842"/>
      <c r="B9" s="1842"/>
      <c r="C9" s="1842"/>
      <c r="D9" s="1842"/>
      <c r="E9" s="1842"/>
      <c r="F9" s="1842"/>
      <c r="G9" s="1842"/>
      <c r="H9" s="1842"/>
      <c r="I9"/>
      <c r="J9"/>
      <c r="K9"/>
      <c r="L9"/>
    </row>
    <row r="10" spans="1:13" ht="15.75" x14ac:dyDescent="0.25">
      <c r="A10" s="1845"/>
      <c r="B10" s="1846"/>
      <c r="C10" s="1846"/>
      <c r="D10" s="1846"/>
      <c r="E10" s="1846"/>
      <c r="F10" s="1846"/>
      <c r="G10" s="1846"/>
      <c r="H10" s="1846"/>
      <c r="I10"/>
      <c r="J10"/>
      <c r="K10"/>
      <c r="L10"/>
    </row>
    <row r="11" spans="1:13" ht="15.75" x14ac:dyDescent="0.25">
      <c r="A11" s="1847"/>
      <c r="B11" s="1847"/>
      <c r="C11" s="1847"/>
      <c r="D11" s="1847"/>
      <c r="E11" s="1847"/>
      <c r="F11" s="1847"/>
      <c r="G11" s="1847"/>
      <c r="H11" s="1848"/>
      <c r="I11"/>
      <c r="J11"/>
      <c r="K11"/>
      <c r="L11"/>
    </row>
    <row r="12" spans="1:13" ht="15.75" x14ac:dyDescent="0.25">
      <c r="A12" s="1847"/>
      <c r="B12" s="1847"/>
      <c r="C12" s="1847"/>
      <c r="D12" s="1847"/>
      <c r="E12" s="1847"/>
      <c r="F12" s="1847"/>
      <c r="G12" s="1847"/>
      <c r="H12" s="1849"/>
      <c r="I12"/>
      <c r="J12"/>
      <c r="K12"/>
      <c r="L12"/>
    </row>
    <row r="13" spans="1:13" ht="15.75" x14ac:dyDescent="0.25">
      <c r="A13" s="2477"/>
      <c r="B13" s="2477"/>
      <c r="C13" s="2477"/>
      <c r="D13" s="2477"/>
      <c r="E13" s="2477"/>
      <c r="F13" s="2477"/>
      <c r="G13" s="2477"/>
      <c r="H13" s="1848"/>
      <c r="I13"/>
      <c r="J13"/>
      <c r="K13"/>
      <c r="L13"/>
    </row>
    <row r="14" spans="1:13" ht="15.75" x14ac:dyDescent="0.25">
      <c r="A14" s="2470"/>
      <c r="B14" s="2470"/>
      <c r="C14" s="2470"/>
      <c r="D14" s="2470"/>
      <c r="E14" s="2470"/>
      <c r="F14" s="2470"/>
      <c r="G14" s="2470"/>
      <c r="H14" s="1849"/>
      <c r="I14"/>
      <c r="J14"/>
      <c r="K14"/>
      <c r="L14"/>
    </row>
    <row r="15" spans="1:13" ht="15.75" x14ac:dyDescent="0.25">
      <c r="A15" s="2478"/>
      <c r="B15" s="2478"/>
      <c r="C15" s="2478"/>
      <c r="D15" s="2478"/>
      <c r="E15" s="2478"/>
      <c r="F15" s="2478"/>
      <c r="G15" s="2478"/>
      <c r="H15" s="2478"/>
      <c r="I15"/>
      <c r="J15"/>
      <c r="K15"/>
      <c r="L15"/>
    </row>
    <row r="16" spans="1:13" ht="15.75" x14ac:dyDescent="0.25">
      <c r="A16" s="1850"/>
      <c r="B16" s="1846"/>
      <c r="C16" s="1846"/>
      <c r="D16" s="1846"/>
      <c r="E16" s="1846"/>
      <c r="F16" s="1846"/>
      <c r="G16" s="1846"/>
      <c r="H16" s="1846"/>
      <c r="I16"/>
      <c r="J16"/>
      <c r="K16"/>
      <c r="L16"/>
      <c r="M16"/>
    </row>
    <row r="17" spans="1:13" ht="15.75" x14ac:dyDescent="0.25">
      <c r="A17" s="1850"/>
      <c r="B17" s="1846"/>
      <c r="C17" s="1846"/>
      <c r="D17" s="1846"/>
      <c r="E17" s="1846"/>
      <c r="F17" s="1846"/>
      <c r="G17" s="1846"/>
      <c r="H17" s="1846"/>
      <c r="I17"/>
      <c r="J17"/>
      <c r="K17"/>
      <c r="L17"/>
      <c r="M17"/>
    </row>
    <row r="18" spans="1:13" ht="15.75" x14ac:dyDescent="0.25">
      <c r="A18" s="1850"/>
      <c r="B18" s="1846"/>
      <c r="C18" s="1846"/>
      <c r="D18" s="1846"/>
      <c r="E18" s="1846"/>
      <c r="F18" s="1846"/>
      <c r="G18" s="1846"/>
      <c r="H18" s="1846"/>
      <c r="I18"/>
      <c r="J18"/>
      <c r="K18"/>
      <c r="L18"/>
      <c r="M18"/>
    </row>
    <row r="19" spans="1:13" ht="15.75" x14ac:dyDescent="0.25">
      <c r="A19" s="2470"/>
      <c r="B19" s="2470"/>
      <c r="C19" s="2470"/>
      <c r="D19" s="2470"/>
      <c r="E19" s="2470"/>
      <c r="F19" s="2470"/>
      <c r="G19" s="2470"/>
      <c r="H19" s="2470"/>
      <c r="I19"/>
      <c r="J19"/>
      <c r="K19"/>
      <c r="L19"/>
      <c r="M19"/>
    </row>
    <row r="20" spans="1:13" ht="15.75" x14ac:dyDescent="0.25">
      <c r="A20" s="2470"/>
      <c r="B20" s="2470"/>
      <c r="C20" s="2470"/>
      <c r="D20" s="2470"/>
      <c r="E20" s="2470"/>
      <c r="F20" s="2470"/>
      <c r="G20" s="2470"/>
      <c r="H20" s="1848"/>
      <c r="I20"/>
      <c r="J20"/>
      <c r="K20"/>
      <c r="L20"/>
      <c r="M20"/>
    </row>
    <row r="24" spans="1:13" ht="28.5" customHeight="1" x14ac:dyDescent="0.2"/>
    <row r="25" spans="1:13" ht="37.5" customHeight="1" x14ac:dyDescent="0.2">
      <c r="A25" s="2480" t="s">
        <v>402</v>
      </c>
      <c r="B25" s="2480"/>
      <c r="C25" s="2480"/>
      <c r="D25" s="2480"/>
      <c r="E25" s="2480"/>
      <c r="F25" s="2480"/>
      <c r="G25" s="1851"/>
      <c r="H25" s="1851"/>
      <c r="I25" s="1851"/>
      <c r="J25" s="1851"/>
      <c r="K25" s="1851"/>
      <c r="L25" s="1851"/>
      <c r="M25" s="1851"/>
    </row>
    <row r="26" spans="1:13" ht="33" customHeight="1" x14ac:dyDescent="0.2">
      <c r="A26" s="2481" t="s">
        <v>401</v>
      </c>
      <c r="B26" s="2481"/>
      <c r="C26" s="2481"/>
      <c r="D26" s="2481"/>
      <c r="E26" s="2481"/>
      <c r="F26" s="2481"/>
      <c r="G26" s="1852"/>
      <c r="H26" s="1852"/>
      <c r="I26" s="1852"/>
      <c r="J26" s="1852"/>
      <c r="K26" s="1852"/>
      <c r="L26" s="1852"/>
      <c r="M26" s="1852"/>
    </row>
    <row r="27" spans="1:13" ht="32.25" customHeight="1" x14ac:dyDescent="0.2">
      <c r="A27" s="2481" t="s">
        <v>399</v>
      </c>
      <c r="B27" s="2481"/>
      <c r="C27" s="2481"/>
      <c r="D27" s="2481"/>
      <c r="E27" s="2481"/>
      <c r="F27" s="2481"/>
      <c r="G27" s="1852"/>
      <c r="H27" s="1852"/>
      <c r="I27" s="1852"/>
      <c r="J27" s="1852"/>
      <c r="K27" s="1852"/>
      <c r="L27" s="1852"/>
      <c r="M27" s="1852"/>
    </row>
    <row r="28" spans="1:13" ht="30" customHeight="1" x14ac:dyDescent="0.2">
      <c r="A28" s="2481" t="s">
        <v>400</v>
      </c>
      <c r="B28" s="2481"/>
      <c r="C28" s="2481"/>
      <c r="D28" s="2481"/>
      <c r="E28" s="2481"/>
      <c r="F28" s="2481"/>
      <c r="G28" s="1852"/>
      <c r="H28" s="1852"/>
      <c r="I28" s="1852"/>
      <c r="J28" s="1852"/>
      <c r="K28" s="1852"/>
      <c r="L28" s="1852"/>
      <c r="M28" s="1852"/>
    </row>
    <row r="29" spans="1:13" ht="126" customHeight="1" x14ac:dyDescent="0.25">
      <c r="A29" s="2479"/>
      <c r="B29" s="2479"/>
      <c r="C29" s="2479"/>
      <c r="D29" s="2479"/>
      <c r="E29" s="2479"/>
      <c r="F29" s="2479"/>
      <c r="G29" s="1854"/>
      <c r="H29" s="1854"/>
    </row>
  </sheetData>
  <mergeCells count="18">
    <mergeCell ref="A29:F29"/>
    <mergeCell ref="A20:G20"/>
    <mergeCell ref="A25:F25"/>
    <mergeCell ref="A26:F26"/>
    <mergeCell ref="A27:F27"/>
    <mergeCell ref="A28:F28"/>
    <mergeCell ref="A19:H19"/>
    <mergeCell ref="A1:F1"/>
    <mergeCell ref="A2:F2"/>
    <mergeCell ref="A3:F3"/>
    <mergeCell ref="A4:F4"/>
    <mergeCell ref="A5:F5"/>
    <mergeCell ref="C6:F6"/>
    <mergeCell ref="C7:D7"/>
    <mergeCell ref="A8:B8"/>
    <mergeCell ref="A13:G13"/>
    <mergeCell ref="A14:G14"/>
    <mergeCell ref="A15:H15"/>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17"/>
  <sheetViews>
    <sheetView zoomScaleNormal="100" zoomScaleSheetLayoutView="70" workbookViewId="0">
      <selection sqref="A1:O1"/>
    </sheetView>
  </sheetViews>
  <sheetFormatPr defaultColWidth="9.140625" defaultRowHeight="15" x14ac:dyDescent="0.25"/>
  <cols>
    <col min="1" max="3" width="3.28515625" style="1205" customWidth="1"/>
    <col min="4" max="4" width="25.28515625" style="1043" customWidth="1"/>
    <col min="5" max="5" width="3.28515625" style="1916" customWidth="1"/>
    <col min="6" max="6" width="3.140625" style="2287" customWidth="1"/>
    <col min="7" max="7" width="8.5703125" style="1043" customWidth="1"/>
    <col min="8" max="9" width="8.7109375" style="1205" customWidth="1"/>
    <col min="10" max="10" width="8.140625" style="1205" customWidth="1"/>
    <col min="11" max="11" width="24.28515625" style="1043" customWidth="1"/>
    <col min="12" max="12" width="8.42578125" style="2285" customWidth="1"/>
    <col min="13" max="13" width="6.7109375" style="2285" customWidth="1"/>
    <col min="14" max="14" width="20.85546875" style="2286" customWidth="1"/>
    <col min="15" max="15" width="24.28515625" style="2286" customWidth="1"/>
    <col min="16" max="16384" width="9.140625" style="1043"/>
  </cols>
  <sheetData>
    <row r="1" spans="1:16" s="1033" customFormat="1" ht="16.5" customHeight="1" x14ac:dyDescent="0.25">
      <c r="A1" s="2724" t="s">
        <v>380</v>
      </c>
      <c r="B1" s="2724"/>
      <c r="C1" s="2724"/>
      <c r="D1" s="2724"/>
      <c r="E1" s="2724"/>
      <c r="F1" s="2724"/>
      <c r="G1" s="2724"/>
      <c r="H1" s="2724"/>
      <c r="I1" s="2724"/>
      <c r="J1" s="2724"/>
      <c r="K1" s="2724"/>
      <c r="L1" s="2724"/>
      <c r="M1" s="2724"/>
      <c r="N1" s="2724"/>
      <c r="O1" s="2724"/>
      <c r="P1" s="1854"/>
    </row>
    <row r="2" spans="1:16" s="1034" customFormat="1" ht="16.5" customHeight="1" x14ac:dyDescent="0.25">
      <c r="A2" s="2725" t="s">
        <v>381</v>
      </c>
      <c r="B2" s="2725"/>
      <c r="C2" s="2725"/>
      <c r="D2" s="2725"/>
      <c r="E2" s="2725"/>
      <c r="F2" s="2725"/>
      <c r="G2" s="2725"/>
      <c r="H2" s="2725"/>
      <c r="I2" s="2725"/>
      <c r="J2" s="2725"/>
      <c r="K2" s="2725"/>
      <c r="L2" s="2725"/>
      <c r="M2" s="2725"/>
      <c r="N2" s="2725"/>
      <c r="O2" s="2725"/>
      <c r="P2" s="1856"/>
    </row>
    <row r="3" spans="1:16" s="2" customFormat="1" ht="21.75" customHeight="1" thickBot="1" x14ac:dyDescent="0.25">
      <c r="A3" s="2726" t="s">
        <v>3</v>
      </c>
      <c r="B3" s="2726"/>
      <c r="C3" s="2726"/>
      <c r="D3" s="2726"/>
      <c r="E3" s="2726"/>
      <c r="F3" s="2726"/>
      <c r="G3" s="2726"/>
      <c r="H3" s="2726"/>
      <c r="I3" s="2726"/>
      <c r="J3" s="2726"/>
      <c r="K3" s="2726"/>
      <c r="L3" s="2726"/>
      <c r="M3" s="2726"/>
      <c r="N3" s="2726"/>
      <c r="O3" s="2726"/>
    </row>
    <row r="4" spans="1:16" s="3" customFormat="1" ht="18.75" customHeight="1" x14ac:dyDescent="0.25">
      <c r="A4" s="2744" t="s">
        <v>4</v>
      </c>
      <c r="B4" s="2747" t="s">
        <v>5</v>
      </c>
      <c r="C4" s="2750" t="s">
        <v>6</v>
      </c>
      <c r="D4" s="2730" t="s">
        <v>7</v>
      </c>
      <c r="E4" s="2753" t="s">
        <v>8</v>
      </c>
      <c r="F4" s="2756" t="s">
        <v>10</v>
      </c>
      <c r="G4" s="2759" t="s">
        <v>11</v>
      </c>
      <c r="H4" s="2727" t="s">
        <v>444</v>
      </c>
      <c r="I4" s="2728"/>
      <c r="J4" s="2729"/>
      <c r="K4" s="2727" t="s">
        <v>15</v>
      </c>
      <c r="L4" s="2728"/>
      <c r="M4" s="2728"/>
      <c r="N4" s="2730" t="s">
        <v>382</v>
      </c>
      <c r="O4" s="2737" t="s">
        <v>383</v>
      </c>
    </row>
    <row r="5" spans="1:16" s="3" customFormat="1" ht="21" customHeight="1" x14ac:dyDescent="0.25">
      <c r="A5" s="2745"/>
      <c r="B5" s="2748"/>
      <c r="C5" s="2751"/>
      <c r="D5" s="2731"/>
      <c r="E5" s="2754"/>
      <c r="F5" s="2757"/>
      <c r="G5" s="2733"/>
      <c r="H5" s="2733" t="s">
        <v>445</v>
      </c>
      <c r="I5" s="2735" t="s">
        <v>446</v>
      </c>
      <c r="J5" s="2735" t="s">
        <v>447</v>
      </c>
      <c r="K5" s="2740" t="s">
        <v>7</v>
      </c>
      <c r="L5" s="2742" t="s">
        <v>384</v>
      </c>
      <c r="M5" s="2742" t="s">
        <v>385</v>
      </c>
      <c r="N5" s="2731"/>
      <c r="O5" s="2738"/>
    </row>
    <row r="6" spans="1:16" s="3" customFormat="1" ht="82.5" customHeight="1" thickBot="1" x14ac:dyDescent="0.3">
      <c r="A6" s="2746"/>
      <c r="B6" s="2749"/>
      <c r="C6" s="2752"/>
      <c r="D6" s="2732"/>
      <c r="E6" s="2755"/>
      <c r="F6" s="2758"/>
      <c r="G6" s="2734"/>
      <c r="H6" s="2734"/>
      <c r="I6" s="2736"/>
      <c r="J6" s="2736"/>
      <c r="K6" s="2741"/>
      <c r="L6" s="2743"/>
      <c r="M6" s="2743"/>
      <c r="N6" s="2732"/>
      <c r="O6" s="2739"/>
    </row>
    <row r="7" spans="1:16" s="2" customFormat="1" ht="16.5" customHeight="1" x14ac:dyDescent="0.25">
      <c r="A7" s="2762" t="s">
        <v>20</v>
      </c>
      <c r="B7" s="2763"/>
      <c r="C7" s="2763"/>
      <c r="D7" s="2763"/>
      <c r="E7" s="2763"/>
      <c r="F7" s="2763"/>
      <c r="G7" s="2763"/>
      <c r="H7" s="2763"/>
      <c r="I7" s="2763"/>
      <c r="J7" s="2763"/>
      <c r="K7" s="2763"/>
      <c r="L7" s="2763"/>
      <c r="M7" s="2763"/>
      <c r="N7" s="2763"/>
      <c r="O7" s="2764"/>
    </row>
    <row r="8" spans="1:16" s="2" customFormat="1" ht="16.5" customHeight="1" thickBot="1" x14ac:dyDescent="0.3">
      <c r="A8" s="2765" t="s">
        <v>21</v>
      </c>
      <c r="B8" s="2766"/>
      <c r="C8" s="2766"/>
      <c r="D8" s="2766"/>
      <c r="E8" s="2766"/>
      <c r="F8" s="2766"/>
      <c r="G8" s="2766"/>
      <c r="H8" s="2766"/>
      <c r="I8" s="2766"/>
      <c r="J8" s="2766"/>
      <c r="K8" s="2766"/>
      <c r="L8" s="2766"/>
      <c r="M8" s="2766"/>
      <c r="N8" s="2766"/>
      <c r="O8" s="2767"/>
      <c r="P8" s="3"/>
    </row>
    <row r="9" spans="1:16" s="3" customFormat="1" ht="68.25" customHeight="1" x14ac:dyDescent="0.25">
      <c r="A9" s="1857" t="s">
        <v>22</v>
      </c>
      <c r="B9" s="2768" t="s">
        <v>23</v>
      </c>
      <c r="C9" s="2769"/>
      <c r="D9" s="2769"/>
      <c r="E9" s="2769"/>
      <c r="F9" s="2769"/>
      <c r="G9" s="2769"/>
      <c r="H9" s="2769"/>
      <c r="I9" s="2769"/>
      <c r="J9" s="2770"/>
      <c r="K9" s="2288" t="s">
        <v>403</v>
      </c>
      <c r="L9" s="1858">
        <v>17</v>
      </c>
      <c r="M9" s="2009">
        <v>16</v>
      </c>
      <c r="N9" s="2010"/>
      <c r="O9" s="2011" t="s">
        <v>524</v>
      </c>
      <c r="P9" s="2012"/>
    </row>
    <row r="10" spans="1:16" s="3" customFormat="1" ht="80.25" customHeight="1" x14ac:dyDescent="0.25">
      <c r="A10" s="1859"/>
      <c r="B10" s="1860"/>
      <c r="C10" s="1861"/>
      <c r="D10" s="1861"/>
      <c r="E10" s="1861"/>
      <c r="F10" s="1861"/>
      <c r="G10" s="1861"/>
      <c r="H10" s="1861"/>
      <c r="I10" s="1861"/>
      <c r="J10" s="1861"/>
      <c r="K10" s="2289" t="s">
        <v>404</v>
      </c>
      <c r="L10" s="2290">
        <v>44</v>
      </c>
      <c r="M10" s="2013">
        <v>52</v>
      </c>
      <c r="N10" s="1862" t="s">
        <v>525</v>
      </c>
      <c r="O10" s="1971"/>
      <c r="P10" s="2012"/>
    </row>
    <row r="11" spans="1:16" s="3" customFormat="1" ht="68.25" customHeight="1" x14ac:dyDescent="0.25">
      <c r="A11" s="1859"/>
      <c r="B11" s="1860"/>
      <c r="C11" s="1861"/>
      <c r="D11" s="1861"/>
      <c r="E11" s="1861"/>
      <c r="F11" s="1861"/>
      <c r="G11" s="1861"/>
      <c r="H11" s="1861"/>
      <c r="I11" s="1861"/>
      <c r="J11" s="1861"/>
      <c r="K11" s="2289" t="s">
        <v>386</v>
      </c>
      <c r="L11" s="2290">
        <v>8</v>
      </c>
      <c r="M11" s="2013">
        <v>8</v>
      </c>
      <c r="N11" s="2771" t="s">
        <v>526</v>
      </c>
      <c r="O11" s="2772"/>
      <c r="P11" s="2015"/>
    </row>
    <row r="12" spans="1:16" s="3" customFormat="1" ht="68.25" customHeight="1" x14ac:dyDescent="0.25">
      <c r="A12" s="1859"/>
      <c r="B12" s="1860"/>
      <c r="C12" s="1861"/>
      <c r="D12" s="1861"/>
      <c r="E12" s="1861"/>
      <c r="F12" s="1861"/>
      <c r="G12" s="1861"/>
      <c r="H12" s="1861"/>
      <c r="I12" s="1861"/>
      <c r="J12" s="1861"/>
      <c r="K12" s="2289" t="s">
        <v>387</v>
      </c>
      <c r="L12" s="2290">
        <v>100</v>
      </c>
      <c r="M12" s="2013">
        <v>100</v>
      </c>
      <c r="N12" s="1862" t="s">
        <v>527</v>
      </c>
      <c r="O12" s="1971"/>
      <c r="P12" s="2016"/>
    </row>
    <row r="13" spans="1:16" s="3" customFormat="1" ht="69.75" customHeight="1" x14ac:dyDescent="0.25">
      <c r="A13" s="2399"/>
      <c r="B13" s="2400"/>
      <c r="C13" s="2401"/>
      <c r="D13" s="2401"/>
      <c r="E13" s="2401"/>
      <c r="F13" s="2401"/>
      <c r="G13" s="2401"/>
      <c r="H13" s="2401"/>
      <c r="I13" s="2401"/>
      <c r="J13" s="2402"/>
      <c r="K13" s="2289" t="s">
        <v>405</v>
      </c>
      <c r="L13" s="2290">
        <v>50</v>
      </c>
      <c r="M13" s="2013">
        <v>75</v>
      </c>
      <c r="N13" s="2771" t="s">
        <v>570</v>
      </c>
      <c r="O13" s="2772"/>
      <c r="P13" s="2012"/>
    </row>
    <row r="14" spans="1:16" s="3" customFormat="1" ht="70.5" customHeight="1" x14ac:dyDescent="0.25">
      <c r="A14" s="1859"/>
      <c r="B14" s="1860"/>
      <c r="C14" s="1861"/>
      <c r="D14" s="1861"/>
      <c r="E14" s="1861"/>
      <c r="F14" s="1861"/>
      <c r="G14" s="1861"/>
      <c r="H14" s="1861"/>
      <c r="I14" s="1861"/>
      <c r="J14" s="2017"/>
      <c r="K14" s="2291" t="s">
        <v>448</v>
      </c>
      <c r="L14" s="2023">
        <v>96</v>
      </c>
      <c r="M14" s="2018">
        <v>57</v>
      </c>
      <c r="N14" s="2019"/>
      <c r="O14" s="2020"/>
      <c r="P14" s="2012"/>
    </row>
    <row r="15" spans="1:16" s="3" customFormat="1" ht="104.25" customHeight="1" x14ac:dyDescent="0.25">
      <c r="A15" s="1859"/>
      <c r="B15" s="1860"/>
      <c r="C15" s="1861"/>
      <c r="D15" s="1861"/>
      <c r="E15" s="1861"/>
      <c r="F15" s="1861"/>
      <c r="G15" s="1861"/>
      <c r="H15" s="1861"/>
      <c r="I15" s="1861"/>
      <c r="J15" s="1861"/>
      <c r="K15" s="2291" t="s">
        <v>449</v>
      </c>
      <c r="L15" s="2023">
        <v>4</v>
      </c>
      <c r="M15" s="2018">
        <v>1</v>
      </c>
      <c r="N15" s="2340" t="s">
        <v>528</v>
      </c>
      <c r="O15" s="2020"/>
      <c r="P15" s="2012"/>
    </row>
    <row r="16" spans="1:16" s="3" customFormat="1" ht="102" customHeight="1" x14ac:dyDescent="0.25">
      <c r="A16" s="1859"/>
      <c r="B16" s="1860"/>
      <c r="C16" s="1861"/>
      <c r="D16" s="1861"/>
      <c r="E16" s="1861"/>
      <c r="F16" s="1861"/>
      <c r="G16" s="1861"/>
      <c r="H16" s="1861"/>
      <c r="I16" s="1861"/>
      <c r="J16" s="1861"/>
      <c r="K16" s="2289" t="s">
        <v>450</v>
      </c>
      <c r="L16" s="2290">
        <v>169</v>
      </c>
      <c r="M16" s="2013">
        <v>97</v>
      </c>
      <c r="N16" s="1862" t="s">
        <v>529</v>
      </c>
      <c r="O16" s="1971"/>
      <c r="P16" s="2016"/>
    </row>
    <row r="17" spans="1:16" s="3" customFormat="1" ht="95.25" customHeight="1" x14ac:dyDescent="0.25">
      <c r="A17" s="1859"/>
      <c r="B17" s="1860"/>
      <c r="C17" s="1861"/>
      <c r="D17" s="1861"/>
      <c r="E17" s="1861"/>
      <c r="F17" s="1861"/>
      <c r="G17" s="1861"/>
      <c r="H17" s="1861"/>
      <c r="I17" s="1861"/>
      <c r="J17" s="1861"/>
      <c r="K17" s="2289" t="s">
        <v>406</v>
      </c>
      <c r="L17" s="2290">
        <v>35</v>
      </c>
      <c r="M17" s="2013">
        <v>46</v>
      </c>
      <c r="N17" s="2771" t="s">
        <v>530</v>
      </c>
      <c r="O17" s="2772"/>
      <c r="P17" s="2016"/>
    </row>
    <row r="18" spans="1:16" s="3" customFormat="1" ht="67.5" customHeight="1" x14ac:dyDescent="0.25">
      <c r="A18" s="1859"/>
      <c r="B18" s="1860"/>
      <c r="C18" s="1861"/>
      <c r="D18" s="1861"/>
      <c r="E18" s="1861"/>
      <c r="F18" s="1861"/>
      <c r="G18" s="1861"/>
      <c r="H18" s="1861"/>
      <c r="I18" s="1861"/>
      <c r="J18" s="1861"/>
      <c r="K18" s="2289" t="s">
        <v>388</v>
      </c>
      <c r="L18" s="2292">
        <v>72</v>
      </c>
      <c r="M18" s="2022">
        <v>61</v>
      </c>
      <c r="N18" s="2014"/>
      <c r="O18" s="2021"/>
      <c r="P18" s="2012"/>
    </row>
    <row r="19" spans="1:16" s="3" customFormat="1" ht="43.5" customHeight="1" x14ac:dyDescent="0.25">
      <c r="A19" s="2399"/>
      <c r="B19" s="2400"/>
      <c r="C19" s="2401"/>
      <c r="D19" s="2401"/>
      <c r="E19" s="2401"/>
      <c r="F19" s="2401"/>
      <c r="G19" s="2401"/>
      <c r="H19" s="2401"/>
      <c r="I19" s="2401"/>
      <c r="J19" s="2401"/>
      <c r="K19" s="2289" t="s">
        <v>389</v>
      </c>
      <c r="L19" s="2290">
        <v>6200</v>
      </c>
      <c r="M19" s="2013">
        <v>6304</v>
      </c>
      <c r="N19" s="2014"/>
      <c r="O19" s="2021"/>
      <c r="P19" s="2016"/>
    </row>
    <row r="20" spans="1:16" s="3" customFormat="1" ht="42" customHeight="1" x14ac:dyDescent="0.25">
      <c r="A20" s="1859"/>
      <c r="B20" s="1860"/>
      <c r="C20" s="1861"/>
      <c r="D20" s="1861"/>
      <c r="E20" s="1861"/>
      <c r="F20" s="1861"/>
      <c r="G20" s="1861"/>
      <c r="H20" s="1861"/>
      <c r="I20" s="1861"/>
      <c r="J20" s="2017"/>
      <c r="K20" s="2291" t="s">
        <v>390</v>
      </c>
      <c r="L20" s="2023">
        <v>70</v>
      </c>
      <c r="M20" s="2018">
        <v>66</v>
      </c>
      <c r="N20" s="2019"/>
      <c r="O20" s="2020"/>
      <c r="P20" s="2016"/>
    </row>
    <row r="21" spans="1:16" s="3" customFormat="1" ht="29.25" customHeight="1" x14ac:dyDescent="0.25">
      <c r="A21" s="1859"/>
      <c r="B21" s="1860"/>
      <c r="C21" s="1861"/>
      <c r="D21" s="1861"/>
      <c r="E21" s="1861"/>
      <c r="F21" s="1861"/>
      <c r="G21" s="1861"/>
      <c r="H21" s="1861"/>
      <c r="I21" s="1861"/>
      <c r="J21" s="1861"/>
      <c r="K21" s="2291" t="s">
        <v>451</v>
      </c>
      <c r="L21" s="2023"/>
      <c r="M21" s="2023"/>
      <c r="N21" s="2773" t="s">
        <v>531</v>
      </c>
      <c r="O21" s="2719" t="s">
        <v>532</v>
      </c>
      <c r="P21" s="2016"/>
    </row>
    <row r="22" spans="1:16" s="3" customFormat="1" ht="17.25" customHeight="1" x14ac:dyDescent="0.25">
      <c r="A22" s="1859"/>
      <c r="B22" s="1860"/>
      <c r="C22" s="1861"/>
      <c r="D22" s="1861"/>
      <c r="E22" s="1861"/>
      <c r="F22" s="1861"/>
      <c r="G22" s="1861"/>
      <c r="H22" s="1861"/>
      <c r="I22" s="1861"/>
      <c r="J22" s="1861"/>
      <c r="K22" s="2291" t="s">
        <v>407</v>
      </c>
      <c r="L22" s="2023">
        <v>10</v>
      </c>
      <c r="M22" s="2018">
        <v>9</v>
      </c>
      <c r="N22" s="2773"/>
      <c r="O22" s="2719"/>
      <c r="P22" s="2016"/>
    </row>
    <row r="23" spans="1:16" s="3" customFormat="1" ht="59.25" customHeight="1" x14ac:dyDescent="0.25">
      <c r="A23" s="1859"/>
      <c r="B23" s="1860"/>
      <c r="C23" s="1861"/>
      <c r="D23" s="1861"/>
      <c r="E23" s="1861"/>
      <c r="F23" s="1861"/>
      <c r="G23" s="1861"/>
      <c r="H23" s="1861"/>
      <c r="I23" s="1861"/>
      <c r="J23" s="1861"/>
      <c r="K23" s="2291" t="s">
        <v>408</v>
      </c>
      <c r="L23" s="2023">
        <v>36</v>
      </c>
      <c r="M23" s="2018">
        <v>0</v>
      </c>
      <c r="N23" s="2774"/>
      <c r="O23" s="2570"/>
      <c r="P23" s="2016"/>
    </row>
    <row r="24" spans="1:16" s="3" customFormat="1" ht="70.5" customHeight="1" x14ac:dyDescent="0.25">
      <c r="A24" s="1859"/>
      <c r="B24" s="1860"/>
      <c r="C24" s="1861"/>
      <c r="D24" s="1861"/>
      <c r="E24" s="1861"/>
      <c r="F24" s="1861"/>
      <c r="G24" s="1861"/>
      <c r="H24" s="1861"/>
      <c r="I24" s="1861"/>
      <c r="J24" s="1861"/>
      <c r="K24" s="2289" t="s">
        <v>409</v>
      </c>
      <c r="L24" s="2290">
        <v>8</v>
      </c>
      <c r="M24" s="2013">
        <v>8.7799999999999994</v>
      </c>
      <c r="N24" s="2771" t="s">
        <v>533</v>
      </c>
      <c r="O24" s="2772"/>
      <c r="P24" s="2015"/>
    </row>
    <row r="25" spans="1:16" s="3" customFormat="1" ht="67.5" customHeight="1" x14ac:dyDescent="0.25">
      <c r="A25" s="1859"/>
      <c r="B25" s="1860"/>
      <c r="C25" s="1861"/>
      <c r="D25" s="1861"/>
      <c r="E25" s="1861"/>
      <c r="F25" s="1861"/>
      <c r="G25" s="1861"/>
      <c r="H25" s="1861"/>
      <c r="I25" s="1861"/>
      <c r="J25" s="1861"/>
      <c r="K25" s="2289" t="s">
        <v>410</v>
      </c>
      <c r="L25" s="2290">
        <v>1</v>
      </c>
      <c r="M25" s="2013">
        <v>1</v>
      </c>
      <c r="N25" s="2014"/>
      <c r="O25" s="2021"/>
      <c r="P25" s="2016"/>
    </row>
    <row r="26" spans="1:16" s="3" customFormat="1" ht="67.5" customHeight="1" x14ac:dyDescent="0.25">
      <c r="A26" s="1859"/>
      <c r="B26" s="1860"/>
      <c r="C26" s="1861"/>
      <c r="D26" s="1861"/>
      <c r="E26" s="1861"/>
      <c r="F26" s="1861"/>
      <c r="G26" s="1861"/>
      <c r="H26" s="1861"/>
      <c r="I26" s="1861"/>
      <c r="J26" s="1861"/>
      <c r="K26" s="2289" t="s">
        <v>391</v>
      </c>
      <c r="L26" s="2290">
        <v>92</v>
      </c>
      <c r="M26" s="2013">
        <v>94</v>
      </c>
      <c r="N26" s="2014"/>
      <c r="O26" s="2021"/>
      <c r="P26" s="2016"/>
    </row>
    <row r="27" spans="1:16" s="3" customFormat="1" ht="45" customHeight="1" x14ac:dyDescent="0.25">
      <c r="A27" s="1859"/>
      <c r="B27" s="1860"/>
      <c r="C27" s="1861"/>
      <c r="D27" s="1861"/>
      <c r="E27" s="1861"/>
      <c r="F27" s="1861"/>
      <c r="G27" s="1861"/>
      <c r="H27" s="1861"/>
      <c r="I27" s="1861"/>
      <c r="J27" s="1861"/>
      <c r="K27" s="2289" t="s">
        <v>392</v>
      </c>
      <c r="L27" s="2290">
        <v>35</v>
      </c>
      <c r="M27" s="2013">
        <v>67</v>
      </c>
      <c r="N27" s="2024"/>
      <c r="O27" s="2025"/>
      <c r="P27" s="2016"/>
    </row>
    <row r="28" spans="1:16" s="3" customFormat="1" ht="80.25" customHeight="1" thickBot="1" x14ac:dyDescent="0.3">
      <c r="A28" s="1859"/>
      <c r="B28" s="1860"/>
      <c r="C28" s="1861"/>
      <c r="D28" s="1861"/>
      <c r="E28" s="1861"/>
      <c r="F28" s="1861"/>
      <c r="G28" s="1861"/>
      <c r="H28" s="1861"/>
      <c r="I28" s="1861"/>
      <c r="J28" s="1861"/>
      <c r="K28" s="2289" t="s">
        <v>452</v>
      </c>
      <c r="L28" s="2290">
        <v>40</v>
      </c>
      <c r="M28" s="2013">
        <v>31</v>
      </c>
      <c r="N28" s="2779" t="s">
        <v>534</v>
      </c>
      <c r="O28" s="2780"/>
      <c r="P28" s="2016"/>
    </row>
    <row r="29" spans="1:16" s="3" customFormat="1" ht="16.5" customHeight="1" thickBot="1" x14ac:dyDescent="0.3">
      <c r="A29" s="2026" t="s">
        <v>22</v>
      </c>
      <c r="B29" s="2781" t="s">
        <v>23</v>
      </c>
      <c r="C29" s="2781"/>
      <c r="D29" s="2781"/>
      <c r="E29" s="2781"/>
      <c r="F29" s="2781"/>
      <c r="G29" s="2781"/>
      <c r="H29" s="2781"/>
      <c r="I29" s="2781"/>
      <c r="J29" s="2781"/>
      <c r="K29" s="2781"/>
      <c r="L29" s="2781"/>
      <c r="M29" s="2781"/>
      <c r="N29" s="2781"/>
      <c r="O29" s="2782"/>
    </row>
    <row r="30" spans="1:16" s="3" customFormat="1" ht="18" customHeight="1" thickBot="1" x14ac:dyDescent="0.3">
      <c r="A30" s="1863" t="s">
        <v>22</v>
      </c>
      <c r="B30" s="2027" t="s">
        <v>22</v>
      </c>
      <c r="C30" s="2783" t="s">
        <v>24</v>
      </c>
      <c r="D30" s="2783"/>
      <c r="E30" s="2783"/>
      <c r="F30" s="2783"/>
      <c r="G30" s="2784"/>
      <c r="H30" s="2784"/>
      <c r="I30" s="2784"/>
      <c r="J30" s="2784"/>
      <c r="K30" s="2784"/>
      <c r="L30" s="2784"/>
      <c r="M30" s="2784"/>
      <c r="N30" s="2784"/>
      <c r="O30" s="2785"/>
    </row>
    <row r="31" spans="1:16" s="3" customFormat="1" ht="30.75" customHeight="1" x14ac:dyDescent="0.25">
      <c r="A31" s="2359" t="s">
        <v>22</v>
      </c>
      <c r="B31" s="9" t="s">
        <v>22</v>
      </c>
      <c r="C31" s="10" t="s">
        <v>22</v>
      </c>
      <c r="D31" s="11" t="s">
        <v>25</v>
      </c>
      <c r="E31" s="2405"/>
      <c r="F31" s="2406" t="s">
        <v>27</v>
      </c>
      <c r="G31" s="468" t="s">
        <v>31</v>
      </c>
      <c r="H31" s="2407">
        <v>3028.7</v>
      </c>
      <c r="I31" s="2408">
        <v>2839.3</v>
      </c>
      <c r="J31" s="2408">
        <v>2107.6</v>
      </c>
      <c r="K31" s="539" t="s">
        <v>33</v>
      </c>
      <c r="L31" s="334">
        <v>1055</v>
      </c>
      <c r="M31" s="16">
        <v>1095</v>
      </c>
      <c r="N31" s="2029"/>
      <c r="O31" s="335"/>
    </row>
    <row r="32" spans="1:16" s="3" customFormat="1" ht="39.75" customHeight="1" x14ac:dyDescent="0.25">
      <c r="A32" s="1958"/>
      <c r="B32" s="2000"/>
      <c r="C32" s="19"/>
      <c r="D32" s="2403"/>
      <c r="E32" s="1864"/>
      <c r="F32" s="1963"/>
      <c r="G32" s="1340" t="s">
        <v>28</v>
      </c>
      <c r="H32" s="188">
        <v>780.3</v>
      </c>
      <c r="I32" s="2030">
        <v>780.3</v>
      </c>
      <c r="J32" s="2030">
        <v>647.70000000000005</v>
      </c>
      <c r="K32" s="2404" t="s">
        <v>34</v>
      </c>
      <c r="L32" s="66">
        <v>5200</v>
      </c>
      <c r="M32" s="67">
        <v>3732</v>
      </c>
      <c r="N32" s="2777" t="s">
        <v>535</v>
      </c>
      <c r="O32" s="2778"/>
    </row>
    <row r="33" spans="1:16" s="3" customFormat="1" ht="54" customHeight="1" x14ac:dyDescent="0.25">
      <c r="A33" s="1958"/>
      <c r="B33" s="2000"/>
      <c r="C33" s="19"/>
      <c r="D33" s="2403"/>
      <c r="E33" s="1864"/>
      <c r="F33" s="1963"/>
      <c r="G33" s="1340"/>
      <c r="H33" s="1421"/>
      <c r="I33" s="2030"/>
      <c r="J33" s="2030"/>
      <c r="K33" s="113" t="s">
        <v>35</v>
      </c>
      <c r="L33" s="1989">
        <v>100</v>
      </c>
      <c r="M33" s="1986">
        <v>180</v>
      </c>
      <c r="N33" s="497"/>
      <c r="O33" s="1987"/>
    </row>
    <row r="34" spans="1:16" s="3" customFormat="1" ht="54.75" customHeight="1" x14ac:dyDescent="0.25">
      <c r="A34" s="1958"/>
      <c r="B34" s="2000"/>
      <c r="C34" s="19"/>
      <c r="D34" s="2031" t="s">
        <v>30</v>
      </c>
      <c r="E34" s="1864"/>
      <c r="F34" s="1963"/>
      <c r="G34" s="28"/>
      <c r="H34" s="120"/>
      <c r="I34" s="2032"/>
      <c r="J34" s="2032"/>
      <c r="K34" s="162" t="s">
        <v>267</v>
      </c>
      <c r="L34" s="1325">
        <v>5</v>
      </c>
      <c r="M34" s="1986">
        <v>5</v>
      </c>
      <c r="N34" s="497"/>
      <c r="O34" s="1987"/>
    </row>
    <row r="35" spans="1:16" s="3" customFormat="1" ht="27" customHeight="1" x14ac:dyDescent="0.25">
      <c r="A35" s="1958"/>
      <c r="B35" s="2000"/>
      <c r="C35" s="19"/>
      <c r="D35" s="2031"/>
      <c r="E35" s="1864"/>
      <c r="F35" s="1963"/>
      <c r="G35" s="28"/>
      <c r="H35" s="2033"/>
      <c r="I35" s="2034"/>
      <c r="J35" s="2034"/>
      <c r="K35" s="2786" t="s">
        <v>266</v>
      </c>
      <c r="L35" s="30">
        <v>180</v>
      </c>
      <c r="M35" s="1939">
        <v>162</v>
      </c>
      <c r="N35" s="544"/>
      <c r="O35" s="2137" t="s">
        <v>536</v>
      </c>
    </row>
    <row r="36" spans="1:16" s="3" customFormat="1" ht="17.25" customHeight="1" x14ac:dyDescent="0.25">
      <c r="A36" s="1958"/>
      <c r="B36" s="2000"/>
      <c r="C36" s="1190"/>
      <c r="D36" s="1969"/>
      <c r="E36" s="1864"/>
      <c r="F36" s="1963"/>
      <c r="G36" s="36" t="s">
        <v>36</v>
      </c>
      <c r="H36" s="134">
        <f>SUM(H31:H35)</f>
        <v>3809</v>
      </c>
      <c r="I36" s="2035">
        <f>SUM(I31:I35)</f>
        <v>3619.6000000000004</v>
      </c>
      <c r="J36" s="2036">
        <f>SUM(J31:J35)</f>
        <v>2755.3</v>
      </c>
      <c r="K36" s="2787"/>
      <c r="L36" s="320"/>
      <c r="M36" s="1936"/>
      <c r="N36" s="83"/>
      <c r="O36" s="2145"/>
    </row>
    <row r="37" spans="1:16" s="3" customFormat="1" ht="30" customHeight="1" x14ac:dyDescent="0.25">
      <c r="A37" s="1958"/>
      <c r="B37" s="2000"/>
      <c r="C37" s="19"/>
      <c r="D37" s="2697" t="s">
        <v>37</v>
      </c>
      <c r="E37" s="2760" t="s">
        <v>319</v>
      </c>
      <c r="F37" s="1963"/>
      <c r="G37" s="22" t="s">
        <v>28</v>
      </c>
      <c r="H37" s="1870">
        <v>2018.8</v>
      </c>
      <c r="I37" s="2037">
        <v>3018.5</v>
      </c>
      <c r="J37" s="2037">
        <v>2772.1</v>
      </c>
      <c r="K37" s="2620" t="s">
        <v>38</v>
      </c>
      <c r="L37" s="45">
        <v>657</v>
      </c>
      <c r="M37" s="46">
        <v>685</v>
      </c>
      <c r="N37" s="2775"/>
      <c r="O37" s="2776"/>
    </row>
    <row r="38" spans="1:16" s="3" customFormat="1" ht="16.5" customHeight="1" x14ac:dyDescent="0.25">
      <c r="A38" s="1958"/>
      <c r="B38" s="2000"/>
      <c r="C38" s="1190"/>
      <c r="D38" s="2698"/>
      <c r="E38" s="2761"/>
      <c r="F38" s="1963"/>
      <c r="G38" s="50" t="s">
        <v>36</v>
      </c>
      <c r="H38" s="1527">
        <f>SUM(H37:H37)</f>
        <v>2018.8</v>
      </c>
      <c r="I38" s="2036">
        <f>SUM(I37:I37)</f>
        <v>3018.5</v>
      </c>
      <c r="J38" s="2036">
        <f>SUM(J37:J37)</f>
        <v>2772.1</v>
      </c>
      <c r="K38" s="2621"/>
      <c r="L38" s="758"/>
      <c r="M38" s="759"/>
      <c r="N38" s="2777"/>
      <c r="O38" s="2778"/>
    </row>
    <row r="39" spans="1:16" s="3" customFormat="1" ht="27.75" customHeight="1" x14ac:dyDescent="0.25">
      <c r="A39" s="1958"/>
      <c r="B39" s="2000"/>
      <c r="C39" s="19"/>
      <c r="D39" s="2697" t="s">
        <v>39</v>
      </c>
      <c r="E39" s="1866"/>
      <c r="F39" s="1963"/>
      <c r="G39" s="35" t="s">
        <v>28</v>
      </c>
      <c r="H39" s="176">
        <v>480.1</v>
      </c>
      <c r="I39" s="2038">
        <v>480.1</v>
      </c>
      <c r="J39" s="2038">
        <v>494.1</v>
      </c>
      <c r="K39" s="2699" t="s">
        <v>40</v>
      </c>
      <c r="L39" s="2701">
        <v>36</v>
      </c>
      <c r="M39" s="2703">
        <v>41</v>
      </c>
      <c r="N39" s="2705" t="s">
        <v>537</v>
      </c>
      <c r="O39" s="1833"/>
    </row>
    <row r="40" spans="1:16" s="3" customFormat="1" ht="16.5" customHeight="1" x14ac:dyDescent="0.25">
      <c r="A40" s="1958"/>
      <c r="B40" s="2000"/>
      <c r="C40" s="1190"/>
      <c r="D40" s="2698"/>
      <c r="E40" s="1867"/>
      <c r="F40" s="1963"/>
      <c r="G40" s="50" t="s">
        <v>36</v>
      </c>
      <c r="H40" s="1527">
        <f>+H39</f>
        <v>480.1</v>
      </c>
      <c r="I40" s="2036">
        <f>+I39</f>
        <v>480.1</v>
      </c>
      <c r="J40" s="2036">
        <f>+J39</f>
        <v>494.1</v>
      </c>
      <c r="K40" s="2700"/>
      <c r="L40" s="2702"/>
      <c r="M40" s="2704"/>
      <c r="N40" s="2706"/>
      <c r="O40" s="1997"/>
    </row>
    <row r="41" spans="1:16" s="3" customFormat="1" ht="37.5" customHeight="1" x14ac:dyDescent="0.25">
      <c r="A41" s="1958"/>
      <c r="B41" s="2000"/>
      <c r="C41" s="19"/>
      <c r="D41" s="2697" t="s">
        <v>41</v>
      </c>
      <c r="E41" s="2707" t="s">
        <v>311</v>
      </c>
      <c r="F41" s="1963"/>
      <c r="G41" s="35" t="s">
        <v>28</v>
      </c>
      <c r="H41" s="1831">
        <v>469.2</v>
      </c>
      <c r="I41" s="2040">
        <v>387.2</v>
      </c>
      <c r="J41" s="1831">
        <v>296.2</v>
      </c>
      <c r="K41" s="2699" t="s">
        <v>42</v>
      </c>
      <c r="L41" s="2041" t="s">
        <v>453</v>
      </c>
      <c r="M41" s="2042" t="s">
        <v>454</v>
      </c>
      <c r="N41" s="2712" t="s">
        <v>538</v>
      </c>
      <c r="O41" s="2713"/>
    </row>
    <row r="42" spans="1:16" s="3" customFormat="1" ht="16.5" customHeight="1" x14ac:dyDescent="0.25">
      <c r="A42" s="1958"/>
      <c r="B42" s="2000"/>
      <c r="C42" s="19"/>
      <c r="D42" s="2697"/>
      <c r="E42" s="2708"/>
      <c r="F42" s="1963"/>
      <c r="G42" s="50" t="s">
        <v>36</v>
      </c>
      <c r="H42" s="37">
        <f>+H41</f>
        <v>469.2</v>
      </c>
      <c r="I42" s="2035">
        <f>+I41</f>
        <v>387.2</v>
      </c>
      <c r="J42" s="2035">
        <f>+J41</f>
        <v>296.2</v>
      </c>
      <c r="K42" s="2699"/>
      <c r="L42" s="2043" t="s">
        <v>453</v>
      </c>
      <c r="M42" s="2044" t="s">
        <v>455</v>
      </c>
      <c r="N42" s="2714"/>
      <c r="O42" s="2715"/>
    </row>
    <row r="43" spans="1:16" s="3" customFormat="1" ht="39.75" customHeight="1" x14ac:dyDescent="0.25">
      <c r="A43" s="2597"/>
      <c r="B43" s="2599"/>
      <c r="C43" s="2397"/>
      <c r="D43" s="2709" t="s">
        <v>45</v>
      </c>
      <c r="E43" s="2710" t="s">
        <v>311</v>
      </c>
      <c r="F43" s="2365"/>
      <c r="G43" s="35" t="s">
        <v>31</v>
      </c>
      <c r="H43" s="61">
        <v>77.5</v>
      </c>
      <c r="I43" s="2045">
        <v>77.5</v>
      </c>
      <c r="J43" s="2045">
        <v>61.1</v>
      </c>
      <c r="K43" s="2391" t="s">
        <v>271</v>
      </c>
      <c r="L43" s="1829">
        <v>1260</v>
      </c>
      <c r="M43" s="2392">
        <v>988</v>
      </c>
      <c r="N43" s="2775" t="s">
        <v>539</v>
      </c>
      <c r="O43" s="2776"/>
    </row>
    <row r="44" spans="1:16" s="3" customFormat="1" ht="17.25" customHeight="1" x14ac:dyDescent="0.25">
      <c r="A44" s="2618"/>
      <c r="B44" s="2619"/>
      <c r="C44" s="1009"/>
      <c r="D44" s="2698"/>
      <c r="E44" s="2711"/>
      <c r="F44" s="2366"/>
      <c r="G44" s="64" t="s">
        <v>36</v>
      </c>
      <c r="H44" s="1527">
        <f>+H43</f>
        <v>77.5</v>
      </c>
      <c r="I44" s="2036">
        <f>+I43</f>
        <v>77.5</v>
      </c>
      <c r="J44" s="2036">
        <f>+J43</f>
        <v>61.1</v>
      </c>
      <c r="K44" s="436"/>
      <c r="L44" s="66"/>
      <c r="M44" s="67"/>
      <c r="N44" s="2777"/>
      <c r="O44" s="2778"/>
    </row>
    <row r="45" spans="1:16" s="2" customFormat="1" ht="21" customHeight="1" x14ac:dyDescent="0.25">
      <c r="A45" s="2597"/>
      <c r="B45" s="2599"/>
      <c r="C45" s="2354"/>
      <c r="D45" s="2697" t="s">
        <v>456</v>
      </c>
      <c r="E45" s="2693" t="s">
        <v>323</v>
      </c>
      <c r="F45" s="2584"/>
      <c r="G45" s="1868" t="s">
        <v>28</v>
      </c>
      <c r="H45" s="1469">
        <v>289.3</v>
      </c>
      <c r="I45" s="2034">
        <v>342.1</v>
      </c>
      <c r="J45" s="2047">
        <v>329.6</v>
      </c>
      <c r="K45" s="2697" t="s">
        <v>412</v>
      </c>
      <c r="L45" s="339">
        <v>108</v>
      </c>
      <c r="M45" s="340">
        <v>108</v>
      </c>
      <c r="N45" s="2788"/>
      <c r="O45" s="2343"/>
    </row>
    <row r="46" spans="1:16" s="2" customFormat="1" ht="21" customHeight="1" x14ac:dyDescent="0.25">
      <c r="A46" s="2597"/>
      <c r="B46" s="2599"/>
      <c r="C46" s="2354"/>
      <c r="D46" s="2697"/>
      <c r="E46" s="2693"/>
      <c r="F46" s="2584"/>
      <c r="G46" s="1869" t="s">
        <v>413</v>
      </c>
      <c r="H46" s="1478">
        <v>197.2</v>
      </c>
      <c r="I46" s="2046">
        <v>197.2</v>
      </c>
      <c r="J46" s="2046">
        <v>174.7</v>
      </c>
      <c r="K46" s="2697"/>
      <c r="L46" s="339"/>
      <c r="M46" s="340"/>
      <c r="N46" s="2789"/>
      <c r="O46" s="2343"/>
    </row>
    <row r="47" spans="1:16" s="2" customFormat="1" ht="21" customHeight="1" x14ac:dyDescent="0.25">
      <c r="A47" s="2320"/>
      <c r="B47" s="2322"/>
      <c r="C47" s="2354"/>
      <c r="D47" s="2697"/>
      <c r="E47" s="2693"/>
      <c r="F47" s="2584"/>
      <c r="G47" s="1869" t="s">
        <v>334</v>
      </c>
      <c r="H47" s="1511">
        <v>36.9</v>
      </c>
      <c r="I47" s="2048">
        <v>44.7</v>
      </c>
      <c r="J47" s="2046">
        <v>30.1</v>
      </c>
      <c r="K47" s="2697"/>
      <c r="L47" s="339"/>
      <c r="M47" s="340"/>
      <c r="N47" s="2789"/>
      <c r="O47" s="2343"/>
      <c r="P47" s="3"/>
    </row>
    <row r="48" spans="1:16" s="2" customFormat="1" ht="17.25" customHeight="1" x14ac:dyDescent="0.25">
      <c r="A48" s="2363"/>
      <c r="B48" s="2364"/>
      <c r="C48" s="2377"/>
      <c r="D48" s="2698"/>
      <c r="E48" s="2718"/>
      <c r="F48" s="2584"/>
      <c r="G48" s="50" t="s">
        <v>36</v>
      </c>
      <c r="H48" s="1527">
        <f>SUM(H45:H47)</f>
        <v>523.4</v>
      </c>
      <c r="I48" s="2036">
        <f>SUM(I45:I47)</f>
        <v>584</v>
      </c>
      <c r="J48" s="2036">
        <f>SUM(J45:J47)</f>
        <v>534.4</v>
      </c>
      <c r="K48" s="2337"/>
      <c r="L48" s="2338"/>
      <c r="M48" s="2339"/>
      <c r="N48" s="2706"/>
      <c r="O48" s="2344"/>
      <c r="P48" s="3"/>
    </row>
    <row r="49" spans="1:16" s="2" customFormat="1" ht="42.75" customHeight="1" x14ac:dyDescent="0.25">
      <c r="A49" s="1958"/>
      <c r="B49" s="1959"/>
      <c r="C49" s="2002"/>
      <c r="D49" s="2716" t="s">
        <v>414</v>
      </c>
      <c r="E49" s="2693"/>
      <c r="F49" s="2584"/>
      <c r="G49" s="2097" t="s">
        <v>31</v>
      </c>
      <c r="H49" s="2409">
        <v>39.200000000000003</v>
      </c>
      <c r="I49" s="2410">
        <v>39.200000000000003</v>
      </c>
      <c r="J49" s="2410">
        <v>29.5</v>
      </c>
      <c r="K49" s="2411" t="s">
        <v>457</v>
      </c>
      <c r="L49" s="2412">
        <v>6</v>
      </c>
      <c r="M49" s="2413">
        <v>4</v>
      </c>
      <c r="N49" s="2414"/>
      <c r="O49" s="2719" t="s">
        <v>540</v>
      </c>
    </row>
    <row r="50" spans="1:16" s="2" customFormat="1" ht="27.75" customHeight="1" x14ac:dyDescent="0.25">
      <c r="A50" s="1958"/>
      <c r="B50" s="1959"/>
      <c r="C50" s="2002"/>
      <c r="D50" s="2716"/>
      <c r="E50" s="2693"/>
      <c r="F50" s="2584"/>
      <c r="G50" s="1868"/>
      <c r="H50" s="2225"/>
      <c r="I50" s="2226"/>
      <c r="J50" s="2226"/>
      <c r="K50" s="2694" t="s">
        <v>458</v>
      </c>
      <c r="L50" s="2050">
        <v>10</v>
      </c>
      <c r="M50" s="2051">
        <v>6</v>
      </c>
      <c r="N50" s="2721"/>
      <c r="O50" s="2719"/>
    </row>
    <row r="51" spans="1:16" s="2" customFormat="1" ht="17.25" customHeight="1" x14ac:dyDescent="0.25">
      <c r="A51" s="1958"/>
      <c r="B51" s="1959"/>
      <c r="C51" s="1974"/>
      <c r="D51" s="2717"/>
      <c r="E51" s="2718"/>
      <c r="F51" s="2584"/>
      <c r="G51" s="50" t="s">
        <v>36</v>
      </c>
      <c r="H51" s="2052">
        <f>SUM(H49:H50)</f>
        <v>39.200000000000003</v>
      </c>
      <c r="I51" s="2053">
        <f>SUM(I49:I50)</f>
        <v>39.200000000000003</v>
      </c>
      <c r="J51" s="2053">
        <f>SUM(J49:J50)</f>
        <v>29.5</v>
      </c>
      <c r="K51" s="2720"/>
      <c r="L51" s="2019"/>
      <c r="M51" s="2054"/>
      <c r="N51" s="2722"/>
      <c r="O51" s="2570"/>
    </row>
    <row r="52" spans="1:16" s="2" customFormat="1" ht="77.25" customHeight="1" x14ac:dyDescent="0.25">
      <c r="A52" s="1958"/>
      <c r="B52" s="1959"/>
      <c r="C52" s="2002"/>
      <c r="D52" s="2723" t="s">
        <v>415</v>
      </c>
      <c r="E52" s="2692"/>
      <c r="F52" s="2584"/>
      <c r="G52" s="800" t="s">
        <v>52</v>
      </c>
      <c r="H52" s="2223">
        <v>157.4</v>
      </c>
      <c r="I52" s="2224">
        <v>157.4</v>
      </c>
      <c r="J52" s="2224">
        <v>107.8</v>
      </c>
      <c r="K52" s="2694" t="s">
        <v>416</v>
      </c>
      <c r="L52" s="2050">
        <v>30</v>
      </c>
      <c r="M52" s="2051">
        <v>21</v>
      </c>
      <c r="N52" s="2571" t="s">
        <v>541</v>
      </c>
      <c r="O52" s="2572"/>
    </row>
    <row r="53" spans="1:16" s="2" customFormat="1" ht="17.25" customHeight="1" x14ac:dyDescent="0.25">
      <c r="A53" s="1958"/>
      <c r="B53" s="1959"/>
      <c r="C53" s="2002"/>
      <c r="D53" s="2716"/>
      <c r="E53" s="2693"/>
      <c r="F53" s="2584"/>
      <c r="G53" s="36" t="s">
        <v>36</v>
      </c>
      <c r="H53" s="2055">
        <f>SUM(H52:H52)</f>
        <v>157.4</v>
      </c>
      <c r="I53" s="2056">
        <f>SUM(I52:I52)</f>
        <v>157.4</v>
      </c>
      <c r="J53" s="2056">
        <f>SUM(J52:J52)</f>
        <v>107.8</v>
      </c>
      <c r="K53" s="2589"/>
      <c r="L53" s="2057"/>
      <c r="M53" s="2058"/>
      <c r="N53" s="2695"/>
      <c r="O53" s="2696"/>
    </row>
    <row r="54" spans="1:16" s="2" customFormat="1" ht="64.5" customHeight="1" x14ac:dyDescent="0.25">
      <c r="A54" s="1958"/>
      <c r="B54" s="1959"/>
      <c r="C54" s="2002"/>
      <c r="D54" s="257" t="s">
        <v>459</v>
      </c>
      <c r="E54" s="2059"/>
      <c r="F54" s="957"/>
      <c r="G54" s="2060"/>
      <c r="H54" s="2061"/>
      <c r="I54" s="2062"/>
      <c r="J54" s="2062"/>
      <c r="K54" s="2063" t="s">
        <v>460</v>
      </c>
      <c r="L54" s="2064">
        <v>2500</v>
      </c>
      <c r="M54" s="1935">
        <v>2589</v>
      </c>
      <c r="N54" s="2065"/>
      <c r="O54" s="877"/>
    </row>
    <row r="55" spans="1:16" s="2" customFormat="1" ht="53.25" customHeight="1" x14ac:dyDescent="0.25">
      <c r="A55" s="1958"/>
      <c r="B55" s="1959"/>
      <c r="C55" s="2002"/>
      <c r="D55" s="2523" t="s">
        <v>461</v>
      </c>
      <c r="E55" s="1211"/>
      <c r="F55" s="957"/>
      <c r="G55" s="2060"/>
      <c r="H55" s="2061"/>
      <c r="I55" s="2062"/>
      <c r="J55" s="2062"/>
      <c r="K55" s="2063" t="s">
        <v>460</v>
      </c>
      <c r="L55" s="2064">
        <v>2500</v>
      </c>
      <c r="M55" s="1935">
        <v>2589</v>
      </c>
      <c r="N55" s="2065"/>
      <c r="O55" s="877"/>
    </row>
    <row r="56" spans="1:16" s="2" customFormat="1" ht="17.25" customHeight="1" thickBot="1" x14ac:dyDescent="0.3">
      <c r="A56" s="1951"/>
      <c r="B56" s="1953"/>
      <c r="C56" s="2003"/>
      <c r="D56" s="2601"/>
      <c r="E56" s="2539" t="s">
        <v>49</v>
      </c>
      <c r="F56" s="2540"/>
      <c r="G56" s="2831"/>
      <c r="H56" s="75">
        <f>H48+H44+H42+H40+H38+H36+H51+H53</f>
        <v>7574.5999999999995</v>
      </c>
      <c r="I56" s="2066">
        <f>I48+I44+I42+I40+I38+I36+I51+I53</f>
        <v>8363.5</v>
      </c>
      <c r="J56" s="2066">
        <f>J48+J44+J42+J40+J38+J36+J51+J53</f>
        <v>7050.5</v>
      </c>
      <c r="K56" s="2067"/>
      <c r="L56" s="2068"/>
      <c r="M56" s="207"/>
      <c r="N56" s="88"/>
      <c r="O56" s="1825"/>
      <c r="P56" s="3"/>
    </row>
    <row r="57" spans="1:16" s="3" customFormat="1" ht="64.5" customHeight="1" x14ac:dyDescent="0.25">
      <c r="A57" s="2596" t="s">
        <v>22</v>
      </c>
      <c r="B57" s="2598" t="s">
        <v>22</v>
      </c>
      <c r="C57" s="2674" t="s">
        <v>50</v>
      </c>
      <c r="D57" s="2600" t="s">
        <v>51</v>
      </c>
      <c r="E57" s="2676"/>
      <c r="F57" s="2678" t="s">
        <v>27</v>
      </c>
      <c r="G57" s="2398" t="s">
        <v>52</v>
      </c>
      <c r="H57" s="209">
        <v>13213.2</v>
      </c>
      <c r="I57" s="2182">
        <v>13213.2</v>
      </c>
      <c r="J57" s="2182">
        <f>12765.5+249+37.8+0.8</f>
        <v>13053.099999999999</v>
      </c>
      <c r="K57" s="2371" t="s">
        <v>53</v>
      </c>
      <c r="L57" s="2372">
        <v>6800</v>
      </c>
      <c r="M57" s="2361">
        <v>6865</v>
      </c>
      <c r="N57" s="2680"/>
      <c r="O57" s="1929"/>
    </row>
    <row r="58" spans="1:16" s="3" customFormat="1" ht="16.5" customHeight="1" thickBot="1" x14ac:dyDescent="0.3">
      <c r="A58" s="2648"/>
      <c r="B58" s="2649"/>
      <c r="C58" s="2675"/>
      <c r="D58" s="2601"/>
      <c r="E58" s="2677"/>
      <c r="F58" s="2679"/>
      <c r="G58" s="80" t="s">
        <v>36</v>
      </c>
      <c r="H58" s="75">
        <f>+H57</f>
        <v>13213.2</v>
      </c>
      <c r="I58" s="2066">
        <f>+I57</f>
        <v>13213.2</v>
      </c>
      <c r="J58" s="2066">
        <f>+J57</f>
        <v>13053.099999999999</v>
      </c>
      <c r="K58" s="505"/>
      <c r="L58" s="2373"/>
      <c r="M58" s="2393"/>
      <c r="N58" s="2681"/>
      <c r="O58" s="1824"/>
    </row>
    <row r="59" spans="1:16" s="3" customFormat="1" ht="52.5" customHeight="1" x14ac:dyDescent="0.25">
      <c r="A59" s="1950" t="s">
        <v>22</v>
      </c>
      <c r="B59" s="9" t="s">
        <v>22</v>
      </c>
      <c r="C59" s="1995" t="s">
        <v>54</v>
      </c>
      <c r="D59" s="2600" t="s">
        <v>55</v>
      </c>
      <c r="E59" s="1996"/>
      <c r="F59" s="606" t="s">
        <v>27</v>
      </c>
      <c r="G59" s="1991" t="s">
        <v>52</v>
      </c>
      <c r="H59" s="1528">
        <v>13641.4</v>
      </c>
      <c r="I59" s="2070">
        <v>13641.4</v>
      </c>
      <c r="J59" s="2070">
        <f>11791+207.1</f>
        <v>11998.1</v>
      </c>
      <c r="K59" s="2682" t="s">
        <v>53</v>
      </c>
      <c r="L59" s="2684">
        <v>5868</v>
      </c>
      <c r="M59" s="2686">
        <v>18861</v>
      </c>
      <c r="N59" s="2688" t="s">
        <v>542</v>
      </c>
      <c r="O59" s="2689"/>
    </row>
    <row r="60" spans="1:16" s="3" customFormat="1" ht="16.5" customHeight="1" thickBot="1" x14ac:dyDescent="0.3">
      <c r="A60" s="1951"/>
      <c r="B60" s="2001"/>
      <c r="C60" s="1961"/>
      <c r="D60" s="2601"/>
      <c r="E60" s="88"/>
      <c r="F60" s="1964"/>
      <c r="G60" s="80" t="s">
        <v>36</v>
      </c>
      <c r="H60" s="75">
        <f>+H59</f>
        <v>13641.4</v>
      </c>
      <c r="I60" s="2066">
        <f>+I59</f>
        <v>13641.4</v>
      </c>
      <c r="J60" s="2066">
        <f>+J59</f>
        <v>11998.1</v>
      </c>
      <c r="K60" s="2683"/>
      <c r="L60" s="2685"/>
      <c r="M60" s="2687"/>
      <c r="N60" s="2690"/>
      <c r="O60" s="2691"/>
    </row>
    <row r="61" spans="1:16" s="2" customFormat="1" ht="54" customHeight="1" x14ac:dyDescent="0.25">
      <c r="A61" s="2596" t="s">
        <v>22</v>
      </c>
      <c r="B61" s="2598" t="s">
        <v>22</v>
      </c>
      <c r="C61" s="2650" t="s">
        <v>56</v>
      </c>
      <c r="D61" s="2600" t="s">
        <v>417</v>
      </c>
      <c r="E61" s="1996"/>
      <c r="F61" s="1975" t="s">
        <v>27</v>
      </c>
      <c r="G61" s="90" t="s">
        <v>31</v>
      </c>
      <c r="H61" s="971">
        <v>401.2</v>
      </c>
      <c r="I61" s="2074">
        <v>488.2</v>
      </c>
      <c r="J61" s="2074">
        <v>424.2</v>
      </c>
      <c r="K61" s="2790" t="s">
        <v>418</v>
      </c>
      <c r="L61" s="2792">
        <v>720</v>
      </c>
      <c r="M61" s="2794">
        <v>528</v>
      </c>
      <c r="N61" s="2004"/>
      <c r="O61" s="2796" t="s">
        <v>543</v>
      </c>
    </row>
    <row r="62" spans="1:16" s="3" customFormat="1" ht="16.5" customHeight="1" thickBot="1" x14ac:dyDescent="0.3">
      <c r="A62" s="2648"/>
      <c r="B62" s="2649"/>
      <c r="C62" s="2652"/>
      <c r="D62" s="2601"/>
      <c r="E62" s="88"/>
      <c r="F62" s="1964"/>
      <c r="G62" s="80" t="s">
        <v>36</v>
      </c>
      <c r="H62" s="75">
        <f>+H61</f>
        <v>401.2</v>
      </c>
      <c r="I62" s="2066">
        <f>+I61</f>
        <v>488.2</v>
      </c>
      <c r="J62" s="2066">
        <f>+J61</f>
        <v>424.2</v>
      </c>
      <c r="K62" s="2791"/>
      <c r="L62" s="2793"/>
      <c r="M62" s="2795"/>
      <c r="N62" s="2005"/>
      <c r="O62" s="2797"/>
    </row>
    <row r="63" spans="1:16" s="2" customFormat="1" ht="54.75" customHeight="1" x14ac:dyDescent="0.25">
      <c r="A63" s="2596" t="s">
        <v>22</v>
      </c>
      <c r="B63" s="2598" t="s">
        <v>22</v>
      </c>
      <c r="C63" s="2650" t="s">
        <v>59</v>
      </c>
      <c r="D63" s="2653" t="s">
        <v>431</v>
      </c>
      <c r="E63" s="1996"/>
      <c r="F63" s="1975" t="s">
        <v>27</v>
      </c>
      <c r="G63" s="90" t="s">
        <v>28</v>
      </c>
      <c r="H63" s="1303">
        <v>238.4</v>
      </c>
      <c r="I63" s="2075">
        <v>238.4</v>
      </c>
      <c r="J63" s="1303">
        <v>218</v>
      </c>
      <c r="K63" s="2076" t="s">
        <v>432</v>
      </c>
      <c r="L63" s="2077">
        <v>200</v>
      </c>
      <c r="M63" s="2078">
        <v>154</v>
      </c>
      <c r="N63" s="2079"/>
      <c r="O63" s="2080" t="s">
        <v>544</v>
      </c>
      <c r="P63" s="3"/>
    </row>
    <row r="64" spans="1:16" s="2" customFormat="1" ht="28.5" customHeight="1" x14ac:dyDescent="0.25">
      <c r="A64" s="2597"/>
      <c r="B64" s="2599"/>
      <c r="C64" s="2651"/>
      <c r="D64" s="2654"/>
      <c r="E64" s="91"/>
      <c r="F64" s="2006"/>
      <c r="G64" s="2081"/>
      <c r="H64" s="188"/>
      <c r="I64" s="2082"/>
      <c r="J64" s="2082"/>
      <c r="K64" s="2656" t="s">
        <v>433</v>
      </c>
      <c r="L64" s="2083">
        <v>50</v>
      </c>
      <c r="M64" s="1166">
        <v>57</v>
      </c>
      <c r="N64" s="2084"/>
      <c r="O64" s="1982"/>
    </row>
    <row r="65" spans="1:15" s="3" customFormat="1" ht="16.5" customHeight="1" thickBot="1" x14ac:dyDescent="0.3">
      <c r="A65" s="2648"/>
      <c r="B65" s="2649"/>
      <c r="C65" s="2652"/>
      <c r="D65" s="2655"/>
      <c r="E65" s="88"/>
      <c r="F65" s="1964"/>
      <c r="G65" s="80" t="s">
        <v>36</v>
      </c>
      <c r="H65" s="75">
        <f>+H63</f>
        <v>238.4</v>
      </c>
      <c r="I65" s="2066">
        <f>+I63</f>
        <v>238.4</v>
      </c>
      <c r="J65" s="2066">
        <f>+J63</f>
        <v>218</v>
      </c>
      <c r="K65" s="2657"/>
      <c r="L65" s="2085"/>
      <c r="M65" s="2086"/>
      <c r="N65" s="2087"/>
      <c r="O65" s="1930"/>
    </row>
    <row r="66" spans="1:15" s="2" customFormat="1" ht="16.5" customHeight="1" thickBot="1" x14ac:dyDescent="0.3">
      <c r="A66" s="1863" t="s">
        <v>22</v>
      </c>
      <c r="B66" s="8" t="s">
        <v>22</v>
      </c>
      <c r="C66" s="2658" t="s">
        <v>62</v>
      </c>
      <c r="D66" s="2659"/>
      <c r="E66" s="2659"/>
      <c r="F66" s="2659"/>
      <c r="G66" s="2660"/>
      <c r="H66" s="2088">
        <f>H62+H60+H58+H56+H65</f>
        <v>35068.800000000003</v>
      </c>
      <c r="I66" s="2089">
        <f t="shared" ref="I66" si="0">I62+I60+I58+I56+I65</f>
        <v>35944.700000000004</v>
      </c>
      <c r="J66" s="2089">
        <f>J62+J60+J58+J56+J65</f>
        <v>32743.9</v>
      </c>
      <c r="K66" s="2542"/>
      <c r="L66" s="2543"/>
      <c r="M66" s="2543"/>
      <c r="N66" s="2543"/>
      <c r="O66" s="2544"/>
    </row>
    <row r="67" spans="1:15" s="2" customFormat="1" ht="16.5" customHeight="1" thickBot="1" x14ac:dyDescent="0.3">
      <c r="A67" s="1871" t="s">
        <v>22</v>
      </c>
      <c r="B67" s="8" t="s">
        <v>50</v>
      </c>
      <c r="C67" s="2565" t="s">
        <v>63</v>
      </c>
      <c r="D67" s="2565"/>
      <c r="E67" s="2565"/>
      <c r="F67" s="2565"/>
      <c r="G67" s="2565"/>
      <c r="H67" s="2565"/>
      <c r="I67" s="2565"/>
      <c r="J67" s="2565"/>
      <c r="K67" s="2565"/>
      <c r="L67" s="2661"/>
      <c r="M67" s="2661"/>
      <c r="N67" s="2661"/>
      <c r="O67" s="2662"/>
    </row>
    <row r="68" spans="1:15" s="3" customFormat="1" ht="14.25" customHeight="1" x14ac:dyDescent="0.25">
      <c r="A68" s="2359" t="s">
        <v>22</v>
      </c>
      <c r="B68" s="2360" t="s">
        <v>50</v>
      </c>
      <c r="C68" s="100" t="s">
        <v>22</v>
      </c>
      <c r="D68" s="2663" t="s">
        <v>64</v>
      </c>
      <c r="E68" s="2671" t="s">
        <v>320</v>
      </c>
      <c r="F68" s="1691">
        <v>3</v>
      </c>
      <c r="G68" s="104" t="s">
        <v>31</v>
      </c>
      <c r="H68" s="105">
        <v>4187.2</v>
      </c>
      <c r="I68" s="2028">
        <v>4341.2</v>
      </c>
      <c r="J68" s="2028">
        <v>4269.7</v>
      </c>
      <c r="K68" s="2090"/>
      <c r="L68" s="2091"/>
      <c r="M68" s="1920"/>
      <c r="N68" s="2665"/>
      <c r="O68" s="2668"/>
    </row>
    <row r="69" spans="1:15" s="3" customFormat="1" ht="14.25" customHeight="1" x14ac:dyDescent="0.25">
      <c r="A69" s="2363"/>
      <c r="B69" s="2364"/>
      <c r="C69" s="1872"/>
      <c r="D69" s="2664"/>
      <c r="E69" s="2672"/>
      <c r="F69" s="2092"/>
      <c r="G69" s="617" t="s">
        <v>68</v>
      </c>
      <c r="H69" s="1865">
        <v>648.4</v>
      </c>
      <c r="I69" s="2093">
        <v>668.3</v>
      </c>
      <c r="J69" s="2093">
        <v>625.79999999999995</v>
      </c>
      <c r="K69" s="2094"/>
      <c r="L69" s="2095"/>
      <c r="M69" s="522"/>
      <c r="N69" s="2666"/>
      <c r="O69" s="2669"/>
    </row>
    <row r="70" spans="1:15" s="3" customFormat="1" ht="14.25" customHeight="1" x14ac:dyDescent="0.25">
      <c r="A70" s="2363"/>
      <c r="B70" s="2364"/>
      <c r="C70" s="1872"/>
      <c r="D70" s="2375"/>
      <c r="E70" s="2672"/>
      <c r="F70" s="2092"/>
      <c r="G70" s="617" t="s">
        <v>178</v>
      </c>
      <c r="H70" s="1421"/>
      <c r="I70" s="2030">
        <v>70.5</v>
      </c>
      <c r="J70" s="2030">
        <v>70.5</v>
      </c>
      <c r="K70" s="2094"/>
      <c r="L70" s="2095"/>
      <c r="M70" s="522"/>
      <c r="N70" s="2666"/>
      <c r="O70" s="2669"/>
    </row>
    <row r="71" spans="1:15" s="3" customFormat="1" ht="14.25" customHeight="1" x14ac:dyDescent="0.25">
      <c r="A71" s="2363"/>
      <c r="B71" s="2364"/>
      <c r="C71" s="1872"/>
      <c r="D71" s="2375"/>
      <c r="E71" s="2672"/>
      <c r="F71" s="2092"/>
      <c r="G71" s="1340" t="s">
        <v>28</v>
      </c>
      <c r="H71" s="2093">
        <v>245.4</v>
      </c>
      <c r="I71" s="2093">
        <v>254.3</v>
      </c>
      <c r="J71" s="2093">
        <f>243+7</f>
        <v>250</v>
      </c>
      <c r="K71" s="2094"/>
      <c r="L71" s="2095"/>
      <c r="M71" s="522"/>
      <c r="N71" s="2666"/>
      <c r="O71" s="2669"/>
    </row>
    <row r="72" spans="1:15" s="3" customFormat="1" ht="14.25" customHeight="1" x14ac:dyDescent="0.25">
      <c r="A72" s="2363"/>
      <c r="B72" s="2364"/>
      <c r="C72" s="1872"/>
      <c r="D72" s="2375"/>
      <c r="E72" s="2672"/>
      <c r="F72" s="2092"/>
      <c r="G72" s="2096" t="s">
        <v>419</v>
      </c>
      <c r="H72" s="1865">
        <v>69.5</v>
      </c>
      <c r="I72" s="2093">
        <v>69.5</v>
      </c>
      <c r="J72" s="2093">
        <v>68.2</v>
      </c>
      <c r="K72" s="2094"/>
      <c r="L72" s="2095"/>
      <c r="M72" s="522"/>
      <c r="N72" s="2666"/>
      <c r="O72" s="2669"/>
    </row>
    <row r="73" spans="1:15" s="3" customFormat="1" ht="14.25" customHeight="1" x14ac:dyDescent="0.25">
      <c r="A73" s="2363"/>
      <c r="B73" s="2364"/>
      <c r="C73" s="1872"/>
      <c r="D73" s="2375"/>
      <c r="E73" s="2672"/>
      <c r="F73" s="2092"/>
      <c r="G73" s="2096" t="s">
        <v>334</v>
      </c>
      <c r="H73" s="2093">
        <v>39.200000000000003</v>
      </c>
      <c r="I73" s="2093"/>
      <c r="J73" s="2093"/>
      <c r="K73" s="2094"/>
      <c r="L73" s="2095"/>
      <c r="M73" s="522"/>
      <c r="N73" s="2666"/>
      <c r="O73" s="2669"/>
    </row>
    <row r="74" spans="1:15" s="3" customFormat="1" ht="14.25" customHeight="1" x14ac:dyDescent="0.25">
      <c r="A74" s="2363"/>
      <c r="B74" s="2364"/>
      <c r="C74" s="1872"/>
      <c r="D74" s="2375"/>
      <c r="E74" s="2672"/>
      <c r="F74" s="2092"/>
      <c r="G74" s="800" t="s">
        <v>103</v>
      </c>
      <c r="H74" s="1421">
        <v>50.3</v>
      </c>
      <c r="I74" s="2093">
        <f>50.3+30.3</f>
        <v>80.599999999999994</v>
      </c>
      <c r="J74" s="2093">
        <v>15</v>
      </c>
      <c r="K74" s="2094"/>
      <c r="L74" s="2095"/>
      <c r="M74" s="522"/>
      <c r="N74" s="2666"/>
      <c r="O74" s="2669"/>
    </row>
    <row r="75" spans="1:15" s="3" customFormat="1" ht="14.25" customHeight="1" x14ac:dyDescent="0.25">
      <c r="A75" s="2363"/>
      <c r="B75" s="2364"/>
      <c r="C75" s="1872"/>
      <c r="D75" s="2375"/>
      <c r="E75" s="2672"/>
      <c r="F75" s="2092"/>
      <c r="G75" s="2097" t="s">
        <v>52</v>
      </c>
      <c r="H75" s="2093">
        <v>190.7</v>
      </c>
      <c r="I75" s="2030">
        <v>190.7</v>
      </c>
      <c r="J75" s="2030">
        <f>34+122.7</f>
        <v>156.69999999999999</v>
      </c>
      <c r="K75" s="2094"/>
      <c r="L75" s="2095"/>
      <c r="M75" s="522"/>
      <c r="N75" s="2666"/>
      <c r="O75" s="2669"/>
    </row>
    <row r="76" spans="1:15" s="3" customFormat="1" ht="14.25" customHeight="1" x14ac:dyDescent="0.25">
      <c r="A76" s="2363"/>
      <c r="B76" s="2364"/>
      <c r="C76" s="1872"/>
      <c r="D76" s="2375"/>
      <c r="E76" s="2672"/>
      <c r="F76" s="2092"/>
      <c r="G76" s="1873" t="s">
        <v>71</v>
      </c>
      <c r="H76" s="1865">
        <v>3</v>
      </c>
      <c r="I76" s="2093">
        <v>3</v>
      </c>
      <c r="J76" s="2093">
        <v>3</v>
      </c>
      <c r="K76" s="2094"/>
      <c r="L76" s="2095"/>
      <c r="M76" s="522"/>
      <c r="N76" s="2667"/>
      <c r="O76" s="2670"/>
    </row>
    <row r="77" spans="1:15" s="3" customFormat="1" ht="30" customHeight="1" x14ac:dyDescent="0.25">
      <c r="A77" s="2363"/>
      <c r="B77" s="2364"/>
      <c r="C77" s="2397"/>
      <c r="D77" s="2382" t="s">
        <v>173</v>
      </c>
      <c r="E77" s="2672"/>
      <c r="F77" s="2092"/>
      <c r="G77" s="1339"/>
      <c r="H77" s="1539"/>
      <c r="I77" s="2046"/>
      <c r="J77" s="2046"/>
      <c r="K77" s="1396" t="s">
        <v>174</v>
      </c>
      <c r="L77" s="719">
        <v>82</v>
      </c>
      <c r="M77" s="46">
        <v>82</v>
      </c>
      <c r="N77" s="1306"/>
      <c r="O77" s="2358"/>
    </row>
    <row r="78" spans="1:15" s="3" customFormat="1" ht="15.75" customHeight="1" x14ac:dyDescent="0.25">
      <c r="A78" s="2363"/>
      <c r="B78" s="2364"/>
      <c r="C78" s="2397"/>
      <c r="D78" s="2538" t="s">
        <v>420</v>
      </c>
      <c r="E78" s="2672"/>
      <c r="F78" s="2092"/>
      <c r="G78" s="2097"/>
      <c r="H78" s="2098"/>
      <c r="I78" s="2099"/>
      <c r="J78" s="2034"/>
      <c r="K78" s="2846" t="s">
        <v>421</v>
      </c>
      <c r="L78" s="719">
        <v>60</v>
      </c>
      <c r="M78" s="46">
        <v>137</v>
      </c>
      <c r="N78" s="2848" t="s">
        <v>545</v>
      </c>
      <c r="O78" s="2850"/>
    </row>
    <row r="79" spans="1:15" s="3" customFormat="1" ht="54" customHeight="1" x14ac:dyDescent="0.25">
      <c r="A79" s="2415"/>
      <c r="B79" s="2396"/>
      <c r="C79" s="1009"/>
      <c r="D79" s="2845"/>
      <c r="E79" s="2673"/>
      <c r="F79" s="2420"/>
      <c r="G79" s="823"/>
      <c r="H79" s="2441"/>
      <c r="I79" s="2038"/>
      <c r="J79" s="2038"/>
      <c r="K79" s="2847"/>
      <c r="L79" s="2100"/>
      <c r="M79" s="821"/>
      <c r="N79" s="2849"/>
      <c r="O79" s="2851"/>
    </row>
    <row r="80" spans="1:15" s="3" customFormat="1" ht="29.25" customHeight="1" x14ac:dyDescent="0.25">
      <c r="A80" s="1958"/>
      <c r="B80" s="1959"/>
      <c r="C80" s="2002"/>
      <c r="D80" s="1323" t="s">
        <v>179</v>
      </c>
      <c r="E80" s="1732"/>
      <c r="F80" s="2092"/>
      <c r="G80" s="1340"/>
      <c r="H80" s="2033"/>
      <c r="I80" s="2034"/>
      <c r="J80" s="2034"/>
      <c r="K80" s="2101" t="s">
        <v>462</v>
      </c>
      <c r="L80" s="2102" t="s">
        <v>463</v>
      </c>
      <c r="M80" s="2103" t="s">
        <v>464</v>
      </c>
      <c r="N80" s="2104"/>
      <c r="O80" s="2105"/>
    </row>
    <row r="81" spans="1:15" s="3" customFormat="1" ht="55.5" customHeight="1" x14ac:dyDescent="0.25">
      <c r="A81" s="2363"/>
      <c r="B81" s="2364"/>
      <c r="C81" s="2397"/>
      <c r="D81" s="1323"/>
      <c r="E81" s="1732"/>
      <c r="F81" s="2092"/>
      <c r="G81" s="1340"/>
      <c r="H81" s="1347"/>
      <c r="I81" s="2106"/>
      <c r="J81" s="2106"/>
      <c r="K81" s="2107" t="s">
        <v>465</v>
      </c>
      <c r="L81" s="2108" t="s">
        <v>466</v>
      </c>
      <c r="M81" s="2109" t="s">
        <v>467</v>
      </c>
      <c r="N81" s="2824" t="s">
        <v>546</v>
      </c>
      <c r="O81" s="2825"/>
    </row>
    <row r="82" spans="1:15" s="3" customFormat="1" ht="27" customHeight="1" x14ac:dyDescent="0.25">
      <c r="A82" s="1958"/>
      <c r="B82" s="1959"/>
      <c r="C82" s="2002"/>
      <c r="D82" s="1948"/>
      <c r="E82" s="1732"/>
      <c r="F82" s="2092"/>
      <c r="G82" s="1340"/>
      <c r="H82" s="316"/>
      <c r="I82" s="2082"/>
      <c r="J82" s="2082"/>
      <c r="K82" s="2417" t="s">
        <v>468</v>
      </c>
      <c r="L82" s="2100">
        <v>250</v>
      </c>
      <c r="M82" s="821">
        <v>786</v>
      </c>
      <c r="N82" s="2417" t="s">
        <v>547</v>
      </c>
      <c r="O82" s="2418"/>
    </row>
    <row r="83" spans="1:15" s="3" customFormat="1" ht="45.75" customHeight="1" x14ac:dyDescent="0.25">
      <c r="A83" s="1958"/>
      <c r="B83" s="1959"/>
      <c r="C83" s="1974"/>
      <c r="D83" s="1957"/>
      <c r="E83" s="1732"/>
      <c r="F83" s="2092"/>
      <c r="G83" s="1874"/>
      <c r="H83" s="316"/>
      <c r="I83" s="2082"/>
      <c r="J83" s="2082"/>
      <c r="K83" s="2110" t="s">
        <v>469</v>
      </c>
      <c r="L83" s="2111" t="s">
        <v>470</v>
      </c>
      <c r="M83" s="2112" t="s">
        <v>471</v>
      </c>
      <c r="N83" s="2113"/>
      <c r="O83" s="2114"/>
    </row>
    <row r="84" spans="1:15" s="3" customFormat="1" ht="45" customHeight="1" x14ac:dyDescent="0.25">
      <c r="A84" s="1958"/>
      <c r="B84" s="1959"/>
      <c r="C84" s="1974"/>
      <c r="D84" s="2115" t="s">
        <v>422</v>
      </c>
      <c r="E84" s="1732"/>
      <c r="F84" s="2092"/>
      <c r="G84" s="1340"/>
      <c r="H84" s="316"/>
      <c r="I84" s="2082"/>
      <c r="J84" s="2082"/>
      <c r="K84" s="2116" t="s">
        <v>342</v>
      </c>
      <c r="L84" s="2117" t="s">
        <v>234</v>
      </c>
      <c r="M84" s="2118" t="s">
        <v>95</v>
      </c>
      <c r="N84" s="2119"/>
      <c r="O84" s="2120" t="s">
        <v>548</v>
      </c>
    </row>
    <row r="85" spans="1:15" s="3" customFormat="1" ht="59.25" customHeight="1" x14ac:dyDescent="0.25">
      <c r="A85" s="1958"/>
      <c r="B85" s="1959"/>
      <c r="C85" s="2002"/>
      <c r="D85" s="2296" t="s">
        <v>424</v>
      </c>
      <c r="E85" s="1732"/>
      <c r="F85" s="2092"/>
      <c r="G85" s="1983"/>
      <c r="H85" s="1893"/>
      <c r="I85" s="2121"/>
      <c r="J85" s="2106"/>
      <c r="K85" s="2297" t="s">
        <v>342</v>
      </c>
      <c r="L85" s="2298" t="s">
        <v>27</v>
      </c>
      <c r="M85" s="2299" t="s">
        <v>423</v>
      </c>
      <c r="N85" s="2826" t="s">
        <v>549</v>
      </c>
      <c r="O85" s="2827"/>
    </row>
    <row r="86" spans="1:15" s="3" customFormat="1" ht="21" customHeight="1" x14ac:dyDescent="0.25">
      <c r="A86" s="1958"/>
      <c r="B86" s="1959"/>
      <c r="C86" s="2002"/>
      <c r="D86" s="2538" t="s">
        <v>472</v>
      </c>
      <c r="E86" s="1732"/>
      <c r="F86" s="2092"/>
      <c r="G86" s="1983"/>
      <c r="H86" s="1893"/>
      <c r="I86" s="2121"/>
      <c r="J86" s="2121"/>
      <c r="K86" s="2656" t="s">
        <v>473</v>
      </c>
      <c r="L86" s="2122" t="s">
        <v>474</v>
      </c>
      <c r="M86" s="2042" t="s">
        <v>474</v>
      </c>
      <c r="N86" s="2123"/>
      <c r="O86" s="799"/>
    </row>
    <row r="87" spans="1:15" s="3" customFormat="1" ht="21" customHeight="1" x14ac:dyDescent="0.25">
      <c r="A87" s="1958"/>
      <c r="B87" s="1959"/>
      <c r="C87" s="2002"/>
      <c r="D87" s="2538"/>
      <c r="E87" s="1732"/>
      <c r="F87" s="2092"/>
      <c r="G87" s="1983"/>
      <c r="H87" s="1893"/>
      <c r="I87" s="2121"/>
      <c r="J87" s="2121"/>
      <c r="K87" s="2828"/>
      <c r="L87" s="2124"/>
      <c r="M87" s="2125"/>
      <c r="N87" s="802"/>
      <c r="O87" s="2126"/>
    </row>
    <row r="88" spans="1:15" s="3" customFormat="1" ht="42" customHeight="1" x14ac:dyDescent="0.25">
      <c r="A88" s="1958"/>
      <c r="B88" s="1959"/>
      <c r="C88" s="1974"/>
      <c r="D88" s="2007" t="s">
        <v>170</v>
      </c>
      <c r="E88" s="1732"/>
      <c r="F88" s="2092"/>
      <c r="G88" s="1340"/>
      <c r="H88" s="2033"/>
      <c r="I88" s="2034"/>
      <c r="J88" s="2069"/>
      <c r="K88" s="266" t="s">
        <v>475</v>
      </c>
      <c r="L88" s="2127" t="s">
        <v>476</v>
      </c>
      <c r="M88" s="2128" t="s">
        <v>477</v>
      </c>
      <c r="N88" s="2832" t="s">
        <v>550</v>
      </c>
      <c r="O88" s="2833"/>
    </row>
    <row r="89" spans="1:15" s="3" customFormat="1" ht="33" customHeight="1" x14ac:dyDescent="0.25">
      <c r="A89" s="1958"/>
      <c r="B89" s="1959"/>
      <c r="C89" s="2002"/>
      <c r="D89" s="1323"/>
      <c r="E89" s="1732"/>
      <c r="F89" s="2092"/>
      <c r="G89" s="1340"/>
      <c r="H89" s="2033"/>
      <c r="I89" s="2034"/>
      <c r="J89" s="2069"/>
      <c r="K89" s="266" t="s">
        <v>478</v>
      </c>
      <c r="L89" s="2127" t="s">
        <v>479</v>
      </c>
      <c r="M89" s="2128" t="s">
        <v>479</v>
      </c>
      <c r="N89" s="2129"/>
      <c r="O89" s="2130"/>
    </row>
    <row r="90" spans="1:15" s="3" customFormat="1" ht="57" customHeight="1" x14ac:dyDescent="0.25">
      <c r="A90" s="2363"/>
      <c r="B90" s="2364"/>
      <c r="C90" s="2397"/>
      <c r="D90" s="988"/>
      <c r="E90" s="1732"/>
      <c r="F90" s="2092"/>
      <c r="G90" s="1340"/>
      <c r="H90" s="2033"/>
      <c r="I90" s="2034"/>
      <c r="J90" s="2069"/>
      <c r="K90" s="266" t="s">
        <v>480</v>
      </c>
      <c r="L90" s="2127" t="s">
        <v>481</v>
      </c>
      <c r="M90" s="2128" t="s">
        <v>203</v>
      </c>
      <c r="N90" s="2129"/>
      <c r="O90" s="2131" t="s">
        <v>482</v>
      </c>
    </row>
    <row r="91" spans="1:15" s="3" customFormat="1" ht="30.75" customHeight="1" x14ac:dyDescent="0.25">
      <c r="A91" s="2415"/>
      <c r="B91" s="2396"/>
      <c r="C91" s="2416"/>
      <c r="D91" s="2357" t="s">
        <v>74</v>
      </c>
      <c r="E91" s="2419"/>
      <c r="F91" s="1734"/>
      <c r="G91" s="823"/>
      <c r="H91" s="1499"/>
      <c r="I91" s="2194"/>
      <c r="J91" s="2443"/>
      <c r="K91" s="2367" t="s">
        <v>483</v>
      </c>
      <c r="L91" s="52" t="s">
        <v>484</v>
      </c>
      <c r="M91" s="1875">
        <v>17941</v>
      </c>
      <c r="N91" s="2161"/>
      <c r="O91" s="54"/>
    </row>
    <row r="92" spans="1:15" s="3" customFormat="1" ht="42.75" customHeight="1" x14ac:dyDescent="0.25">
      <c r="A92" s="1958"/>
      <c r="B92" s="1959"/>
      <c r="C92" s="2002"/>
      <c r="D92" s="2143" t="s">
        <v>425</v>
      </c>
      <c r="E92" s="1732"/>
      <c r="F92" s="111"/>
      <c r="G92" s="2133"/>
      <c r="H92" s="2134"/>
      <c r="I92" s="2135"/>
      <c r="J92" s="2047"/>
      <c r="K92" s="2442" t="s">
        <v>485</v>
      </c>
      <c r="L92" s="66">
        <v>12</v>
      </c>
      <c r="M92" s="821">
        <v>12</v>
      </c>
      <c r="N92" s="415"/>
      <c r="O92" s="68"/>
    </row>
    <row r="93" spans="1:15" s="3" customFormat="1" ht="39.75" customHeight="1" x14ac:dyDescent="0.25">
      <c r="A93" s="2320"/>
      <c r="B93" s="2322"/>
      <c r="C93" s="2354"/>
      <c r="D93" s="2342" t="s">
        <v>426</v>
      </c>
      <c r="E93" s="1732"/>
      <c r="F93" s="111"/>
      <c r="G93" s="2133"/>
      <c r="H93" s="2134"/>
      <c r="I93" s="2135"/>
      <c r="J93" s="2047"/>
      <c r="K93" s="2136" t="s">
        <v>486</v>
      </c>
      <c r="L93" s="2348">
        <v>12</v>
      </c>
      <c r="M93" s="616">
        <v>12</v>
      </c>
      <c r="N93" s="497"/>
      <c r="O93" s="2347"/>
    </row>
    <row r="94" spans="1:15" s="3" customFormat="1" ht="41.25" customHeight="1" x14ac:dyDescent="0.25">
      <c r="A94" s="2363"/>
      <c r="B94" s="2364"/>
      <c r="C94" s="2397"/>
      <c r="D94" s="2362"/>
      <c r="E94" s="1732"/>
      <c r="F94" s="111"/>
      <c r="G94" s="2385"/>
      <c r="H94" s="1893"/>
      <c r="I94" s="2121"/>
      <c r="J94" s="2121"/>
      <c r="K94" s="2136" t="s">
        <v>487</v>
      </c>
      <c r="L94" s="2348">
        <v>1</v>
      </c>
      <c r="M94" s="616">
        <v>2</v>
      </c>
      <c r="N94" s="497"/>
      <c r="O94" s="2347"/>
    </row>
    <row r="95" spans="1:15" s="3" customFormat="1" ht="31.5" customHeight="1" x14ac:dyDescent="0.25">
      <c r="A95" s="1958"/>
      <c r="B95" s="1959"/>
      <c r="C95" s="2002"/>
      <c r="D95" s="2342"/>
      <c r="E95" s="1732"/>
      <c r="F95" s="111"/>
      <c r="G95" s="1983"/>
      <c r="H95" s="1893"/>
      <c r="I95" s="2121"/>
      <c r="J95" s="2121"/>
      <c r="K95" s="2336" t="s">
        <v>488</v>
      </c>
      <c r="L95" s="320">
        <v>130</v>
      </c>
      <c r="M95" s="1936">
        <v>140</v>
      </c>
      <c r="N95" s="443"/>
      <c r="O95" s="84"/>
    </row>
    <row r="96" spans="1:15" s="3" customFormat="1" ht="109.5" customHeight="1" x14ac:dyDescent="0.25">
      <c r="A96" s="1958"/>
      <c r="B96" s="1959"/>
      <c r="C96" s="2002"/>
      <c r="D96" s="2293" t="s">
        <v>489</v>
      </c>
      <c r="E96" s="1732"/>
      <c r="F96" s="111"/>
      <c r="G96" s="1340"/>
      <c r="H96" s="1893"/>
      <c r="I96" s="2121"/>
      <c r="J96" s="2121"/>
      <c r="K96" s="2294" t="s">
        <v>490</v>
      </c>
      <c r="L96" s="1829">
        <v>104</v>
      </c>
      <c r="M96" s="1939">
        <v>265</v>
      </c>
      <c r="N96" s="2646" t="s">
        <v>551</v>
      </c>
      <c r="O96" s="2647"/>
    </row>
    <row r="97" spans="1:21" s="3" customFormat="1" ht="69" customHeight="1" x14ac:dyDescent="0.25">
      <c r="A97" s="1958"/>
      <c r="B97" s="1959"/>
      <c r="C97" s="1974"/>
      <c r="D97" s="2834" t="s">
        <v>200</v>
      </c>
      <c r="E97" s="1732"/>
      <c r="F97" s="111"/>
      <c r="G97" s="1340"/>
      <c r="H97" s="1498"/>
      <c r="I97" s="2047"/>
      <c r="J97" s="2132"/>
      <c r="K97" s="2138" t="s">
        <v>174</v>
      </c>
      <c r="L97" s="2139">
        <v>174</v>
      </c>
      <c r="M97" s="2140">
        <v>144</v>
      </c>
      <c r="N97" s="2141"/>
      <c r="O97" s="2142" t="s">
        <v>552</v>
      </c>
    </row>
    <row r="98" spans="1:21" s="3" customFormat="1" ht="55.5" customHeight="1" x14ac:dyDescent="0.25">
      <c r="A98" s="1958"/>
      <c r="B98" s="1959"/>
      <c r="C98" s="2002"/>
      <c r="D98" s="2835"/>
      <c r="E98" s="1732"/>
      <c r="F98" s="111"/>
      <c r="G98" s="1340"/>
      <c r="H98" s="1498"/>
      <c r="I98" s="2047"/>
      <c r="J98" s="2132"/>
      <c r="K98" s="2138" t="s">
        <v>491</v>
      </c>
      <c r="L98" s="2139">
        <v>55</v>
      </c>
      <c r="M98" s="2140">
        <v>49</v>
      </c>
      <c r="N98" s="2141"/>
      <c r="O98" s="2142" t="s">
        <v>553</v>
      </c>
    </row>
    <row r="99" spans="1:21" s="3" customFormat="1" ht="21.75" customHeight="1" x14ac:dyDescent="0.25">
      <c r="A99" s="1958"/>
      <c r="B99" s="1959"/>
      <c r="C99" s="2002"/>
      <c r="D99" s="2823" t="s">
        <v>205</v>
      </c>
      <c r="E99" s="1732"/>
      <c r="F99" s="111"/>
      <c r="G99" s="1340"/>
      <c r="H99" s="2033"/>
      <c r="I99" s="2034"/>
      <c r="J99" s="2069"/>
      <c r="K99" s="95" t="s">
        <v>492</v>
      </c>
      <c r="L99" s="320">
        <v>35</v>
      </c>
      <c r="M99" s="1936">
        <v>33</v>
      </c>
      <c r="N99" s="443"/>
      <c r="O99" s="2836" t="s">
        <v>554</v>
      </c>
    </row>
    <row r="100" spans="1:21" s="3" customFormat="1" ht="31.5" customHeight="1" x14ac:dyDescent="0.25">
      <c r="A100" s="1958"/>
      <c r="B100" s="1959"/>
      <c r="C100" s="2002"/>
      <c r="D100" s="2823"/>
      <c r="E100" s="2144"/>
      <c r="F100" s="111"/>
      <c r="G100" s="1340"/>
      <c r="H100" s="2033"/>
      <c r="I100" s="2034"/>
      <c r="J100" s="2069"/>
      <c r="K100" s="95"/>
      <c r="L100" s="320"/>
      <c r="M100" s="1936"/>
      <c r="N100" s="443"/>
      <c r="O100" s="2837"/>
    </row>
    <row r="101" spans="1:21" s="3" customFormat="1" ht="29.25" customHeight="1" x14ac:dyDescent="0.25">
      <c r="A101" s="2415"/>
      <c r="B101" s="2396"/>
      <c r="C101" s="1009"/>
      <c r="D101" s="998" t="s">
        <v>207</v>
      </c>
      <c r="E101" s="2444"/>
      <c r="F101" s="1734"/>
      <c r="G101" s="823"/>
      <c r="H101" s="2441"/>
      <c r="I101" s="2038"/>
      <c r="J101" s="2445"/>
      <c r="K101" s="162" t="s">
        <v>490</v>
      </c>
      <c r="L101" s="2390">
        <v>40</v>
      </c>
      <c r="M101" s="2388">
        <v>40</v>
      </c>
      <c r="N101" s="497"/>
      <c r="O101" s="2147"/>
    </row>
    <row r="102" spans="1:21" s="3" customFormat="1" ht="22.5" customHeight="1" x14ac:dyDescent="0.25">
      <c r="A102" s="1958"/>
      <c r="B102" s="1959"/>
      <c r="C102" s="2002"/>
      <c r="D102" s="2362"/>
      <c r="E102" s="1209"/>
      <c r="F102" s="111"/>
      <c r="G102" s="1340"/>
      <c r="H102" s="2033"/>
      <c r="I102" s="2034"/>
      <c r="J102" s="2146"/>
      <c r="K102" s="2698" t="s">
        <v>493</v>
      </c>
      <c r="L102" s="2839">
        <v>22</v>
      </c>
      <c r="M102" s="2841">
        <v>20</v>
      </c>
      <c r="N102" s="832"/>
      <c r="O102" s="2843" t="s">
        <v>555</v>
      </c>
    </row>
    <row r="103" spans="1:21" s="3" customFormat="1" ht="29.25" customHeight="1" x14ac:dyDescent="0.25">
      <c r="A103" s="1958"/>
      <c r="B103" s="1959"/>
      <c r="C103" s="2002"/>
      <c r="D103" s="169"/>
      <c r="E103" s="1209"/>
      <c r="F103" s="111"/>
      <c r="G103" s="1340"/>
      <c r="H103" s="2033"/>
      <c r="I103" s="2034"/>
      <c r="J103" s="2146"/>
      <c r="K103" s="2838"/>
      <c r="L103" s="2840"/>
      <c r="M103" s="2842"/>
      <c r="N103" s="2148"/>
      <c r="O103" s="2844"/>
    </row>
    <row r="104" spans="1:21" s="3" customFormat="1" ht="51" customHeight="1" x14ac:dyDescent="0.25">
      <c r="A104" s="1958"/>
      <c r="B104" s="1959"/>
      <c r="C104" s="2002"/>
      <c r="D104" s="1966" t="s">
        <v>80</v>
      </c>
      <c r="E104" s="1209"/>
      <c r="F104" s="111"/>
      <c r="G104" s="1340"/>
      <c r="H104" s="1381"/>
      <c r="I104" s="2047"/>
      <c r="J104" s="2149"/>
      <c r="K104" s="813" t="s">
        <v>492</v>
      </c>
      <c r="L104" s="320">
        <v>45</v>
      </c>
      <c r="M104" s="1936">
        <v>39</v>
      </c>
      <c r="N104" s="443"/>
      <c r="O104" s="2150" t="s">
        <v>556</v>
      </c>
    </row>
    <row r="105" spans="1:21" s="131" customFormat="1" ht="44.25" customHeight="1" x14ac:dyDescent="0.25">
      <c r="A105" s="1896"/>
      <c r="B105" s="1959"/>
      <c r="C105" s="129"/>
      <c r="D105" s="1237" t="s">
        <v>494</v>
      </c>
      <c r="E105" s="1209"/>
      <c r="F105" s="111"/>
      <c r="G105" s="28"/>
      <c r="H105" s="1427"/>
      <c r="I105" s="2151"/>
      <c r="J105" s="2149"/>
      <c r="K105" s="1932" t="s">
        <v>495</v>
      </c>
      <c r="L105" s="1829">
        <v>5</v>
      </c>
      <c r="M105" s="1939">
        <v>5</v>
      </c>
      <c r="N105" s="544"/>
      <c r="O105" s="1933"/>
    </row>
    <row r="106" spans="1:21" s="131" customFormat="1" ht="17.25" customHeight="1" thickBot="1" x14ac:dyDescent="0.3">
      <c r="A106" s="1853"/>
      <c r="B106" s="1953"/>
      <c r="C106" s="1239"/>
      <c r="D106" s="2539" t="s">
        <v>49</v>
      </c>
      <c r="E106" s="2540"/>
      <c r="F106" s="2540"/>
      <c r="G106" s="2831"/>
      <c r="H106" s="2152">
        <f>SUM(H68:H105)</f>
        <v>5433.6999999999989</v>
      </c>
      <c r="I106" s="2153">
        <f>SUM(I68:I105)-I92-I93</f>
        <v>5678.1</v>
      </c>
      <c r="J106" s="2153">
        <f>SUM(J68:J105)-J92-J93</f>
        <v>5458.9</v>
      </c>
      <c r="K106" s="1879"/>
      <c r="L106" s="2073"/>
      <c r="M106" s="1994"/>
      <c r="N106" s="2154"/>
      <c r="O106" s="1824"/>
    </row>
    <row r="107" spans="1:21" s="141" customFormat="1" ht="47.25" customHeight="1" x14ac:dyDescent="0.25">
      <c r="A107" s="2631" t="s">
        <v>22</v>
      </c>
      <c r="B107" s="2633" t="s">
        <v>50</v>
      </c>
      <c r="C107" s="2635" t="s">
        <v>50</v>
      </c>
      <c r="D107" s="2602" t="s">
        <v>81</v>
      </c>
      <c r="E107" s="2638" t="s">
        <v>321</v>
      </c>
      <c r="F107" s="2640" t="s">
        <v>27</v>
      </c>
      <c r="G107" s="1990" t="s">
        <v>31</v>
      </c>
      <c r="H107" s="1303">
        <v>322.7</v>
      </c>
      <c r="I107" s="2075">
        <v>427.7</v>
      </c>
      <c r="J107" s="2075">
        <v>417.6</v>
      </c>
      <c r="K107" s="2642" t="s">
        <v>275</v>
      </c>
      <c r="L107" s="2155">
        <v>90</v>
      </c>
      <c r="M107" s="2156">
        <v>90</v>
      </c>
      <c r="N107" s="2644"/>
      <c r="O107" s="1880"/>
      <c r="P107" s="147"/>
    </row>
    <row r="108" spans="1:21" s="147" customFormat="1" ht="21.75" customHeight="1" thickBot="1" x14ac:dyDescent="0.3">
      <c r="A108" s="2632"/>
      <c r="B108" s="2634"/>
      <c r="C108" s="2636"/>
      <c r="D108" s="2637"/>
      <c r="E108" s="2639"/>
      <c r="F108" s="2641"/>
      <c r="G108" s="142" t="s">
        <v>36</v>
      </c>
      <c r="H108" s="2055">
        <f>SUM(H107)</f>
        <v>322.7</v>
      </c>
      <c r="I108" s="2056">
        <f>SUM(I107)</f>
        <v>427.7</v>
      </c>
      <c r="J108" s="2056">
        <f>SUM(J107)</f>
        <v>417.6</v>
      </c>
      <c r="K108" s="2643"/>
      <c r="L108" s="2083"/>
      <c r="M108" s="1166"/>
      <c r="N108" s="2645"/>
      <c r="O108" s="1982"/>
    </row>
    <row r="109" spans="1:21" s="2" customFormat="1" ht="42" customHeight="1" x14ac:dyDescent="0.25">
      <c r="A109" s="1881" t="s">
        <v>22</v>
      </c>
      <c r="B109" s="149" t="s">
        <v>50</v>
      </c>
      <c r="C109" s="1995" t="s">
        <v>54</v>
      </c>
      <c r="D109" s="2612" t="s">
        <v>82</v>
      </c>
      <c r="E109" s="1224"/>
      <c r="F109" s="606" t="s">
        <v>27</v>
      </c>
      <c r="G109" s="1990" t="s">
        <v>31</v>
      </c>
      <c r="H109" s="1882">
        <v>695.8</v>
      </c>
      <c r="I109" s="2157">
        <v>560.9</v>
      </c>
      <c r="J109" s="2157">
        <v>537.70000000000005</v>
      </c>
      <c r="K109" s="1956"/>
      <c r="L109" s="153"/>
      <c r="M109" s="154"/>
      <c r="N109" s="2158"/>
      <c r="O109" s="653"/>
    </row>
    <row r="110" spans="1:21" s="2" customFormat="1" ht="53.25" customHeight="1" x14ac:dyDescent="0.25">
      <c r="A110" s="1883"/>
      <c r="B110" s="157"/>
      <c r="C110" s="1190"/>
      <c r="D110" s="2613"/>
      <c r="E110" s="2306"/>
      <c r="F110" s="187"/>
      <c r="G110" s="2307"/>
      <c r="H110" s="160"/>
      <c r="I110" s="2149"/>
      <c r="J110" s="2149"/>
      <c r="K110" s="819"/>
      <c r="L110" s="2008"/>
      <c r="M110" s="1938"/>
      <c r="N110" s="311"/>
      <c r="O110" s="1997"/>
    </row>
    <row r="111" spans="1:21" s="2" customFormat="1" ht="66.75" customHeight="1" x14ac:dyDescent="0.25">
      <c r="A111" s="1883"/>
      <c r="B111" s="157"/>
      <c r="C111" s="1190"/>
      <c r="D111" s="65" t="s">
        <v>217</v>
      </c>
      <c r="E111" s="1884"/>
      <c r="F111" s="187"/>
      <c r="G111" s="1980"/>
      <c r="H111" s="1302"/>
      <c r="I111" s="2132"/>
      <c r="J111" s="2132"/>
      <c r="K111" s="2159" t="s">
        <v>496</v>
      </c>
      <c r="L111" s="2160" t="s">
        <v>474</v>
      </c>
      <c r="M111" s="53" t="s">
        <v>474</v>
      </c>
      <c r="N111" s="2161"/>
      <c r="O111" s="54"/>
      <c r="S111" s="3"/>
    </row>
    <row r="112" spans="1:21" s="2" customFormat="1" ht="62.25" customHeight="1" x14ac:dyDescent="0.25">
      <c r="A112" s="2422"/>
      <c r="B112" s="2423"/>
      <c r="C112" s="2424"/>
      <c r="D112" s="65" t="s">
        <v>219</v>
      </c>
      <c r="E112" s="2162" t="s">
        <v>324</v>
      </c>
      <c r="F112" s="941"/>
      <c r="G112" s="2386"/>
      <c r="H112" s="70"/>
      <c r="I112" s="2151"/>
      <c r="J112" s="2151"/>
      <c r="K112" s="2163" t="s">
        <v>220</v>
      </c>
      <c r="L112" s="274">
        <v>20</v>
      </c>
      <c r="M112" s="275">
        <v>20</v>
      </c>
      <c r="N112" s="561"/>
      <c r="O112" s="560"/>
      <c r="U112" s="3"/>
    </row>
    <row r="113" spans="1:20" s="2" customFormat="1" ht="55.5" customHeight="1" x14ac:dyDescent="0.25">
      <c r="A113" s="1883"/>
      <c r="B113" s="157"/>
      <c r="C113" s="1190"/>
      <c r="D113" s="65" t="s">
        <v>221</v>
      </c>
      <c r="E113" s="1976"/>
      <c r="F113" s="187"/>
      <c r="G113" s="1980"/>
      <c r="H113" s="160"/>
      <c r="I113" s="2149"/>
      <c r="J113" s="2149"/>
      <c r="K113" s="2163" t="s">
        <v>497</v>
      </c>
      <c r="L113" s="2368">
        <v>34</v>
      </c>
      <c r="M113" s="2369">
        <v>34</v>
      </c>
      <c r="N113" s="311"/>
      <c r="O113" s="2395"/>
      <c r="P113" s="3"/>
      <c r="Q113" s="3"/>
    </row>
    <row r="114" spans="1:20" s="2" customFormat="1" ht="56.25" customHeight="1" x14ac:dyDescent="0.25">
      <c r="A114" s="1883"/>
      <c r="B114" s="157"/>
      <c r="C114" s="1190"/>
      <c r="D114" s="65" t="s">
        <v>223</v>
      </c>
      <c r="E114" s="1884" t="s">
        <v>312</v>
      </c>
      <c r="F114" s="187"/>
      <c r="G114" s="1980"/>
      <c r="H114" s="69"/>
      <c r="I114" s="2069"/>
      <c r="J114" s="2069"/>
      <c r="K114" s="2164" t="s">
        <v>498</v>
      </c>
      <c r="L114" s="411">
        <v>100</v>
      </c>
      <c r="M114" s="164">
        <v>110</v>
      </c>
      <c r="N114" s="517"/>
      <c r="O114" s="412"/>
      <c r="P114" s="3"/>
    </row>
    <row r="115" spans="1:20" s="2" customFormat="1" ht="78.75" customHeight="1" x14ac:dyDescent="0.25">
      <c r="A115" s="1883"/>
      <c r="B115" s="157"/>
      <c r="C115" s="1190"/>
      <c r="D115" s="169" t="s">
        <v>283</v>
      </c>
      <c r="E115" s="2334" t="s">
        <v>311</v>
      </c>
      <c r="F115" s="187"/>
      <c r="G115" s="2383"/>
      <c r="H115" s="160"/>
      <c r="I115" s="2149"/>
      <c r="J115" s="2149"/>
      <c r="K115" s="2164" t="s">
        <v>499</v>
      </c>
      <c r="L115" s="411">
        <v>150</v>
      </c>
      <c r="M115" s="164">
        <v>115</v>
      </c>
      <c r="N115" s="2294"/>
      <c r="O115" s="2147" t="s">
        <v>557</v>
      </c>
      <c r="P115" s="3"/>
    </row>
    <row r="116" spans="1:20" s="2" customFormat="1" ht="69" customHeight="1" x14ac:dyDescent="0.25">
      <c r="A116" s="1958"/>
      <c r="B116" s="1959"/>
      <c r="C116" s="1992"/>
      <c r="D116" s="918" t="s">
        <v>282</v>
      </c>
      <c r="E116" s="2351" t="s">
        <v>322</v>
      </c>
      <c r="F116" s="1949"/>
      <c r="G116" s="1980"/>
      <c r="H116" s="1830"/>
      <c r="I116" s="2034"/>
      <c r="J116" s="2034"/>
      <c r="K116" s="2163" t="s">
        <v>500</v>
      </c>
      <c r="L116" s="541">
        <v>1</v>
      </c>
      <c r="M116" s="551">
        <v>1</v>
      </c>
      <c r="N116" s="2421"/>
      <c r="O116" s="552"/>
    </row>
    <row r="117" spans="1:20" s="2" customFormat="1" ht="38.25" customHeight="1" x14ac:dyDescent="0.25">
      <c r="A117" s="1958"/>
      <c r="B117" s="1959"/>
      <c r="C117" s="1992"/>
      <c r="D117" s="2627" t="s">
        <v>88</v>
      </c>
      <c r="E117" s="1998" t="s">
        <v>313</v>
      </c>
      <c r="F117" s="1949"/>
      <c r="G117" s="1980"/>
      <c r="H117" s="176"/>
      <c r="I117" s="2038"/>
      <c r="J117" s="2038"/>
      <c r="K117" s="2629" t="s">
        <v>501</v>
      </c>
      <c r="L117" s="533">
        <v>15</v>
      </c>
      <c r="M117" s="2165">
        <v>15</v>
      </c>
      <c r="N117" s="2166"/>
      <c r="O117" s="1885"/>
    </row>
    <row r="118" spans="1:20" s="2" customFormat="1" ht="19.5" customHeight="1" thickBot="1" x14ac:dyDescent="0.3">
      <c r="A118" s="1951"/>
      <c r="B118" s="1953"/>
      <c r="C118" s="1955"/>
      <c r="D118" s="2628"/>
      <c r="E118" s="1972"/>
      <c r="F118" s="1947"/>
      <c r="G118" s="80" t="s">
        <v>36</v>
      </c>
      <c r="H118" s="2167">
        <f>SUM(H109:H117)</f>
        <v>695.8</v>
      </c>
      <c r="I118" s="2168">
        <f>SUM(I109:I117)</f>
        <v>560.9</v>
      </c>
      <c r="J118" s="2168">
        <f t="shared" ref="J118" si="1">SUM(J109:J117)</f>
        <v>537.70000000000005</v>
      </c>
      <c r="K118" s="2630"/>
      <c r="L118" s="2073"/>
      <c r="M118" s="1994"/>
      <c r="N118" s="2154"/>
      <c r="O118" s="1824"/>
    </row>
    <row r="119" spans="1:20" s="2" customFormat="1" ht="15.75" customHeight="1" x14ac:dyDescent="0.25">
      <c r="A119" s="1881" t="s">
        <v>22</v>
      </c>
      <c r="B119" s="149" t="s">
        <v>50</v>
      </c>
      <c r="C119" s="2394" t="s">
        <v>56</v>
      </c>
      <c r="D119" s="2614" t="s">
        <v>89</v>
      </c>
      <c r="E119" s="2616" t="s">
        <v>317</v>
      </c>
      <c r="F119" s="606" t="s">
        <v>27</v>
      </c>
      <c r="G119" s="2389" t="s">
        <v>31</v>
      </c>
      <c r="H119" s="2169">
        <v>201.2</v>
      </c>
      <c r="I119" s="2170">
        <v>201.2</v>
      </c>
      <c r="J119" s="2169">
        <v>201.2</v>
      </c>
      <c r="K119" s="2590" t="s">
        <v>90</v>
      </c>
      <c r="L119" s="2378">
        <v>46</v>
      </c>
      <c r="M119" s="2380">
        <v>37</v>
      </c>
      <c r="N119" s="2803" t="s">
        <v>558</v>
      </c>
      <c r="O119" s="2804"/>
    </row>
    <row r="120" spans="1:20" s="2" customFormat="1" ht="15.75" customHeight="1" x14ac:dyDescent="0.25">
      <c r="A120" s="1883"/>
      <c r="B120" s="157"/>
      <c r="C120" s="2370"/>
      <c r="D120" s="2615"/>
      <c r="E120" s="2617"/>
      <c r="F120" s="187"/>
      <c r="G120" s="2387" t="s">
        <v>52</v>
      </c>
      <c r="H120" s="2171">
        <v>220.7</v>
      </c>
      <c r="I120" s="2172">
        <v>220.7</v>
      </c>
      <c r="J120" s="2171">
        <v>241</v>
      </c>
      <c r="K120" s="2591"/>
      <c r="L120" s="2379"/>
      <c r="M120" s="2381"/>
      <c r="N120" s="2805"/>
      <c r="O120" s="2806"/>
    </row>
    <row r="121" spans="1:20" s="2" customFormat="1" ht="30" customHeight="1" x14ac:dyDescent="0.25">
      <c r="A121" s="1883"/>
      <c r="B121" s="157"/>
      <c r="C121" s="2370"/>
      <c r="D121" s="183" t="s">
        <v>91</v>
      </c>
      <c r="E121" s="2617"/>
      <c r="F121" s="187"/>
      <c r="G121" s="2384"/>
      <c r="H121" s="29"/>
      <c r="I121" s="2032"/>
      <c r="J121" s="2032"/>
      <c r="K121" s="2591"/>
      <c r="L121" s="2379"/>
      <c r="M121" s="2381"/>
      <c r="N121" s="2805"/>
      <c r="O121" s="2806"/>
      <c r="R121" s="3"/>
    </row>
    <row r="122" spans="1:20" s="2" customFormat="1" ht="15.75" customHeight="1" x14ac:dyDescent="0.25">
      <c r="A122" s="2597"/>
      <c r="B122" s="2599"/>
      <c r="C122" s="2374"/>
      <c r="D122" s="2620" t="s">
        <v>93</v>
      </c>
      <c r="E122" s="2617"/>
      <c r="F122" s="2376"/>
      <c r="G122" s="2384"/>
      <c r="H122" s="188"/>
      <c r="I122" s="2082"/>
      <c r="J122" s="188"/>
      <c r="K122" s="2622"/>
      <c r="L122" s="2173"/>
      <c r="M122" s="2174"/>
      <c r="N122" s="2805"/>
      <c r="O122" s="2806"/>
    </row>
    <row r="123" spans="1:20" s="2" customFormat="1" ht="15.75" customHeight="1" x14ac:dyDescent="0.25">
      <c r="A123" s="2597"/>
      <c r="B123" s="2599"/>
      <c r="C123" s="2374"/>
      <c r="D123" s="2548"/>
      <c r="E123" s="1886"/>
      <c r="F123" s="2376"/>
      <c r="G123" s="28"/>
      <c r="H123" s="188"/>
      <c r="I123" s="2082"/>
      <c r="J123" s="2082"/>
      <c r="K123" s="2622"/>
      <c r="L123" s="2173"/>
      <c r="M123" s="2174"/>
      <c r="N123" s="2805"/>
      <c r="O123" s="2806"/>
    </row>
    <row r="124" spans="1:20" s="2" customFormat="1" ht="13.5" customHeight="1" x14ac:dyDescent="0.25">
      <c r="A124" s="2618"/>
      <c r="B124" s="2619"/>
      <c r="C124" s="908" t="s">
        <v>411</v>
      </c>
      <c r="D124" s="2621"/>
      <c r="E124" s="1887"/>
      <c r="F124" s="2446"/>
      <c r="G124" s="35"/>
      <c r="H124" s="2447"/>
      <c r="I124" s="2302"/>
      <c r="J124" s="2302"/>
      <c r="K124" s="2623"/>
      <c r="L124" s="2448"/>
      <c r="M124" s="2449"/>
      <c r="N124" s="2829"/>
      <c r="O124" s="2830"/>
    </row>
    <row r="125" spans="1:20" s="2" customFormat="1" ht="105.6" customHeight="1" x14ac:dyDescent="0.25">
      <c r="A125" s="1883"/>
      <c r="B125" s="157"/>
      <c r="C125" s="1960"/>
      <c r="D125" s="2624" t="s">
        <v>328</v>
      </c>
      <c r="E125" s="2617" t="s">
        <v>315</v>
      </c>
      <c r="F125" s="187"/>
      <c r="G125" s="28"/>
      <c r="H125" s="29"/>
      <c r="I125" s="2032"/>
      <c r="J125" s="2032"/>
      <c r="K125" s="1922"/>
      <c r="L125" s="2173"/>
      <c r="M125" s="2174"/>
      <c r="N125" s="2301"/>
      <c r="O125" s="2300"/>
      <c r="R125" s="3"/>
      <c r="T125" s="3"/>
    </row>
    <row r="126" spans="1:20" s="2" customFormat="1" ht="16.5" customHeight="1" thickBot="1" x14ac:dyDescent="0.3">
      <c r="A126" s="1951"/>
      <c r="B126" s="1953"/>
      <c r="C126" s="1955"/>
      <c r="D126" s="2625"/>
      <c r="E126" s="2626"/>
      <c r="F126" s="1973"/>
      <c r="G126" s="142" t="s">
        <v>36</v>
      </c>
      <c r="H126" s="143">
        <f>SUM(H119:H125)</f>
        <v>421.9</v>
      </c>
      <c r="I126" s="2175">
        <f>SUM(I119:I125)</f>
        <v>421.9</v>
      </c>
      <c r="J126" s="2175">
        <f t="shared" ref="J126" si="2">SUM(J119:J125)</f>
        <v>442.2</v>
      </c>
      <c r="K126" s="1888"/>
      <c r="L126" s="195"/>
      <c r="M126" s="196"/>
      <c r="N126" s="2176"/>
      <c r="O126" s="1259"/>
    </row>
    <row r="127" spans="1:20" s="2" customFormat="1" ht="27" customHeight="1" x14ac:dyDescent="0.25">
      <c r="A127" s="2596" t="s">
        <v>22</v>
      </c>
      <c r="B127" s="2598" t="s">
        <v>50</v>
      </c>
      <c r="C127" s="2326" t="s">
        <v>59</v>
      </c>
      <c r="D127" s="2600" t="s">
        <v>94</v>
      </c>
      <c r="E127" s="92"/>
      <c r="F127" s="2352" t="s">
        <v>95</v>
      </c>
      <c r="G127" s="2346" t="s">
        <v>31</v>
      </c>
      <c r="H127" s="1528">
        <v>90</v>
      </c>
      <c r="I127" s="2070">
        <v>90</v>
      </c>
      <c r="J127" s="2070">
        <v>89.66</v>
      </c>
      <c r="K127" s="198" t="s">
        <v>96</v>
      </c>
      <c r="L127" s="199">
        <v>27</v>
      </c>
      <c r="M127" s="200">
        <v>28</v>
      </c>
      <c r="N127" s="2177"/>
      <c r="O127" s="201"/>
    </row>
    <row r="128" spans="1:20" s="2" customFormat="1" ht="27" customHeight="1" x14ac:dyDescent="0.25">
      <c r="A128" s="2597"/>
      <c r="B128" s="2599"/>
      <c r="C128" s="2327"/>
      <c r="D128" s="2524"/>
      <c r="E128" s="91"/>
      <c r="F128" s="2330"/>
      <c r="G128" s="592" t="s">
        <v>28</v>
      </c>
      <c r="H128" s="338"/>
      <c r="I128" s="2069">
        <v>30.9</v>
      </c>
      <c r="J128" s="2069">
        <v>12.864000000000001</v>
      </c>
      <c r="K128" s="919" t="s">
        <v>502</v>
      </c>
      <c r="L128" s="630">
        <v>10</v>
      </c>
      <c r="M128" s="963">
        <v>10</v>
      </c>
      <c r="N128" s="2178"/>
      <c r="O128" s="964"/>
    </row>
    <row r="129" spans="1:18" s="2" customFormat="1" ht="43.15" customHeight="1" x14ac:dyDescent="0.25">
      <c r="A129" s="2597"/>
      <c r="B129" s="2599"/>
      <c r="C129" s="2327"/>
      <c r="D129" s="2524"/>
      <c r="E129" s="91"/>
      <c r="F129" s="2330"/>
      <c r="G129" s="1180" t="s">
        <v>52</v>
      </c>
      <c r="H129" s="338">
        <v>110</v>
      </c>
      <c r="I129" s="2179">
        <v>110</v>
      </c>
      <c r="J129" s="2179">
        <v>120.654</v>
      </c>
      <c r="K129" s="247" t="s">
        <v>276</v>
      </c>
      <c r="L129" s="630">
        <v>10</v>
      </c>
      <c r="M129" s="631">
        <v>10</v>
      </c>
      <c r="N129" s="2180"/>
      <c r="O129" s="632"/>
    </row>
    <row r="130" spans="1:18" s="2" customFormat="1" ht="29.25" customHeight="1" thickBot="1" x14ac:dyDescent="0.3">
      <c r="A130" s="2324"/>
      <c r="B130" s="2325"/>
      <c r="C130" s="2328"/>
      <c r="D130" s="2601"/>
      <c r="E130" s="88"/>
      <c r="F130" s="2331"/>
      <c r="G130" s="94" t="s">
        <v>36</v>
      </c>
      <c r="H130" s="75">
        <f>SUM(H127:H129)</f>
        <v>200</v>
      </c>
      <c r="I130" s="2066">
        <f>SUM(I127:I129)</f>
        <v>230.9</v>
      </c>
      <c r="J130" s="2066">
        <f>SUM(J127:J129)</f>
        <v>223.178</v>
      </c>
      <c r="K130" s="2181" t="s">
        <v>427</v>
      </c>
      <c r="L130" s="2425">
        <v>30</v>
      </c>
      <c r="M130" s="2426">
        <v>30</v>
      </c>
      <c r="N130" s="2427"/>
      <c r="O130" s="2428"/>
    </row>
    <row r="131" spans="1:18" s="2" customFormat="1" ht="24.75" customHeight="1" x14ac:dyDescent="0.25">
      <c r="A131" s="1950" t="s">
        <v>22</v>
      </c>
      <c r="B131" s="1952" t="s">
        <v>50</v>
      </c>
      <c r="C131" s="1954" t="s">
        <v>97</v>
      </c>
      <c r="D131" s="2602" t="s">
        <v>301</v>
      </c>
      <c r="E131" s="92"/>
      <c r="F131" s="2604">
        <v>3</v>
      </c>
      <c r="G131" s="1988" t="s">
        <v>31</v>
      </c>
      <c r="H131" s="209">
        <v>4.5</v>
      </c>
      <c r="I131" s="2182">
        <v>4.5</v>
      </c>
      <c r="J131" s="2182">
        <v>3.8</v>
      </c>
      <c r="K131" s="1291" t="s">
        <v>307</v>
      </c>
      <c r="L131" s="2183">
        <v>2</v>
      </c>
      <c r="M131" s="210">
        <v>2</v>
      </c>
      <c r="N131" s="92"/>
      <c r="O131" s="1826"/>
    </row>
    <row r="132" spans="1:18" s="2" customFormat="1" ht="16.5" customHeight="1" thickBot="1" x14ac:dyDescent="0.3">
      <c r="A132" s="1958"/>
      <c r="B132" s="1959"/>
      <c r="C132" s="1992"/>
      <c r="D132" s="2603"/>
      <c r="E132" s="1889"/>
      <c r="F132" s="2605"/>
      <c r="G132" s="2184" t="s">
        <v>36</v>
      </c>
      <c r="H132" s="37">
        <f>H131</f>
        <v>4.5</v>
      </c>
      <c r="I132" s="2035">
        <f>I131</f>
        <v>4.5</v>
      </c>
      <c r="J132" s="2035">
        <f>J131</f>
        <v>3.8</v>
      </c>
      <c r="K132" s="1967"/>
      <c r="L132" s="2039"/>
      <c r="M132" s="1937"/>
      <c r="N132" s="91"/>
      <c r="O132" s="1833"/>
    </row>
    <row r="133" spans="1:18" s="2" customFormat="1" ht="18.75" customHeight="1" x14ac:dyDescent="0.25">
      <c r="A133" s="2574" t="s">
        <v>22</v>
      </c>
      <c r="B133" s="2576" t="s">
        <v>50</v>
      </c>
      <c r="C133" s="2578" t="s">
        <v>100</v>
      </c>
      <c r="D133" s="2580" t="s">
        <v>337</v>
      </c>
      <c r="E133" s="2581"/>
      <c r="F133" s="2583">
        <v>3</v>
      </c>
      <c r="G133" s="107" t="s">
        <v>28</v>
      </c>
      <c r="H133" s="221">
        <v>95.5</v>
      </c>
      <c r="I133" s="2185">
        <v>94.4</v>
      </c>
      <c r="J133" s="2186">
        <v>92.6</v>
      </c>
      <c r="K133" s="1965" t="s">
        <v>333</v>
      </c>
      <c r="L133" s="2071">
        <v>350</v>
      </c>
      <c r="M133" s="1993">
        <v>471</v>
      </c>
      <c r="N133" s="2680"/>
      <c r="O133" s="1929"/>
    </row>
    <row r="134" spans="1:18" s="2" customFormat="1" ht="18.75" customHeight="1" x14ac:dyDescent="0.25">
      <c r="A134" s="2575"/>
      <c r="B134" s="2577"/>
      <c r="C134" s="2579"/>
      <c r="D134" s="2573"/>
      <c r="E134" s="2582"/>
      <c r="F134" s="2584"/>
      <c r="G134" s="422" t="s">
        <v>334</v>
      </c>
      <c r="H134" s="2187">
        <v>212</v>
      </c>
      <c r="I134" s="2188">
        <v>212</v>
      </c>
      <c r="J134" s="2188">
        <v>208.3</v>
      </c>
      <c r="K134" s="95"/>
      <c r="L134" s="320"/>
      <c r="M134" s="1936"/>
      <c r="N134" s="2789"/>
      <c r="O134" s="84"/>
    </row>
    <row r="135" spans="1:18" s="2" customFormat="1" ht="18.75" customHeight="1" x14ac:dyDescent="0.25">
      <c r="A135" s="2575"/>
      <c r="B135" s="2577"/>
      <c r="C135" s="2579"/>
      <c r="D135" s="2573"/>
      <c r="E135" s="2582"/>
      <c r="F135" s="2584"/>
      <c r="G135" s="422" t="s">
        <v>413</v>
      </c>
      <c r="H135" s="2187">
        <v>2.6</v>
      </c>
      <c r="I135" s="2188">
        <v>3.7</v>
      </c>
      <c r="J135" s="2189">
        <v>3.7</v>
      </c>
      <c r="K135" s="95"/>
      <c r="L135" s="320"/>
      <c r="M135" s="1936"/>
      <c r="N135" s="2789"/>
      <c r="O135" s="84"/>
    </row>
    <row r="136" spans="1:18" s="2" customFormat="1" ht="15" customHeight="1" thickBot="1" x14ac:dyDescent="0.3">
      <c r="A136" s="2606"/>
      <c r="B136" s="2607"/>
      <c r="C136" s="2608"/>
      <c r="D136" s="2609"/>
      <c r="E136" s="2610"/>
      <c r="F136" s="2611"/>
      <c r="G136" s="80" t="s">
        <v>36</v>
      </c>
      <c r="H136" s="1747">
        <f>SUM(H133:H135)</f>
        <v>310.10000000000002</v>
      </c>
      <c r="I136" s="2066">
        <f>SUM(I133:I135)</f>
        <v>310.09999999999997</v>
      </c>
      <c r="J136" s="2066">
        <f>SUM(J133:J135)</f>
        <v>304.59999999999997</v>
      </c>
      <c r="K136" s="505"/>
      <c r="L136" s="328"/>
      <c r="M136" s="329"/>
      <c r="N136" s="2802"/>
      <c r="O136" s="330"/>
    </row>
    <row r="137" spans="1:18" s="2" customFormat="1" ht="35.25" customHeight="1" x14ac:dyDescent="0.25">
      <c r="A137" s="2574" t="s">
        <v>22</v>
      </c>
      <c r="B137" s="2576" t="s">
        <v>50</v>
      </c>
      <c r="C137" s="2578" t="s">
        <v>211</v>
      </c>
      <c r="D137" s="2587" t="s">
        <v>428</v>
      </c>
      <c r="E137" s="2581"/>
      <c r="F137" s="2583">
        <v>3</v>
      </c>
      <c r="G137" s="15" t="s">
        <v>31</v>
      </c>
      <c r="H137" s="1543">
        <v>26.7</v>
      </c>
      <c r="I137" s="2190">
        <v>5</v>
      </c>
      <c r="J137" s="2151">
        <v>1.8</v>
      </c>
      <c r="K137" s="2590" t="s">
        <v>503</v>
      </c>
      <c r="L137" s="2592">
        <v>1</v>
      </c>
      <c r="M137" s="2594"/>
      <c r="N137" s="2803" t="s">
        <v>559</v>
      </c>
      <c r="O137" s="2804"/>
    </row>
    <row r="138" spans="1:18" s="2" customFormat="1" ht="51.75" customHeight="1" x14ac:dyDescent="0.25">
      <c r="A138" s="2575"/>
      <c r="B138" s="2577"/>
      <c r="C138" s="2579"/>
      <c r="D138" s="2588"/>
      <c r="E138" s="2582"/>
      <c r="F138" s="2584"/>
      <c r="G138" s="22" t="s">
        <v>334</v>
      </c>
      <c r="H138" s="1894">
        <v>122.6</v>
      </c>
      <c r="I138" s="2189">
        <v>122.6</v>
      </c>
      <c r="J138" s="2189"/>
      <c r="K138" s="2591"/>
      <c r="L138" s="2593"/>
      <c r="M138" s="2595"/>
      <c r="N138" s="2805"/>
      <c r="O138" s="2806"/>
    </row>
    <row r="139" spans="1:18" s="2" customFormat="1" ht="18" customHeight="1" x14ac:dyDescent="0.25">
      <c r="A139" s="2575"/>
      <c r="B139" s="2577"/>
      <c r="C139" s="2579"/>
      <c r="D139" s="2588"/>
      <c r="E139" s="2582"/>
      <c r="F139" s="2584"/>
      <c r="G139" s="39"/>
      <c r="H139" s="2193"/>
      <c r="I139" s="2194"/>
      <c r="J139" s="2194"/>
      <c r="K139" s="1942"/>
      <c r="L139" s="2191"/>
      <c r="M139" s="2192"/>
      <c r="N139" s="2805"/>
      <c r="O139" s="2806"/>
    </row>
    <row r="140" spans="1:18" s="2" customFormat="1" ht="15.75" customHeight="1" thickBot="1" x14ac:dyDescent="0.3">
      <c r="A140" s="2575"/>
      <c r="B140" s="2577"/>
      <c r="C140" s="2579"/>
      <c r="D140" s="2589"/>
      <c r="E140" s="2582"/>
      <c r="F140" s="2584"/>
      <c r="G140" s="80" t="s">
        <v>36</v>
      </c>
      <c r="H140" s="2195">
        <f>SUM(H137:H139)</f>
        <v>149.29999999999998</v>
      </c>
      <c r="I140" s="2196">
        <f>SUM(I137:I139)</f>
        <v>127.6</v>
      </c>
      <c r="J140" s="2196">
        <f t="shared" ref="J140" si="3">SUM(J137:J139)</f>
        <v>1.8</v>
      </c>
      <c r="K140" s="1918"/>
      <c r="L140" s="1855"/>
      <c r="M140" s="1919"/>
      <c r="N140" s="2807"/>
      <c r="O140" s="2808"/>
    </row>
    <row r="141" spans="1:18" s="2" customFormat="1" ht="20.25" customHeight="1" x14ac:dyDescent="0.25">
      <c r="A141" s="2574" t="s">
        <v>22</v>
      </c>
      <c r="B141" s="2576" t="s">
        <v>50</v>
      </c>
      <c r="C141" s="2578" t="s">
        <v>214</v>
      </c>
      <c r="D141" s="2580" t="s">
        <v>429</v>
      </c>
      <c r="E141" s="2581"/>
      <c r="F141" s="2583">
        <v>5</v>
      </c>
      <c r="G141" s="1890" t="s">
        <v>31</v>
      </c>
      <c r="H141" s="1891">
        <f>132.3-100</f>
        <v>32.300000000000011</v>
      </c>
      <c r="I141" s="2197">
        <f>132.3-100</f>
        <v>32.300000000000011</v>
      </c>
      <c r="J141" s="2197">
        <v>0</v>
      </c>
      <c r="K141" s="2198" t="s">
        <v>430</v>
      </c>
      <c r="L141" s="640">
        <v>5</v>
      </c>
      <c r="M141" s="2072">
        <v>5</v>
      </c>
      <c r="N141" s="641"/>
      <c r="O141" s="376"/>
    </row>
    <row r="142" spans="1:18" s="2" customFormat="1" ht="30.75" customHeight="1" x14ac:dyDescent="0.25">
      <c r="A142" s="2575"/>
      <c r="B142" s="2577"/>
      <c r="C142" s="2579"/>
      <c r="D142" s="2573"/>
      <c r="E142" s="2582"/>
      <c r="F142" s="2584"/>
      <c r="G142" s="2199" t="s">
        <v>176</v>
      </c>
      <c r="H142" s="1388">
        <v>100</v>
      </c>
      <c r="I142" s="2200">
        <v>50</v>
      </c>
      <c r="J142" s="2200">
        <v>17.100000000000001</v>
      </c>
      <c r="K142" s="2201"/>
      <c r="L142" s="339"/>
      <c r="M142" s="340"/>
      <c r="N142" s="832"/>
      <c r="O142" s="1999"/>
    </row>
    <row r="143" spans="1:18" s="2" customFormat="1" ht="15" customHeight="1" thickBot="1" x14ac:dyDescent="0.3">
      <c r="A143" s="2575"/>
      <c r="B143" s="2577"/>
      <c r="C143" s="2579"/>
      <c r="D143" s="2573"/>
      <c r="E143" s="2582"/>
      <c r="F143" s="2584"/>
      <c r="G143" s="1892" t="s">
        <v>36</v>
      </c>
      <c r="H143" s="143">
        <f>SUM(H141:H142)</f>
        <v>132.30000000000001</v>
      </c>
      <c r="I143" s="2175">
        <f>SUM(I141:I142)</f>
        <v>82.300000000000011</v>
      </c>
      <c r="J143" s="2175">
        <f>SUM(J141:J142)</f>
        <v>17.100000000000001</v>
      </c>
      <c r="K143" s="2202"/>
      <c r="L143" s="2073"/>
      <c r="M143" s="1994"/>
      <c r="N143" s="2154"/>
      <c r="O143" s="1824"/>
    </row>
    <row r="144" spans="1:18" s="2" customFormat="1" ht="16.5" customHeight="1" thickBot="1" x14ac:dyDescent="0.3">
      <c r="A144" s="1863" t="s">
        <v>22</v>
      </c>
      <c r="B144" s="8" t="s">
        <v>50</v>
      </c>
      <c r="C144" s="2541" t="s">
        <v>62</v>
      </c>
      <c r="D144" s="2541"/>
      <c r="E144" s="2541"/>
      <c r="F144" s="2541"/>
      <c r="G144" s="2541"/>
      <c r="H144" s="212">
        <f>H132+H130+H126+H118+H108+H106+H136+H140+H143</f>
        <v>7670.2999999999993</v>
      </c>
      <c r="I144" s="2203">
        <f>I132+I130+I126+I118+I108+I106+I136+I140+I143</f>
        <v>7844.0000000000009</v>
      </c>
      <c r="J144" s="2203">
        <f>J132+J130+J126+J118+J108+J106+J136+J140+J143</f>
        <v>7406.8780000000006</v>
      </c>
      <c r="K144" s="2542"/>
      <c r="L144" s="2543"/>
      <c r="M144" s="2543"/>
      <c r="N144" s="2543"/>
      <c r="O144" s="2544"/>
      <c r="R144" s="3"/>
    </row>
    <row r="145" spans="1:21" s="2" customFormat="1" ht="14.25" customHeight="1" thickBot="1" x14ac:dyDescent="0.3">
      <c r="A145" s="1871" t="s">
        <v>22</v>
      </c>
      <c r="B145" s="8" t="s">
        <v>54</v>
      </c>
      <c r="C145" s="2585" t="s">
        <v>105</v>
      </c>
      <c r="D145" s="2585"/>
      <c r="E145" s="2585"/>
      <c r="F145" s="2585"/>
      <c r="G145" s="2585"/>
      <c r="H145" s="2585"/>
      <c r="I145" s="2585"/>
      <c r="J145" s="2585"/>
      <c r="K145" s="2585"/>
      <c r="L145" s="2585"/>
      <c r="M145" s="2585"/>
      <c r="N145" s="2585"/>
      <c r="O145" s="2586"/>
      <c r="T145" s="3"/>
    </row>
    <row r="146" spans="1:21" s="3" customFormat="1" ht="20.25" customHeight="1" x14ac:dyDescent="0.25">
      <c r="A146" s="1950" t="s">
        <v>22</v>
      </c>
      <c r="B146" s="1952" t="s">
        <v>54</v>
      </c>
      <c r="C146" s="2204" t="s">
        <v>22</v>
      </c>
      <c r="D146" s="2809" t="s">
        <v>106</v>
      </c>
      <c r="E146" s="2205" t="s">
        <v>115</v>
      </c>
      <c r="F146" s="1975">
        <v>5</v>
      </c>
      <c r="G146" s="2309" t="s">
        <v>31</v>
      </c>
      <c r="H146" s="2310">
        <v>336</v>
      </c>
      <c r="I146" s="2310">
        <f>336-52.8</f>
        <v>283.2</v>
      </c>
      <c r="J146" s="2311">
        <f>SUMIF(G149:G157,"sb'",J149:J157)</f>
        <v>126.4</v>
      </c>
      <c r="K146" s="222"/>
      <c r="L146" s="654"/>
      <c r="M146" s="489"/>
      <c r="N146" s="2206"/>
      <c r="O146" s="798"/>
    </row>
    <row r="147" spans="1:21" s="3" customFormat="1" ht="20.25" customHeight="1" x14ac:dyDescent="0.25">
      <c r="A147" s="1958"/>
      <c r="B147" s="1959"/>
      <c r="C147" s="2207"/>
      <c r="D147" s="2810"/>
      <c r="E147" s="2208"/>
      <c r="F147" s="2006"/>
      <c r="G147" s="2312" t="s">
        <v>334</v>
      </c>
      <c r="H147" s="2061">
        <v>435.7</v>
      </c>
      <c r="I147" s="2061">
        <f>435.7-90</f>
        <v>345.7</v>
      </c>
      <c r="J147" s="2313">
        <f>SUMIF(G149:G157,"sb(es)'",J149:J157)</f>
        <v>289.3</v>
      </c>
      <c r="K147" s="243"/>
      <c r="L147" s="660"/>
      <c r="M147" s="1984"/>
      <c r="N147" s="357"/>
      <c r="O147" s="1985"/>
    </row>
    <row r="148" spans="1:21" s="3" customFormat="1" ht="20.25" customHeight="1" x14ac:dyDescent="0.25">
      <c r="A148" s="1958"/>
      <c r="B148" s="1959"/>
      <c r="C148" s="2207"/>
      <c r="D148" s="2209"/>
      <c r="E148" s="2208"/>
      <c r="F148" s="2454"/>
      <c r="G148" s="2467" t="s">
        <v>176</v>
      </c>
      <c r="H148" s="2061">
        <v>178.6</v>
      </c>
      <c r="I148" s="2061">
        <v>178.6</v>
      </c>
      <c r="J148" s="2468">
        <f>SUMIF(G149:G157,"sb(l)'",J149:J157)</f>
        <v>150</v>
      </c>
      <c r="K148" s="243"/>
      <c r="L148" s="660"/>
      <c r="M148" s="1984"/>
      <c r="N148" s="357"/>
      <c r="O148" s="1985"/>
    </row>
    <row r="149" spans="1:21" s="3" customFormat="1" ht="21" customHeight="1" x14ac:dyDescent="0.25">
      <c r="A149" s="1958"/>
      <c r="B149" s="1959"/>
      <c r="C149" s="1978"/>
      <c r="D149" s="2716" t="s">
        <v>504</v>
      </c>
      <c r="E149" s="2429"/>
      <c r="F149" s="2431"/>
      <c r="G149" s="2457" t="s">
        <v>520</v>
      </c>
      <c r="H149" s="2455"/>
      <c r="I149" s="2455"/>
      <c r="J149" s="2456">
        <v>32.4</v>
      </c>
      <c r="K149" s="2211" t="s">
        <v>102</v>
      </c>
      <c r="L149" s="2212">
        <v>1</v>
      </c>
      <c r="M149" s="1917">
        <v>1</v>
      </c>
      <c r="N149" s="2811" t="s">
        <v>560</v>
      </c>
      <c r="O149" s="2812"/>
    </row>
    <row r="150" spans="1:21" s="3" customFormat="1" ht="21" customHeight="1" x14ac:dyDescent="0.25">
      <c r="A150" s="1958"/>
      <c r="B150" s="1959"/>
      <c r="C150" s="1978"/>
      <c r="D150" s="2716"/>
      <c r="E150" s="2429"/>
      <c r="F150" s="2431"/>
      <c r="G150" s="2457" t="s">
        <v>521</v>
      </c>
      <c r="H150" s="2455"/>
      <c r="I150" s="2455"/>
      <c r="J150" s="2456">
        <v>281</v>
      </c>
      <c r="K150" s="1918" t="s">
        <v>104</v>
      </c>
      <c r="L150" s="2191">
        <v>80</v>
      </c>
      <c r="M150" s="2192">
        <v>50</v>
      </c>
      <c r="N150" s="2813"/>
      <c r="O150" s="2814"/>
    </row>
    <row r="151" spans="1:21" s="3" customFormat="1" ht="15.75" customHeight="1" x14ac:dyDescent="0.25">
      <c r="A151" s="2320"/>
      <c r="B151" s="2322"/>
      <c r="C151" s="2350"/>
      <c r="D151" s="2799" t="s">
        <v>505</v>
      </c>
      <c r="E151" s="2429"/>
      <c r="F151" s="2431"/>
      <c r="G151" s="2469" t="s">
        <v>520</v>
      </c>
      <c r="H151" s="2455"/>
      <c r="I151" s="2455"/>
      <c r="J151" s="2456">
        <v>1</v>
      </c>
      <c r="K151" s="2213" t="s">
        <v>102</v>
      </c>
      <c r="L151" s="2214">
        <v>1</v>
      </c>
      <c r="M151" s="2215">
        <v>1</v>
      </c>
      <c r="N151" s="2815" t="s">
        <v>561</v>
      </c>
      <c r="O151" s="2816"/>
    </row>
    <row r="152" spans="1:21" s="3" customFormat="1" ht="27.75" customHeight="1" x14ac:dyDescent="0.25">
      <c r="A152" s="2320"/>
      <c r="B152" s="2322"/>
      <c r="C152" s="2350"/>
      <c r="D152" s="2800"/>
      <c r="E152" s="2429"/>
      <c r="F152" s="2431"/>
      <c r="G152" s="2458" t="s">
        <v>522</v>
      </c>
      <c r="H152" s="2455"/>
      <c r="I152" s="2455"/>
      <c r="J152" s="2456">
        <v>0</v>
      </c>
      <c r="K152" s="1931"/>
      <c r="L152" s="2216"/>
      <c r="M152" s="1921"/>
      <c r="N152" s="2817"/>
      <c r="O152" s="2818"/>
    </row>
    <row r="153" spans="1:21" s="3" customFormat="1" ht="17.25" customHeight="1" x14ac:dyDescent="0.25">
      <c r="A153" s="2415"/>
      <c r="B153" s="2345"/>
      <c r="C153" s="2432"/>
      <c r="D153" s="2801"/>
      <c r="E153" s="2430"/>
      <c r="F153" s="2433"/>
      <c r="G153" s="2459" t="s">
        <v>521</v>
      </c>
      <c r="H153" s="2460"/>
      <c r="I153" s="2460"/>
      <c r="J153" s="2461">
        <v>8.3000000000000007</v>
      </c>
      <c r="K153" s="2434"/>
      <c r="L153" s="2435"/>
      <c r="M153" s="2436"/>
      <c r="N153" s="2819"/>
      <c r="O153" s="2820"/>
    </row>
    <row r="154" spans="1:21" s="2" customFormat="1" ht="33.75" customHeight="1" x14ac:dyDescent="0.25">
      <c r="A154" s="1958"/>
      <c r="B154" s="1959"/>
      <c r="C154" s="2002"/>
      <c r="D154" s="2798" t="s">
        <v>506</v>
      </c>
      <c r="E154" s="2430"/>
      <c r="F154" s="2431"/>
      <c r="G154" s="2458" t="s">
        <v>520</v>
      </c>
      <c r="H154" s="2462"/>
      <c r="I154" s="2462"/>
      <c r="J154" s="2463">
        <v>0</v>
      </c>
      <c r="K154" s="2031" t="s">
        <v>102</v>
      </c>
      <c r="L154" s="2095"/>
      <c r="M154" s="522"/>
      <c r="N154" s="2821" t="s">
        <v>563</v>
      </c>
      <c r="O154" s="2822"/>
      <c r="P154" s="3"/>
      <c r="U154" s="3"/>
    </row>
    <row r="155" spans="1:21" s="2" customFormat="1" ht="36.75" customHeight="1" x14ac:dyDescent="0.25">
      <c r="A155" s="1958"/>
      <c r="B155" s="1959"/>
      <c r="C155" s="2002"/>
      <c r="D155" s="2613"/>
      <c r="E155" s="2217" t="s">
        <v>321</v>
      </c>
      <c r="F155" s="2431"/>
      <c r="G155" s="2458"/>
      <c r="H155" s="2462"/>
      <c r="I155" s="2462"/>
      <c r="J155" s="2463"/>
      <c r="K155" s="1946"/>
      <c r="L155" s="2218"/>
      <c r="M155" s="2219"/>
      <c r="N155" s="2554"/>
      <c r="O155" s="2555"/>
    </row>
    <row r="156" spans="1:21" s="3" customFormat="1" ht="14.25" customHeight="1" x14ac:dyDescent="0.25">
      <c r="A156" s="1958"/>
      <c r="B156" s="1959"/>
      <c r="C156" s="226"/>
      <c r="D156" s="2523" t="s">
        <v>507</v>
      </c>
      <c r="E156" s="2220"/>
      <c r="F156" s="2431"/>
      <c r="G156" s="2469" t="s">
        <v>520</v>
      </c>
      <c r="H156" s="2462"/>
      <c r="I156" s="2462"/>
      <c r="J156" s="2463">
        <v>93</v>
      </c>
      <c r="K156" s="1878" t="s">
        <v>434</v>
      </c>
      <c r="L156" s="762">
        <v>60</v>
      </c>
      <c r="M156" s="2221">
        <v>42</v>
      </c>
      <c r="N156" s="2552" t="s">
        <v>562</v>
      </c>
      <c r="O156" s="2553"/>
    </row>
    <row r="157" spans="1:21" s="3" customFormat="1" ht="14.25" customHeight="1" x14ac:dyDescent="0.25">
      <c r="A157" s="1958"/>
      <c r="B157" s="2000"/>
      <c r="C157" s="226"/>
      <c r="D157" s="2525"/>
      <c r="E157" s="2222"/>
      <c r="F157" s="2210"/>
      <c r="G157" s="2464" t="s">
        <v>522</v>
      </c>
      <c r="H157" s="2465"/>
      <c r="I157" s="2465"/>
      <c r="J157" s="2466">
        <v>150</v>
      </c>
      <c r="K157" s="1878"/>
      <c r="L157" s="762"/>
      <c r="M157" s="2221"/>
      <c r="N157" s="2554"/>
      <c r="O157" s="2555"/>
    </row>
    <row r="158" spans="1:21" s="147" customFormat="1" ht="42.75" customHeight="1" x14ac:dyDescent="0.25">
      <c r="A158" s="1897"/>
      <c r="B158" s="1898"/>
      <c r="C158" s="1899"/>
      <c r="D158" s="2295" t="s">
        <v>327</v>
      </c>
      <c r="E158" s="2303" t="s">
        <v>115</v>
      </c>
      <c r="F158" s="2304">
        <v>1</v>
      </c>
      <c r="G158" s="271" t="s">
        <v>31</v>
      </c>
      <c r="H158" s="1548">
        <v>350</v>
      </c>
      <c r="I158" s="1548">
        <v>350</v>
      </c>
      <c r="J158" s="2305">
        <v>160</v>
      </c>
      <c r="K158" s="2295" t="s">
        <v>329</v>
      </c>
      <c r="L158" s="2014">
        <v>2</v>
      </c>
      <c r="M158" s="2049">
        <v>1</v>
      </c>
      <c r="N158" s="2571" t="s">
        <v>508</v>
      </c>
      <c r="O158" s="2572"/>
    </row>
    <row r="159" spans="1:21" s="1" customFormat="1" ht="16.5" customHeight="1" x14ac:dyDescent="0.2">
      <c r="A159" s="1896"/>
      <c r="B159" s="1959"/>
      <c r="C159" s="1974"/>
      <c r="D159" s="2573" t="s">
        <v>435</v>
      </c>
      <c r="E159" s="2229"/>
      <c r="F159" s="1895" t="s">
        <v>95</v>
      </c>
      <c r="G159" s="1868" t="s">
        <v>31</v>
      </c>
      <c r="H159" s="1640">
        <v>75.900000000000006</v>
      </c>
      <c r="I159" s="1640">
        <v>78.900000000000006</v>
      </c>
      <c r="J159" s="2302">
        <v>78.900000000000006</v>
      </c>
      <c r="K159" s="1877" t="s">
        <v>436</v>
      </c>
      <c r="L159" s="2095">
        <v>9</v>
      </c>
      <c r="M159" s="522">
        <v>9</v>
      </c>
      <c r="N159" s="2228"/>
      <c r="O159" s="573"/>
      <c r="R159" s="251"/>
    </row>
    <row r="160" spans="1:21" s="1" customFormat="1" ht="16.5" customHeight="1" x14ac:dyDescent="0.2">
      <c r="A160" s="1896"/>
      <c r="B160" s="1959"/>
      <c r="C160" s="1974"/>
      <c r="D160" s="2573"/>
      <c r="E160" s="2229"/>
      <c r="F160" s="1895"/>
      <c r="G160" s="1339" t="s">
        <v>176</v>
      </c>
      <c r="H160" s="1640">
        <v>9.1999999999999993</v>
      </c>
      <c r="I160" s="1640">
        <v>25.9</v>
      </c>
      <c r="J160" s="2082">
        <v>25.808</v>
      </c>
      <c r="K160" s="1877"/>
      <c r="L160" s="2095"/>
      <c r="M160" s="2219"/>
      <c r="N160" s="913"/>
      <c r="O160" s="914"/>
      <c r="R160" s="251"/>
    </row>
    <row r="161" spans="1:23" s="2" customFormat="1" ht="16.5" customHeight="1" thickBot="1" x14ac:dyDescent="0.3">
      <c r="A161" s="1951"/>
      <c r="B161" s="1953"/>
      <c r="C161" s="1979"/>
      <c r="D161" s="2556" t="s">
        <v>49</v>
      </c>
      <c r="E161" s="2557"/>
      <c r="F161" s="2557"/>
      <c r="G161" s="2558"/>
      <c r="H161" s="2230">
        <f>SUM(H146:H160)</f>
        <v>1385.4000000000003</v>
      </c>
      <c r="I161" s="2230">
        <f>SUM(I146:I160)</f>
        <v>1262.3000000000002</v>
      </c>
      <c r="J161" s="2231">
        <f>SUM(J146:J148)+J158+J159+J160</f>
        <v>830.40800000000002</v>
      </c>
      <c r="K161" s="2559"/>
      <c r="L161" s="2560"/>
      <c r="M161" s="2560"/>
      <c r="N161" s="2560"/>
      <c r="O161" s="2561"/>
    </row>
    <row r="162" spans="1:23" s="2" customFormat="1" ht="16.5" customHeight="1" thickBot="1" x14ac:dyDescent="0.3">
      <c r="A162" s="1863" t="s">
        <v>22</v>
      </c>
      <c r="B162" s="282" t="s">
        <v>54</v>
      </c>
      <c r="C162" s="2562" t="s">
        <v>62</v>
      </c>
      <c r="D162" s="2541"/>
      <c r="E162" s="2541"/>
      <c r="F162" s="2541"/>
      <c r="G162" s="2563"/>
      <c r="H162" s="212">
        <f>H161</f>
        <v>1385.4000000000003</v>
      </c>
      <c r="I162" s="212">
        <f>I161</f>
        <v>1262.3000000000002</v>
      </c>
      <c r="J162" s="2203">
        <f t="shared" ref="J162" si="4">J161</f>
        <v>830.40800000000002</v>
      </c>
      <c r="K162" s="2542"/>
      <c r="L162" s="2543"/>
      <c r="M162" s="2543"/>
      <c r="N162" s="2543"/>
      <c r="O162" s="2544"/>
    </row>
    <row r="163" spans="1:23" s="1" customFormat="1" ht="16.5" customHeight="1" thickBot="1" x14ac:dyDescent="0.25">
      <c r="A163" s="1863" t="s">
        <v>22</v>
      </c>
      <c r="B163" s="282" t="s">
        <v>56</v>
      </c>
      <c r="C163" s="2564" t="s">
        <v>119</v>
      </c>
      <c r="D163" s="2565"/>
      <c r="E163" s="2565"/>
      <c r="F163" s="2565"/>
      <c r="G163" s="2565"/>
      <c r="H163" s="2565"/>
      <c r="I163" s="2565"/>
      <c r="J163" s="2565"/>
      <c r="K163" s="2565"/>
      <c r="L163" s="2565"/>
      <c r="M163" s="2565"/>
      <c r="N163" s="2565"/>
      <c r="O163" s="2566"/>
    </row>
    <row r="164" spans="1:23" s="1" customFormat="1" ht="26.25" customHeight="1" x14ac:dyDescent="0.2">
      <c r="A164" s="2319" t="s">
        <v>22</v>
      </c>
      <c r="B164" s="2321" t="s">
        <v>56</v>
      </c>
      <c r="C164" s="2326" t="s">
        <v>22</v>
      </c>
      <c r="D164" s="286" t="s">
        <v>120</v>
      </c>
      <c r="E164" s="1900"/>
      <c r="F164" s="606"/>
      <c r="G164" s="488"/>
      <c r="H164" s="2186"/>
      <c r="I164" s="2186"/>
      <c r="J164" s="152"/>
      <c r="K164" s="222"/>
      <c r="L164" s="2332"/>
      <c r="M164" s="2341"/>
      <c r="N164" s="2353"/>
      <c r="O164" s="1929"/>
    </row>
    <row r="165" spans="1:23" s="1" customFormat="1" ht="39.75" customHeight="1" x14ac:dyDescent="0.2">
      <c r="A165" s="2320"/>
      <c r="B165" s="2322"/>
      <c r="C165" s="2327"/>
      <c r="D165" s="2567" t="s">
        <v>437</v>
      </c>
      <c r="E165" s="1901"/>
      <c r="F165" s="289">
        <v>1</v>
      </c>
      <c r="G165" s="231" t="s">
        <v>31</v>
      </c>
      <c r="H165" s="2232">
        <v>350</v>
      </c>
      <c r="I165" s="2232">
        <v>350</v>
      </c>
      <c r="J165" s="1876">
        <v>333.6</v>
      </c>
      <c r="K165" s="2335" t="s">
        <v>438</v>
      </c>
      <c r="L165" s="2233">
        <v>10</v>
      </c>
      <c r="M165" s="2051">
        <v>9</v>
      </c>
      <c r="N165" s="2234"/>
      <c r="O165" s="2569" t="s">
        <v>564</v>
      </c>
    </row>
    <row r="166" spans="1:23" s="1" customFormat="1" ht="15.75" customHeight="1" x14ac:dyDescent="0.2">
      <c r="A166" s="2320"/>
      <c r="B166" s="2322"/>
      <c r="C166" s="2327"/>
      <c r="D166" s="2568"/>
      <c r="E166" s="1903"/>
      <c r="F166" s="941"/>
      <c r="G166" s="699" t="s">
        <v>36</v>
      </c>
      <c r="H166" s="2035">
        <f>SUM(H165:H165)</f>
        <v>350</v>
      </c>
      <c r="I166" s="2035">
        <f>SUM(I165:I165)</f>
        <v>350</v>
      </c>
      <c r="J166" s="1182">
        <f>SUM(J165:J165)</f>
        <v>333.6</v>
      </c>
      <c r="K166" s="2333"/>
      <c r="L166" s="2320"/>
      <c r="M166" s="2235"/>
      <c r="N166" s="2236"/>
      <c r="O166" s="2570"/>
    </row>
    <row r="167" spans="1:23" s="1" customFormat="1" ht="39.75" customHeight="1" x14ac:dyDescent="0.2">
      <c r="A167" s="2320"/>
      <c r="B167" s="2322"/>
      <c r="C167" s="2327"/>
      <c r="D167" s="2523" t="s">
        <v>439</v>
      </c>
      <c r="E167" s="2526" t="s">
        <v>325</v>
      </c>
      <c r="F167" s="187">
        <v>5</v>
      </c>
      <c r="G167" s="231" t="s">
        <v>31</v>
      </c>
      <c r="H167" s="2227">
        <v>200</v>
      </c>
      <c r="I167" s="2227">
        <v>200</v>
      </c>
      <c r="J167" s="1876">
        <v>151</v>
      </c>
      <c r="K167" s="2237" t="s">
        <v>122</v>
      </c>
      <c r="L167" s="2238">
        <v>50</v>
      </c>
      <c r="M167" s="2239">
        <v>50</v>
      </c>
      <c r="N167" s="2529" t="s">
        <v>565</v>
      </c>
      <c r="O167" s="2530"/>
      <c r="Q167" s="251"/>
    </row>
    <row r="168" spans="1:23" s="1" customFormat="1" ht="39.75" customHeight="1" x14ac:dyDescent="0.2">
      <c r="A168" s="2320"/>
      <c r="B168" s="2322"/>
      <c r="C168" s="2327"/>
      <c r="D168" s="2524"/>
      <c r="E168" s="2527"/>
      <c r="F168" s="187"/>
      <c r="G168" s="231" t="s">
        <v>176</v>
      </c>
      <c r="H168" s="2227">
        <v>362</v>
      </c>
      <c r="I168" s="2227">
        <v>362</v>
      </c>
      <c r="J168" s="1876">
        <v>0</v>
      </c>
      <c r="K168" s="2240" t="s">
        <v>509</v>
      </c>
      <c r="L168" s="2241">
        <v>1</v>
      </c>
      <c r="M168" s="1923">
        <v>1</v>
      </c>
      <c r="N168" s="2531"/>
      <c r="O168" s="2532"/>
      <c r="Q168" s="251"/>
      <c r="R168" s="251"/>
    </row>
    <row r="169" spans="1:23" s="1" customFormat="1" ht="33.75" customHeight="1" x14ac:dyDescent="0.2">
      <c r="A169" s="2320"/>
      <c r="B169" s="2322"/>
      <c r="C169" s="2327"/>
      <c r="D169" s="2524"/>
      <c r="E169" s="2528"/>
      <c r="F169" s="187"/>
      <c r="G169" s="45" t="s">
        <v>334</v>
      </c>
      <c r="H169" s="2232">
        <v>2534.4</v>
      </c>
      <c r="I169" s="2232">
        <v>614</v>
      </c>
      <c r="J169" s="1876">
        <v>525.6</v>
      </c>
      <c r="K169" s="2535"/>
      <c r="L169" s="2242"/>
      <c r="M169" s="2243"/>
      <c r="N169" s="2531"/>
      <c r="O169" s="2532"/>
    </row>
    <row r="170" spans="1:23" s="1" customFormat="1" ht="20.25" customHeight="1" x14ac:dyDescent="0.2">
      <c r="A170" s="2320"/>
      <c r="B170" s="2322"/>
      <c r="C170" s="2317"/>
      <c r="D170" s="2525"/>
      <c r="E170" s="2244" t="s">
        <v>115</v>
      </c>
      <c r="F170" s="2245"/>
      <c r="G170" s="669" t="s">
        <v>36</v>
      </c>
      <c r="H170" s="2036">
        <f>SUM(H167:H169)</f>
        <v>3096.4</v>
      </c>
      <c r="I170" s="2036">
        <f>SUM(I167:I169)</f>
        <v>1176</v>
      </c>
      <c r="J170" s="1827">
        <f>SUM(J167:J169)</f>
        <v>676.6</v>
      </c>
      <c r="K170" s="2536"/>
      <c r="L170" s="2246"/>
      <c r="M170" s="67"/>
      <c r="N170" s="2533"/>
      <c r="O170" s="2534"/>
    </row>
    <row r="171" spans="1:23" s="1" customFormat="1" ht="30.75" customHeight="1" x14ac:dyDescent="0.2">
      <c r="A171" s="2320"/>
      <c r="B171" s="2322"/>
      <c r="C171" s="2327"/>
      <c r="D171" s="2537" t="s">
        <v>510</v>
      </c>
      <c r="E171" s="2247"/>
      <c r="F171" s="2248">
        <v>5</v>
      </c>
      <c r="G171" s="732" t="s">
        <v>31</v>
      </c>
      <c r="H171" s="2232">
        <v>61</v>
      </c>
      <c r="I171" s="2232">
        <v>61</v>
      </c>
      <c r="J171" s="1876">
        <v>57.5</v>
      </c>
      <c r="K171" s="2349" t="s">
        <v>511</v>
      </c>
      <c r="L171" s="2249">
        <v>100</v>
      </c>
      <c r="M171" s="2250">
        <v>100</v>
      </c>
      <c r="N171" s="2251"/>
      <c r="O171" s="2252"/>
      <c r="W171" s="251"/>
    </row>
    <row r="172" spans="1:23" s="1" customFormat="1" ht="15" customHeight="1" x14ac:dyDescent="0.2">
      <c r="A172" s="2320"/>
      <c r="B172" s="2322"/>
      <c r="C172" s="2327"/>
      <c r="D172" s="2538"/>
      <c r="E172" s="2253"/>
      <c r="F172" s="2323"/>
      <c r="G172" s="695" t="s">
        <v>36</v>
      </c>
      <c r="H172" s="2056">
        <f>SUM(H171:H171)</f>
        <v>61</v>
      </c>
      <c r="I172" s="2056">
        <f>SUM(I171:I171)</f>
        <v>61</v>
      </c>
      <c r="J172" s="2056">
        <f>SUM(J171:J171)</f>
        <v>57.5</v>
      </c>
      <c r="K172" s="1928"/>
      <c r="L172" s="2254"/>
      <c r="M172" s="1166"/>
      <c r="N172" s="2084"/>
      <c r="O172" s="2255"/>
    </row>
    <row r="173" spans="1:23" s="1" customFormat="1" ht="15" customHeight="1" thickBot="1" x14ac:dyDescent="0.25">
      <c r="A173" s="2324"/>
      <c r="B173" s="2325"/>
      <c r="C173" s="2328"/>
      <c r="D173" s="2539" t="s">
        <v>49</v>
      </c>
      <c r="E173" s="2540"/>
      <c r="F173" s="2540"/>
      <c r="G173" s="2540"/>
      <c r="H173" s="2231">
        <f>+H172+H170+H166</f>
        <v>3507.4</v>
      </c>
      <c r="I173" s="2231">
        <f>+I172+I170+I166</f>
        <v>1587</v>
      </c>
      <c r="J173" s="2437">
        <f>+J172+J170+J166</f>
        <v>1067.7</v>
      </c>
      <c r="K173" s="2438"/>
      <c r="L173" s="2439"/>
      <c r="M173" s="145"/>
      <c r="N173" s="2440"/>
      <c r="O173" s="1925"/>
    </row>
    <row r="174" spans="1:23" s="1" customFormat="1" ht="18.75" customHeight="1" x14ac:dyDescent="0.2">
      <c r="A174" s="2320" t="s">
        <v>22</v>
      </c>
      <c r="B174" s="2322" t="s">
        <v>56</v>
      </c>
      <c r="C174" s="310" t="s">
        <v>50</v>
      </c>
      <c r="D174" s="2547" t="s">
        <v>123</v>
      </c>
      <c r="E174" s="2527" t="s">
        <v>317</v>
      </c>
      <c r="F174" s="2318" t="s">
        <v>27</v>
      </c>
      <c r="G174" s="39" t="s">
        <v>68</v>
      </c>
      <c r="H174" s="2149">
        <v>1150</v>
      </c>
      <c r="I174" s="2149">
        <v>1150</v>
      </c>
      <c r="J174" s="2149">
        <v>514.5</v>
      </c>
      <c r="K174" s="2329"/>
      <c r="L174" s="320"/>
      <c r="M174" s="1936"/>
      <c r="N174" s="2545" t="s">
        <v>566</v>
      </c>
      <c r="O174" s="2546"/>
    </row>
    <row r="175" spans="1:23" s="1" customFormat="1" ht="18.75" customHeight="1" x14ac:dyDescent="0.2">
      <c r="A175" s="1958"/>
      <c r="B175" s="1959"/>
      <c r="C175" s="310"/>
      <c r="D175" s="2547"/>
      <c r="E175" s="2527"/>
      <c r="F175" s="1949"/>
      <c r="G175" s="30" t="s">
        <v>178</v>
      </c>
      <c r="H175" s="2256"/>
      <c r="I175" s="2256">
        <v>770.6</v>
      </c>
      <c r="J175" s="323">
        <v>498.1</v>
      </c>
      <c r="K175" s="1962"/>
      <c r="L175" s="320"/>
      <c r="M175" s="1936"/>
      <c r="N175" s="2545"/>
      <c r="O175" s="2546"/>
      <c r="S175" s="251"/>
    </row>
    <row r="176" spans="1:23" s="1" customFormat="1" ht="18.75" customHeight="1" x14ac:dyDescent="0.2">
      <c r="A176" s="1958"/>
      <c r="B176" s="1959"/>
      <c r="C176" s="310"/>
      <c r="D176" s="2547"/>
      <c r="E176" s="2527"/>
      <c r="F176" s="1949"/>
      <c r="G176" s="22" t="s">
        <v>52</v>
      </c>
      <c r="H176" s="2257">
        <v>6.6</v>
      </c>
      <c r="I176" s="2257">
        <v>6.6</v>
      </c>
      <c r="J176" s="1904"/>
      <c r="K176" s="1962"/>
      <c r="L176" s="320"/>
      <c r="M176" s="1936"/>
      <c r="N176" s="2545"/>
      <c r="O176" s="2546"/>
    </row>
    <row r="177" spans="1:23" s="1" customFormat="1" ht="42" customHeight="1" x14ac:dyDescent="0.2">
      <c r="A177" s="1958"/>
      <c r="B177" s="1959"/>
      <c r="C177" s="1238"/>
      <c r="D177" s="1943" t="s">
        <v>124</v>
      </c>
      <c r="E177" s="1216"/>
      <c r="F177" s="1949"/>
      <c r="G177" s="39"/>
      <c r="H177" s="2258"/>
      <c r="I177" s="2258"/>
      <c r="J177" s="1905"/>
      <c r="K177" s="919" t="s">
        <v>512</v>
      </c>
      <c r="L177" s="2259">
        <v>56</v>
      </c>
      <c r="M177" s="2260">
        <v>67</v>
      </c>
      <c r="N177" s="2545"/>
      <c r="O177" s="2546"/>
      <c r="W177" s="251"/>
    </row>
    <row r="178" spans="1:23" s="1" customFormat="1" ht="67.5" customHeight="1" x14ac:dyDescent="0.2">
      <c r="A178" s="1958"/>
      <c r="B178" s="1959"/>
      <c r="C178" s="310"/>
      <c r="D178" s="1943" t="s">
        <v>127</v>
      </c>
      <c r="E178" s="1901"/>
      <c r="F178" s="1949"/>
      <c r="G178" s="28"/>
      <c r="H178" s="2261"/>
      <c r="I178" s="2261"/>
      <c r="J178" s="1906"/>
      <c r="K178" s="1934" t="s">
        <v>277</v>
      </c>
      <c r="L178" s="2262">
        <v>130</v>
      </c>
      <c r="M178" s="1926">
        <v>340</v>
      </c>
      <c r="N178" s="2314"/>
      <c r="O178" s="1272"/>
    </row>
    <row r="179" spans="1:23" s="1" customFormat="1" ht="57" customHeight="1" x14ac:dyDescent="0.2">
      <c r="A179" s="2415"/>
      <c r="B179" s="2396"/>
      <c r="C179" s="2450"/>
      <c r="D179" s="322" t="s">
        <v>128</v>
      </c>
      <c r="E179" s="2451"/>
      <c r="F179" s="2366"/>
      <c r="G179" s="35"/>
      <c r="H179" s="2265"/>
      <c r="I179" s="2265"/>
      <c r="J179" s="1927"/>
      <c r="K179" s="1934" t="s">
        <v>278</v>
      </c>
      <c r="L179" s="2262">
        <v>70</v>
      </c>
      <c r="M179" s="1926">
        <v>93</v>
      </c>
      <c r="N179" s="2452"/>
      <c r="O179" s="2453"/>
      <c r="Q179" s="251"/>
    </row>
    <row r="180" spans="1:23" s="1" customFormat="1" ht="41.25" customHeight="1" x14ac:dyDescent="0.2">
      <c r="A180" s="1958"/>
      <c r="B180" s="1959"/>
      <c r="C180" s="310"/>
      <c r="D180" s="2355" t="s">
        <v>129</v>
      </c>
      <c r="E180" s="1907"/>
      <c r="F180" s="1949"/>
      <c r="G180" s="28"/>
      <c r="H180" s="2263"/>
      <c r="I180" s="2263"/>
      <c r="J180" s="1908"/>
      <c r="K180" s="2356" t="s">
        <v>130</v>
      </c>
      <c r="L180" s="1270">
        <v>92</v>
      </c>
      <c r="M180" s="314">
        <v>94</v>
      </c>
      <c r="N180" s="2314"/>
      <c r="O180" s="1272"/>
    </row>
    <row r="181" spans="1:23" s="1" customFormat="1" ht="55.5" customHeight="1" x14ac:dyDescent="0.2">
      <c r="A181" s="1958"/>
      <c r="B181" s="1959"/>
      <c r="C181" s="1238"/>
      <c r="D181" s="322" t="s">
        <v>131</v>
      </c>
      <c r="E181" s="1901"/>
      <c r="F181" s="1949"/>
      <c r="G181" s="39"/>
      <c r="H181" s="2258"/>
      <c r="I181" s="2258"/>
      <c r="J181" s="1905"/>
      <c r="K181" s="2264" t="s">
        <v>513</v>
      </c>
      <c r="L181" s="1989">
        <v>12</v>
      </c>
      <c r="M181" s="1986">
        <v>12</v>
      </c>
      <c r="N181" s="542"/>
      <c r="O181" s="41"/>
    </row>
    <row r="182" spans="1:23" s="1" customFormat="1" ht="42.75" customHeight="1" x14ac:dyDescent="0.2">
      <c r="A182" s="1958"/>
      <c r="B182" s="1959"/>
      <c r="C182" s="310"/>
      <c r="D182" s="2548" t="s">
        <v>132</v>
      </c>
      <c r="E182" s="1907"/>
      <c r="F182" s="1949"/>
      <c r="G182" s="39"/>
      <c r="H182" s="2265"/>
      <c r="I182" s="2265"/>
      <c r="J182" s="1927"/>
      <c r="K182" s="2550" t="s">
        <v>133</v>
      </c>
      <c r="L182" s="313">
        <v>100</v>
      </c>
      <c r="M182" s="314">
        <v>100</v>
      </c>
      <c r="N182" s="2314"/>
      <c r="O182" s="1272"/>
    </row>
    <row r="183" spans="1:23" s="1" customFormat="1" ht="13.5" customHeight="1" thickBot="1" x14ac:dyDescent="0.25">
      <c r="A183" s="1853" t="s">
        <v>411</v>
      </c>
      <c r="B183" s="1953"/>
      <c r="C183" s="736"/>
      <c r="D183" s="2549"/>
      <c r="E183" s="1909"/>
      <c r="F183" s="1947"/>
      <c r="G183" s="455" t="s">
        <v>36</v>
      </c>
      <c r="H183" s="2066">
        <f>SUM(H174:H182)</f>
        <v>1156.5999999999999</v>
      </c>
      <c r="I183" s="2066">
        <f>SUM(I174:I182)</f>
        <v>1927.1999999999998</v>
      </c>
      <c r="J183" s="1828">
        <f>SUM(J174:J182)</f>
        <v>1012.6</v>
      </c>
      <c r="K183" s="2551"/>
      <c r="L183" s="2073"/>
      <c r="M183" s="1994"/>
      <c r="N183" s="554"/>
      <c r="O183" s="2308"/>
    </row>
    <row r="184" spans="1:23" s="1" customFormat="1" ht="52.5" customHeight="1" x14ac:dyDescent="0.2">
      <c r="A184" s="1950" t="s">
        <v>22</v>
      </c>
      <c r="B184" s="1952" t="s">
        <v>56</v>
      </c>
      <c r="C184" s="1954" t="s">
        <v>54</v>
      </c>
      <c r="D184" s="286" t="s">
        <v>134</v>
      </c>
      <c r="E184" s="1900"/>
      <c r="F184" s="289"/>
      <c r="G184" s="488"/>
      <c r="H184" s="2186"/>
      <c r="I184" s="2186"/>
      <c r="J184" s="152"/>
      <c r="K184" s="291"/>
      <c r="L184" s="1993"/>
      <c r="M184" s="1993"/>
      <c r="N184" s="2004"/>
      <c r="O184" s="1929"/>
    </row>
    <row r="185" spans="1:23" s="1" customFormat="1" ht="27.75" customHeight="1" x14ac:dyDescent="0.2">
      <c r="A185" s="1958"/>
      <c r="B185" s="1959"/>
      <c r="C185" s="1992"/>
      <c r="D185" s="2537" t="s">
        <v>440</v>
      </c>
      <c r="E185" s="1901"/>
      <c r="F185" s="289">
        <v>1</v>
      </c>
      <c r="G185" s="231" t="s">
        <v>52</v>
      </c>
      <c r="H185" s="2232"/>
      <c r="I185" s="2232">
        <v>50</v>
      </c>
      <c r="J185" s="1876">
        <v>48</v>
      </c>
      <c r="K185" s="1968" t="s">
        <v>514</v>
      </c>
      <c r="L185" s="293">
        <v>1</v>
      </c>
      <c r="M185" s="293">
        <v>1</v>
      </c>
      <c r="N185" s="2266"/>
      <c r="O185" s="2252"/>
    </row>
    <row r="186" spans="1:23" s="1" customFormat="1" ht="27.75" customHeight="1" x14ac:dyDescent="0.2">
      <c r="A186" s="1958"/>
      <c r="B186" s="1959"/>
      <c r="C186" s="1992"/>
      <c r="D186" s="2538"/>
      <c r="E186" s="1901"/>
      <c r="F186" s="187"/>
      <c r="G186" s="231" t="s">
        <v>28</v>
      </c>
      <c r="H186" s="2200">
        <v>50</v>
      </c>
      <c r="I186" s="2200"/>
      <c r="J186" s="1902"/>
      <c r="K186" s="1966"/>
      <c r="L186" s="299"/>
      <c r="M186" s="299"/>
      <c r="N186" s="2267"/>
      <c r="O186" s="1924"/>
    </row>
    <row r="187" spans="1:23" s="1" customFormat="1" ht="15" customHeight="1" thickBot="1" x14ac:dyDescent="0.25">
      <c r="A187" s="1958"/>
      <c r="B187" s="1959"/>
      <c r="C187" s="1992"/>
      <c r="D187" s="2538"/>
      <c r="E187" s="1903"/>
      <c r="F187" s="941"/>
      <c r="G187" s="699" t="s">
        <v>36</v>
      </c>
      <c r="H187" s="2035">
        <f>SUM(H186)</f>
        <v>50</v>
      </c>
      <c r="I187" s="2035">
        <f>SUM(I185:I185)</f>
        <v>50</v>
      </c>
      <c r="J187" s="1182">
        <f>SUM(J185:J185)</f>
        <v>48</v>
      </c>
      <c r="K187" s="1981"/>
      <c r="L187" s="305"/>
      <c r="M187" s="145"/>
      <c r="N187" s="2084"/>
      <c r="O187" s="1925"/>
    </row>
    <row r="188" spans="1:23" s="2" customFormat="1" ht="16.5" customHeight="1" thickBot="1" x14ac:dyDescent="0.3">
      <c r="A188" s="1863" t="s">
        <v>22</v>
      </c>
      <c r="B188" s="8" t="s">
        <v>56</v>
      </c>
      <c r="C188" s="2541" t="s">
        <v>62</v>
      </c>
      <c r="D188" s="2541"/>
      <c r="E188" s="2541"/>
      <c r="F188" s="2541"/>
      <c r="G188" s="2541"/>
      <c r="H188" s="2268">
        <f>+H187+H183+H173</f>
        <v>4714</v>
      </c>
      <c r="I188" s="2268">
        <f>+I187+I183+I173</f>
        <v>3564.2</v>
      </c>
      <c r="J188" s="1184">
        <f>+J187+J183+J173</f>
        <v>2128.3000000000002</v>
      </c>
      <c r="K188" s="2542"/>
      <c r="L188" s="2543"/>
      <c r="M188" s="2543"/>
      <c r="N188" s="2543"/>
      <c r="O188" s="2544"/>
    </row>
    <row r="189" spans="1:23" s="1" customFormat="1" ht="16.5" customHeight="1" thickBot="1" x14ac:dyDescent="0.25">
      <c r="A189" s="1951" t="s">
        <v>22</v>
      </c>
      <c r="B189" s="2269"/>
      <c r="C189" s="2505" t="s">
        <v>137</v>
      </c>
      <c r="D189" s="2505"/>
      <c r="E189" s="2505"/>
      <c r="F189" s="2505"/>
      <c r="G189" s="2505"/>
      <c r="H189" s="2270">
        <f>H188+H162+H144+H66</f>
        <v>48838.5</v>
      </c>
      <c r="I189" s="2270">
        <f>I188+I162+I144+I66</f>
        <v>48615.200000000004</v>
      </c>
      <c r="J189" s="2271">
        <f>J188+J162+J144+J66</f>
        <v>43109.486000000004</v>
      </c>
      <c r="K189" s="2506"/>
      <c r="L189" s="2507"/>
      <c r="M189" s="2507"/>
      <c r="N189" s="2507"/>
      <c r="O189" s="2508"/>
    </row>
    <row r="190" spans="1:23" s="2" customFormat="1" ht="16.5" customHeight="1" thickBot="1" x14ac:dyDescent="0.3">
      <c r="A190" s="2272" t="s">
        <v>138</v>
      </c>
      <c r="B190" s="2509" t="s">
        <v>139</v>
      </c>
      <c r="C190" s="2510"/>
      <c r="D190" s="2510"/>
      <c r="E190" s="2510"/>
      <c r="F190" s="2510"/>
      <c r="G190" s="2510"/>
      <c r="H190" s="2273">
        <f t="shared" ref="H190:J190" si="5">H189</f>
        <v>48838.5</v>
      </c>
      <c r="I190" s="2273">
        <f t="shared" si="5"/>
        <v>48615.200000000004</v>
      </c>
      <c r="J190" s="2274">
        <f t="shared" si="5"/>
        <v>43109.486000000004</v>
      </c>
      <c r="K190" s="2511"/>
      <c r="L190" s="2512"/>
      <c r="M190" s="2512"/>
      <c r="N190" s="2512"/>
      <c r="O190" s="2513"/>
    </row>
    <row r="191" spans="1:23" s="141" customFormat="1" ht="14.25" customHeight="1" x14ac:dyDescent="0.25">
      <c r="A191" s="2514" t="s">
        <v>568</v>
      </c>
      <c r="B191" s="2515"/>
      <c r="C191" s="2515"/>
      <c r="D191" s="2515"/>
      <c r="E191" s="2515"/>
      <c r="F191" s="2515"/>
      <c r="G191" s="2515"/>
      <c r="H191" s="2515"/>
      <c r="I191" s="2515"/>
      <c r="J191" s="2515"/>
      <c r="K191" s="2515"/>
      <c r="L191" s="2515"/>
      <c r="M191" s="2515"/>
      <c r="N191" s="2515"/>
      <c r="O191" s="2515"/>
      <c r="P191" s="2275"/>
      <c r="Q191" s="349"/>
      <c r="R191" s="349"/>
      <c r="S191" s="349"/>
      <c r="T191" s="349"/>
      <c r="U191" s="349"/>
      <c r="V191" s="349"/>
    </row>
    <row r="192" spans="1:23" s="141" customFormat="1" ht="14.25" customHeight="1" x14ac:dyDescent="0.25">
      <c r="A192" s="2516" t="s">
        <v>569</v>
      </c>
      <c r="B192" s="2517"/>
      <c r="C192" s="2517"/>
      <c r="D192" s="2517"/>
      <c r="E192" s="2517"/>
      <c r="F192" s="2517"/>
      <c r="G192" s="2517"/>
      <c r="H192" s="2517"/>
      <c r="I192" s="2517"/>
      <c r="J192" s="2517"/>
      <c r="K192" s="2517"/>
      <c r="L192" s="2517"/>
      <c r="M192" s="2517"/>
      <c r="N192" s="2517"/>
      <c r="O192" s="2517"/>
      <c r="P192" s="2275"/>
      <c r="Q192" s="349"/>
      <c r="R192" s="349"/>
      <c r="S192" s="349"/>
      <c r="T192" s="349"/>
      <c r="U192" s="349"/>
      <c r="V192" s="349"/>
    </row>
    <row r="193" spans="1:17" s="251" customFormat="1" ht="23.25" customHeight="1" thickBot="1" x14ac:dyDescent="0.25">
      <c r="A193" s="2518" t="s">
        <v>141</v>
      </c>
      <c r="B193" s="2518"/>
      <c r="C193" s="2518"/>
      <c r="D193" s="2518"/>
      <c r="E193" s="2518"/>
      <c r="F193" s="2518"/>
      <c r="G193" s="2518"/>
      <c r="H193" s="2518"/>
      <c r="I193" s="2518"/>
      <c r="J193" s="2518"/>
      <c r="K193" s="352"/>
      <c r="L193" s="21"/>
      <c r="M193" s="21"/>
      <c r="N193" s="1977"/>
      <c r="O193" s="1977"/>
    </row>
    <row r="194" spans="1:17" s="141" customFormat="1" ht="87.75" customHeight="1" thickBot="1" x14ac:dyDescent="0.3">
      <c r="A194" s="2519" t="s">
        <v>142</v>
      </c>
      <c r="B194" s="2520"/>
      <c r="C194" s="2520"/>
      <c r="D194" s="2520"/>
      <c r="E194" s="2520"/>
      <c r="F194" s="2520"/>
      <c r="G194" s="2521"/>
      <c r="H194" s="1970" t="s">
        <v>445</v>
      </c>
      <c r="I194" s="2276" t="s">
        <v>446</v>
      </c>
      <c r="J194" s="2276" t="s">
        <v>447</v>
      </c>
      <c r="K194" s="1944"/>
      <c r="L194" s="2522"/>
      <c r="M194" s="2522"/>
      <c r="N194" s="2522"/>
      <c r="O194" s="2522"/>
      <c r="Q194" s="147"/>
    </row>
    <row r="195" spans="1:17" s="2" customFormat="1" ht="15.75" customHeight="1" thickBot="1" x14ac:dyDescent="0.3">
      <c r="A195" s="2484" t="s">
        <v>144</v>
      </c>
      <c r="B195" s="2485"/>
      <c r="C195" s="2485"/>
      <c r="D195" s="2485"/>
      <c r="E195" s="2485"/>
      <c r="F195" s="2485"/>
      <c r="G195" s="2486"/>
      <c r="H195" s="2277">
        <f>SUM(H196:H203)</f>
        <v>21245.200000000001</v>
      </c>
      <c r="I195" s="2277">
        <f>SUM(I196:I203)</f>
        <v>20941.599999999999</v>
      </c>
      <c r="J195" s="2278">
        <f>SUM(J196:J203)</f>
        <v>17366.131999999998</v>
      </c>
      <c r="K195" s="1940"/>
      <c r="L195" s="2487"/>
      <c r="M195" s="2487"/>
      <c r="N195" s="2487"/>
      <c r="O195" s="2487"/>
    </row>
    <row r="196" spans="1:17" s="2" customFormat="1" ht="15.75" customHeight="1" x14ac:dyDescent="0.25">
      <c r="A196" s="2488" t="s">
        <v>145</v>
      </c>
      <c r="B196" s="2489"/>
      <c r="C196" s="2489"/>
      <c r="D196" s="2489"/>
      <c r="E196" s="2489"/>
      <c r="F196" s="2489"/>
      <c r="G196" s="2490"/>
      <c r="H196" s="1910">
        <f>SUMIF(G31:G185,"sb",H31:H185)</f>
        <v>10479.9</v>
      </c>
      <c r="I196" s="1910">
        <f>SUMIF(G31:G185,"sb",I31:I185)</f>
        <v>10430.1</v>
      </c>
      <c r="J196" s="2279">
        <f>SUMIF(G31:G186,"sb",J31:J186)</f>
        <v>9051.26</v>
      </c>
      <c r="K196" s="1945"/>
      <c r="L196" s="2491"/>
      <c r="M196" s="2491"/>
      <c r="N196" s="2491"/>
      <c r="O196" s="2491"/>
    </row>
    <row r="197" spans="1:17" s="2" customFormat="1" ht="15.75" customHeight="1" x14ac:dyDescent="0.25">
      <c r="A197" s="2492" t="s">
        <v>441</v>
      </c>
      <c r="B197" s="2493"/>
      <c r="C197" s="2493"/>
      <c r="D197" s="2493"/>
      <c r="E197" s="2493"/>
      <c r="F197" s="2493"/>
      <c r="G197" s="2494"/>
      <c r="H197" s="1548">
        <f>SUMIF(G31:G185,"sb(l)",H31:H185)</f>
        <v>649.79999999999995</v>
      </c>
      <c r="I197" s="1548">
        <f>SUMIF(G31:G185,"sb(l)",I31:I185)</f>
        <v>616.5</v>
      </c>
      <c r="J197" s="2280">
        <f>SUMIF(G31:G186,"sb(l)",J31:J186)</f>
        <v>192.90799999999999</v>
      </c>
      <c r="K197" s="1945"/>
      <c r="L197" s="1945"/>
      <c r="M197" s="1945"/>
      <c r="N197" s="1945"/>
      <c r="O197" s="1945"/>
    </row>
    <row r="198" spans="1:17" s="2" customFormat="1" ht="27.75" customHeight="1" x14ac:dyDescent="0.25">
      <c r="A198" s="2492" t="s">
        <v>442</v>
      </c>
      <c r="B198" s="2493"/>
      <c r="C198" s="2493"/>
      <c r="D198" s="2493"/>
      <c r="E198" s="2493"/>
      <c r="F198" s="2493"/>
      <c r="G198" s="2494"/>
      <c r="H198" s="359">
        <f>SUMIF(G31:G185,"sb(esl)",H31:H185)</f>
        <v>199.79999999999998</v>
      </c>
      <c r="I198" s="359">
        <f>SUMIF(G31:G185,"sb(esl)",I31:I185)</f>
        <v>200.89999999999998</v>
      </c>
      <c r="J198" s="2280">
        <f>SUMIF(G31:G186,"sb(esl)",J31:J186)</f>
        <v>178.39999999999998</v>
      </c>
      <c r="K198" s="1945"/>
      <c r="L198" s="1945"/>
      <c r="M198" s="1945"/>
      <c r="N198" s="1945"/>
      <c r="O198" s="1945"/>
    </row>
    <row r="199" spans="1:17" s="2" customFormat="1" ht="27" customHeight="1" x14ac:dyDescent="0.25">
      <c r="A199" s="2502" t="s">
        <v>515</v>
      </c>
      <c r="B199" s="2503"/>
      <c r="C199" s="2503"/>
      <c r="D199" s="2503"/>
      <c r="E199" s="2503"/>
      <c r="F199" s="2503"/>
      <c r="G199" s="2504"/>
      <c r="H199" s="359">
        <f>SUMIF(G31:G185,"SB(es)",H31:H185)</f>
        <v>3380.8</v>
      </c>
      <c r="I199" s="359">
        <f>SUMIF(G31:G185,"SB(es)",I31:I185)</f>
        <v>1339</v>
      </c>
      <c r="J199" s="2280">
        <f>SUMIF(G31:G186,"sb(es)",J31:J186)</f>
        <v>1053.3000000000002</v>
      </c>
      <c r="K199" s="1941"/>
      <c r="L199" s="1941"/>
      <c r="M199" s="1941"/>
      <c r="N199" s="1941"/>
      <c r="O199" s="1941"/>
      <c r="Q199" s="3"/>
    </row>
    <row r="200" spans="1:17" s="2" customFormat="1" ht="30.75" customHeight="1" x14ac:dyDescent="0.25">
      <c r="A200" s="2502" t="s">
        <v>516</v>
      </c>
      <c r="B200" s="2503"/>
      <c r="C200" s="2503"/>
      <c r="D200" s="2503"/>
      <c r="E200" s="2503"/>
      <c r="F200" s="2503"/>
      <c r="G200" s="2504"/>
      <c r="H200" s="359">
        <f>SUMIF(G32:G187,"SB(esa)",H32:H187)</f>
        <v>69.5</v>
      </c>
      <c r="I200" s="359">
        <f>SUMIF(G32:G187,"SB(esa)",I32:I187)</f>
        <v>69.5</v>
      </c>
      <c r="J200" s="2280">
        <f>SUMIF(G31:G186,"SB(esa)",J31:J186)</f>
        <v>68.2</v>
      </c>
      <c r="K200" s="1941"/>
      <c r="L200" s="1941"/>
      <c r="M200" s="1941"/>
      <c r="N200" s="1941"/>
      <c r="O200" s="1941"/>
    </row>
    <row r="201" spans="1:17" s="2" customFormat="1" ht="15.75" customHeight="1" x14ac:dyDescent="0.25">
      <c r="A201" s="2492" t="s">
        <v>146</v>
      </c>
      <c r="B201" s="2493"/>
      <c r="C201" s="2493"/>
      <c r="D201" s="2493"/>
      <c r="E201" s="2493"/>
      <c r="F201" s="2493"/>
      <c r="G201" s="2494"/>
      <c r="H201" s="359">
        <f>SUMIF(G31:G185,"sb(sp)",H31:H185)</f>
        <v>1798.4</v>
      </c>
      <c r="I201" s="359">
        <f>SUMIF(G31:G185,"sb(sp)",I31:I185)</f>
        <v>1818.3</v>
      </c>
      <c r="J201" s="2281">
        <f>SUMIF(G31:G186,"sb(sp)",J31:J186)</f>
        <v>1140.3</v>
      </c>
      <c r="K201" s="1945"/>
      <c r="L201" s="2495"/>
      <c r="M201" s="2495"/>
      <c r="N201" s="2495"/>
      <c r="O201" s="2495"/>
    </row>
    <row r="202" spans="1:17" s="2" customFormat="1" ht="15.75" customHeight="1" x14ac:dyDescent="0.25">
      <c r="A202" s="2492" t="s">
        <v>517</v>
      </c>
      <c r="B202" s="2493"/>
      <c r="C202" s="2493"/>
      <c r="D202" s="2493"/>
      <c r="E202" s="2493"/>
      <c r="F202" s="2493"/>
      <c r="G202" s="2494"/>
      <c r="H202" s="359">
        <f>SUMIF(G32:G187,"sb(spl)",H32:H187)</f>
        <v>0</v>
      </c>
      <c r="I202" s="359">
        <f>SUMIF(G32:G187,"sb(spl)",I32:I187)</f>
        <v>841.1</v>
      </c>
      <c r="J202" s="2281">
        <f>SUMIF(G31:G186,"sb(spl)",J31:J186)</f>
        <v>568.6</v>
      </c>
      <c r="K202" s="1945"/>
      <c r="L202" s="1941"/>
      <c r="M202" s="1941"/>
      <c r="N202" s="1941"/>
      <c r="O202" s="1941"/>
    </row>
    <row r="203" spans="1:17" s="2" customFormat="1" ht="30.75" customHeight="1" thickBot="1" x14ac:dyDescent="0.3">
      <c r="A203" s="2492" t="s">
        <v>147</v>
      </c>
      <c r="B203" s="2493"/>
      <c r="C203" s="2493"/>
      <c r="D203" s="2493"/>
      <c r="E203" s="2493"/>
      <c r="F203" s="2493"/>
      <c r="G203" s="2494"/>
      <c r="H203" s="359">
        <f>SUMIF(G31:G186,"sb(vb)",H31:H186)</f>
        <v>4666.9999999999991</v>
      </c>
      <c r="I203" s="359">
        <f>SUMIF(G31:G185,"sb(vb)",I31:I185)</f>
        <v>5626.2</v>
      </c>
      <c r="J203" s="2280">
        <f>SUMIF(G31:G186,"sb(vb)",J31:J186)</f>
        <v>5113.1640000000007</v>
      </c>
      <c r="K203" s="1941"/>
      <c r="L203" s="2495"/>
      <c r="M203" s="2495"/>
      <c r="N203" s="2495"/>
      <c r="O203" s="2495"/>
    </row>
    <row r="204" spans="1:17" s="2" customFormat="1" ht="15.75" customHeight="1" thickBot="1" x14ac:dyDescent="0.3">
      <c r="A204" s="2484" t="s">
        <v>148</v>
      </c>
      <c r="B204" s="2485"/>
      <c r="C204" s="2485"/>
      <c r="D204" s="2485"/>
      <c r="E204" s="2485"/>
      <c r="F204" s="2485"/>
      <c r="G204" s="2486"/>
      <c r="H204" s="2277">
        <f>SUM(H205:H207)</f>
        <v>27593.3</v>
      </c>
      <c r="I204" s="2277">
        <f>SUM(I205:I207)</f>
        <v>27673.599999999999</v>
      </c>
      <c r="J204" s="2278">
        <f>SUM(J205:J207)</f>
        <v>25743.353999999999</v>
      </c>
      <c r="K204" s="1941"/>
      <c r="L204" s="1941"/>
      <c r="M204" s="1941"/>
      <c r="N204" s="1941"/>
      <c r="O204" s="1941"/>
    </row>
    <row r="205" spans="1:17" s="2" customFormat="1" ht="15.75" customHeight="1" x14ac:dyDescent="0.25">
      <c r="A205" s="2492" t="s">
        <v>443</v>
      </c>
      <c r="B205" s="2493"/>
      <c r="C205" s="2493"/>
      <c r="D205" s="2493"/>
      <c r="E205" s="2493"/>
      <c r="F205" s="2493"/>
      <c r="G205" s="2494"/>
      <c r="H205" s="1911">
        <f>SUMIF(G31:G185,"es",H31:H185)</f>
        <v>50.3</v>
      </c>
      <c r="I205" s="1911">
        <f>SUMIF(G31:G185,"es",I31:I185)</f>
        <v>80.599999999999994</v>
      </c>
      <c r="J205" s="2282">
        <f>SUMIF(G31:G186,"es",J31:J186)</f>
        <v>15</v>
      </c>
      <c r="K205" s="1912"/>
      <c r="L205" s="2487"/>
      <c r="M205" s="2487"/>
      <c r="N205" s="2487"/>
      <c r="O205" s="2487"/>
    </row>
    <row r="206" spans="1:17" s="2" customFormat="1" ht="15.75" customHeight="1" x14ac:dyDescent="0.25">
      <c r="A206" s="2488" t="s">
        <v>150</v>
      </c>
      <c r="B206" s="2489"/>
      <c r="C206" s="2489"/>
      <c r="D206" s="2489"/>
      <c r="E206" s="2489"/>
      <c r="F206" s="2489"/>
      <c r="G206" s="2490"/>
      <c r="H206" s="359">
        <f>SUMIF(G31:G185,"LRVB",H31:H185)</f>
        <v>27540</v>
      </c>
      <c r="I206" s="359">
        <f>SUMIF(G31:G185,"LRVB",I31:I185)</f>
        <v>27590</v>
      </c>
      <c r="J206" s="2281">
        <f>SUMIF(G31:G186,"lrvb",J31:J186)</f>
        <v>25725.353999999999</v>
      </c>
      <c r="K206" s="361"/>
      <c r="L206" s="2495"/>
      <c r="M206" s="2495"/>
      <c r="N206" s="2495"/>
      <c r="O206" s="2495"/>
    </row>
    <row r="207" spans="1:17" s="2" customFormat="1" ht="15.75" customHeight="1" thickBot="1" x14ac:dyDescent="0.3">
      <c r="A207" s="2496" t="s">
        <v>151</v>
      </c>
      <c r="B207" s="2497"/>
      <c r="C207" s="2497"/>
      <c r="D207" s="2497"/>
      <c r="E207" s="2497"/>
      <c r="F207" s="2497"/>
      <c r="G207" s="2498"/>
      <c r="H207" s="1913">
        <f>SUMIF(G31:G185,"kt",H31:H185)</f>
        <v>3</v>
      </c>
      <c r="I207" s="1913">
        <f>SUMIF(G31:G185,"kt",I31:I185)</f>
        <v>3</v>
      </c>
      <c r="J207" s="2283">
        <f>SUMIF(G31:G186,"kt",J31:J186)</f>
        <v>3</v>
      </c>
      <c r="K207" s="361"/>
      <c r="L207" s="2495"/>
      <c r="M207" s="2495"/>
      <c r="N207" s="2495"/>
      <c r="O207" s="2495"/>
    </row>
    <row r="208" spans="1:17" s="2" customFormat="1" ht="15.75" customHeight="1" thickBot="1" x14ac:dyDescent="0.3">
      <c r="A208" s="2499" t="s">
        <v>152</v>
      </c>
      <c r="B208" s="2500"/>
      <c r="C208" s="2500"/>
      <c r="D208" s="2500"/>
      <c r="E208" s="2500"/>
      <c r="F208" s="2500"/>
      <c r="G208" s="2501"/>
      <c r="H208" s="363">
        <f>H195+H204</f>
        <v>48838.5</v>
      </c>
      <c r="I208" s="363">
        <f>I195+I204</f>
        <v>48615.199999999997</v>
      </c>
      <c r="J208" s="2284">
        <f>J195+J204</f>
        <v>43109.485999999997</v>
      </c>
      <c r="K208" s="1914"/>
      <c r="L208" s="2487"/>
      <c r="M208" s="2487"/>
      <c r="N208" s="2487"/>
      <c r="O208" s="2487"/>
    </row>
    <row r="209" spans="1:15" s="1" customFormat="1" ht="16.5" customHeight="1" x14ac:dyDescent="0.2">
      <c r="A209" s="370"/>
      <c r="B209" s="365"/>
      <c r="C209" s="366"/>
      <c r="D209" s="367"/>
      <c r="E209" s="365"/>
      <c r="F209" s="1915"/>
      <c r="G209" s="370"/>
      <c r="H209" s="1041"/>
      <c r="I209" s="1041"/>
      <c r="J209" s="1041"/>
      <c r="K209" s="371"/>
      <c r="L209" s="1169"/>
      <c r="M209" s="1169"/>
      <c r="N209" s="370"/>
      <c r="O209" s="370"/>
    </row>
    <row r="210" spans="1:15" x14ac:dyDescent="0.25">
      <c r="F210" s="2315"/>
      <c r="G210" s="2316"/>
      <c r="H210" s="2316"/>
      <c r="I210" s="2316"/>
      <c r="J210" s="2482" t="s">
        <v>567</v>
      </c>
      <c r="K210" s="2483"/>
      <c r="L210" s="2483"/>
    </row>
    <row r="212" spans="1:15" x14ac:dyDescent="0.25">
      <c r="H212" s="1832"/>
      <c r="I212" s="1832"/>
    </row>
    <row r="213" spans="1:15" x14ac:dyDescent="0.25">
      <c r="H213" s="1832"/>
      <c r="I213" s="1832"/>
    </row>
    <row r="214" spans="1:15" x14ac:dyDescent="0.25">
      <c r="H214" s="1832"/>
      <c r="I214" s="1832"/>
    </row>
    <row r="215" spans="1:15" x14ac:dyDescent="0.25">
      <c r="H215" s="1832"/>
      <c r="I215" s="1832"/>
      <c r="J215" s="1832"/>
    </row>
    <row r="217" spans="1:15" x14ac:dyDescent="0.25">
      <c r="H217" s="1832"/>
      <c r="I217" s="1832"/>
      <c r="J217" s="1832"/>
    </row>
  </sheetData>
  <mergeCells count="238">
    <mergeCell ref="D55:D56"/>
    <mergeCell ref="N88:O88"/>
    <mergeCell ref="D97:D98"/>
    <mergeCell ref="O99:O100"/>
    <mergeCell ref="K102:K103"/>
    <mergeCell ref="L102:L103"/>
    <mergeCell ref="M102:M103"/>
    <mergeCell ref="O102:O103"/>
    <mergeCell ref="E56:G56"/>
    <mergeCell ref="D78:D79"/>
    <mergeCell ref="K78:K79"/>
    <mergeCell ref="N78:N79"/>
    <mergeCell ref="O78:O79"/>
    <mergeCell ref="A61:A62"/>
    <mergeCell ref="B61:B62"/>
    <mergeCell ref="C61:C62"/>
    <mergeCell ref="D61:D62"/>
    <mergeCell ref="K61:K62"/>
    <mergeCell ref="L61:L62"/>
    <mergeCell ref="M61:M62"/>
    <mergeCell ref="O61:O62"/>
    <mergeCell ref="D154:D155"/>
    <mergeCell ref="D151:D153"/>
    <mergeCell ref="N133:N136"/>
    <mergeCell ref="N137:O140"/>
    <mergeCell ref="D146:D147"/>
    <mergeCell ref="D149:D150"/>
    <mergeCell ref="N149:O150"/>
    <mergeCell ref="N151:O153"/>
    <mergeCell ref="N154:O155"/>
    <mergeCell ref="D86:D87"/>
    <mergeCell ref="D99:D100"/>
    <mergeCell ref="N81:O81"/>
    <mergeCell ref="N85:O85"/>
    <mergeCell ref="K86:K87"/>
    <mergeCell ref="N119:O124"/>
    <mergeCell ref="D106:G106"/>
    <mergeCell ref="A45:A46"/>
    <mergeCell ref="B45:B46"/>
    <mergeCell ref="A43:A44"/>
    <mergeCell ref="B43:B44"/>
    <mergeCell ref="N43:O44"/>
    <mergeCell ref="D45:D48"/>
    <mergeCell ref="E45:E48"/>
    <mergeCell ref="F45:F48"/>
    <mergeCell ref="K45:K47"/>
    <mergeCell ref="N45:N48"/>
    <mergeCell ref="D37:D38"/>
    <mergeCell ref="E37:E38"/>
    <mergeCell ref="A7:O7"/>
    <mergeCell ref="A8:O8"/>
    <mergeCell ref="B9:J9"/>
    <mergeCell ref="N11:O11"/>
    <mergeCell ref="N13:O13"/>
    <mergeCell ref="N17:O17"/>
    <mergeCell ref="N21:N23"/>
    <mergeCell ref="O21:O23"/>
    <mergeCell ref="N24:O24"/>
    <mergeCell ref="N37:O38"/>
    <mergeCell ref="N28:O28"/>
    <mergeCell ref="B29:O29"/>
    <mergeCell ref="C30:O30"/>
    <mergeCell ref="N32:O32"/>
    <mergeCell ref="K35:K36"/>
    <mergeCell ref="K37:K38"/>
    <mergeCell ref="A1:O1"/>
    <mergeCell ref="A2:O2"/>
    <mergeCell ref="A3:O3"/>
    <mergeCell ref="H4:J4"/>
    <mergeCell ref="K4:M4"/>
    <mergeCell ref="N4:N6"/>
    <mergeCell ref="H5:H6"/>
    <mergeCell ref="I5:I6"/>
    <mergeCell ref="J5:J6"/>
    <mergeCell ref="O4:O6"/>
    <mergeCell ref="K5:K6"/>
    <mergeCell ref="L5:L6"/>
    <mergeCell ref="A4:A6"/>
    <mergeCell ref="B4:B6"/>
    <mergeCell ref="C4:C6"/>
    <mergeCell ref="D4:D6"/>
    <mergeCell ref="E4:E6"/>
    <mergeCell ref="F4:F6"/>
    <mergeCell ref="G4:G6"/>
    <mergeCell ref="M5:M6"/>
    <mergeCell ref="E52:E53"/>
    <mergeCell ref="F52:F53"/>
    <mergeCell ref="K52:K53"/>
    <mergeCell ref="N52:O53"/>
    <mergeCell ref="D39:D40"/>
    <mergeCell ref="K39:K40"/>
    <mergeCell ref="L39:L40"/>
    <mergeCell ref="M39:M40"/>
    <mergeCell ref="N39:N40"/>
    <mergeCell ref="E41:E42"/>
    <mergeCell ref="D43:D44"/>
    <mergeCell ref="E43:E44"/>
    <mergeCell ref="N41:O42"/>
    <mergeCell ref="D41:D42"/>
    <mergeCell ref="K41:K42"/>
    <mergeCell ref="D49:D51"/>
    <mergeCell ref="E49:E51"/>
    <mergeCell ref="F49:F51"/>
    <mergeCell ref="O49:O51"/>
    <mergeCell ref="K50:K51"/>
    <mergeCell ref="N50:N51"/>
    <mergeCell ref="D52:D53"/>
    <mergeCell ref="A57:A58"/>
    <mergeCell ref="B57:B58"/>
    <mergeCell ref="C57:C58"/>
    <mergeCell ref="D57:D58"/>
    <mergeCell ref="E57:E58"/>
    <mergeCell ref="F57:F58"/>
    <mergeCell ref="N57:N58"/>
    <mergeCell ref="D59:D60"/>
    <mergeCell ref="K59:K60"/>
    <mergeCell ref="L59:L60"/>
    <mergeCell ref="M59:M60"/>
    <mergeCell ref="N59:O60"/>
    <mergeCell ref="A63:A65"/>
    <mergeCell ref="B63:B65"/>
    <mergeCell ref="C63:C65"/>
    <mergeCell ref="D63:D65"/>
    <mergeCell ref="K64:K65"/>
    <mergeCell ref="C66:G66"/>
    <mergeCell ref="K66:O66"/>
    <mergeCell ref="C67:O67"/>
    <mergeCell ref="D68:D69"/>
    <mergeCell ref="N68:N76"/>
    <mergeCell ref="O68:O76"/>
    <mergeCell ref="E68:E79"/>
    <mergeCell ref="A107:A108"/>
    <mergeCell ref="B107:B108"/>
    <mergeCell ref="C107:C108"/>
    <mergeCell ref="D107:D108"/>
    <mergeCell ref="E107:E108"/>
    <mergeCell ref="F107:F108"/>
    <mergeCell ref="K107:K108"/>
    <mergeCell ref="N107:N108"/>
    <mergeCell ref="N96:O96"/>
    <mergeCell ref="D109:D110"/>
    <mergeCell ref="D119:D120"/>
    <mergeCell ref="E119:E122"/>
    <mergeCell ref="K119:K121"/>
    <mergeCell ref="A122:A124"/>
    <mergeCell ref="B122:B124"/>
    <mergeCell ref="D122:D124"/>
    <mergeCell ref="K122:K124"/>
    <mergeCell ref="D125:D126"/>
    <mergeCell ref="E125:E126"/>
    <mergeCell ref="D117:D118"/>
    <mergeCell ref="K117:K118"/>
    <mergeCell ref="A127:A129"/>
    <mergeCell ref="B127:B129"/>
    <mergeCell ref="D127:D130"/>
    <mergeCell ref="D131:D132"/>
    <mergeCell ref="F131:F132"/>
    <mergeCell ref="A133:A136"/>
    <mergeCell ref="B133:B136"/>
    <mergeCell ref="C133:C136"/>
    <mergeCell ref="D133:D136"/>
    <mergeCell ref="E133:E136"/>
    <mergeCell ref="F133:F136"/>
    <mergeCell ref="A137:A140"/>
    <mergeCell ref="B137:B140"/>
    <mergeCell ref="C137:C140"/>
    <mergeCell ref="D137:D140"/>
    <mergeCell ref="E137:E140"/>
    <mergeCell ref="F137:F140"/>
    <mergeCell ref="K137:K138"/>
    <mergeCell ref="L137:L138"/>
    <mergeCell ref="M137:M138"/>
    <mergeCell ref="A141:A143"/>
    <mergeCell ref="B141:B143"/>
    <mergeCell ref="C141:C143"/>
    <mergeCell ref="D141:D143"/>
    <mergeCell ref="E141:E143"/>
    <mergeCell ref="F141:F143"/>
    <mergeCell ref="C144:G144"/>
    <mergeCell ref="K144:O144"/>
    <mergeCell ref="C145:O145"/>
    <mergeCell ref="N156:O157"/>
    <mergeCell ref="D161:G161"/>
    <mergeCell ref="K161:O161"/>
    <mergeCell ref="C162:G162"/>
    <mergeCell ref="K162:O162"/>
    <mergeCell ref="D156:D157"/>
    <mergeCell ref="C163:O163"/>
    <mergeCell ref="D165:D166"/>
    <mergeCell ref="O165:O166"/>
    <mergeCell ref="N158:O158"/>
    <mergeCell ref="D159:D160"/>
    <mergeCell ref="D167:D170"/>
    <mergeCell ref="E167:E169"/>
    <mergeCell ref="N167:O170"/>
    <mergeCell ref="K169:K170"/>
    <mergeCell ref="D171:D172"/>
    <mergeCell ref="D173:G173"/>
    <mergeCell ref="D185:D187"/>
    <mergeCell ref="C188:G188"/>
    <mergeCell ref="K188:O188"/>
    <mergeCell ref="N174:O177"/>
    <mergeCell ref="D174:D176"/>
    <mergeCell ref="E174:E176"/>
    <mergeCell ref="D182:D183"/>
    <mergeCell ref="K182:K183"/>
    <mergeCell ref="C189:G189"/>
    <mergeCell ref="K189:O189"/>
    <mergeCell ref="B190:G190"/>
    <mergeCell ref="K190:O190"/>
    <mergeCell ref="A191:O191"/>
    <mergeCell ref="A192:O192"/>
    <mergeCell ref="A193:J193"/>
    <mergeCell ref="A194:G194"/>
    <mergeCell ref="L194:O194"/>
    <mergeCell ref="J210:L210"/>
    <mergeCell ref="A195:G195"/>
    <mergeCell ref="L195:O195"/>
    <mergeCell ref="A196:G196"/>
    <mergeCell ref="L196:O196"/>
    <mergeCell ref="A197:G197"/>
    <mergeCell ref="A198:G198"/>
    <mergeCell ref="A206:G206"/>
    <mergeCell ref="L206:O206"/>
    <mergeCell ref="A207:G207"/>
    <mergeCell ref="L207:O207"/>
    <mergeCell ref="A208:G208"/>
    <mergeCell ref="L208:O208"/>
    <mergeCell ref="A199:G199"/>
    <mergeCell ref="A200:G200"/>
    <mergeCell ref="A201:G201"/>
    <mergeCell ref="L201:O201"/>
    <mergeCell ref="A202:G202"/>
    <mergeCell ref="A203:G203"/>
    <mergeCell ref="L203:O203"/>
    <mergeCell ref="A204:G204"/>
    <mergeCell ref="A205:G205"/>
    <mergeCell ref="L205:O205"/>
  </mergeCells>
  <printOptions horizontalCentered="1"/>
  <pageMargins left="0" right="0" top="0.78740157480314965" bottom="0" header="0.31496062992125984" footer="0.31496062992125984"/>
  <pageSetup paperSize="9" scale="86" orientation="landscape" r:id="rId1"/>
  <rowBreaks count="14" manualBreakCount="14">
    <brk id="13" max="14" man="1"/>
    <brk id="19" max="14" man="1"/>
    <brk id="29" max="14" man="1"/>
    <brk id="44" max="14" man="1"/>
    <brk id="58" max="14" man="1"/>
    <brk id="79" max="14" man="1"/>
    <brk id="91" max="14" man="1"/>
    <brk id="101" max="14" man="1"/>
    <brk id="112" max="14" man="1"/>
    <brk id="124" max="14" man="1"/>
    <brk id="140" max="14" man="1"/>
    <brk id="163" max="14" man="1"/>
    <brk id="179" max="14" man="1"/>
    <brk id="192"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40"/>
  <sheetViews>
    <sheetView topLeftCell="A58" zoomScaleNormal="100" workbookViewId="0">
      <selection activeCell="I74" sqref="I74"/>
    </sheetView>
  </sheetViews>
  <sheetFormatPr defaultColWidth="9.140625" defaultRowHeight="15" x14ac:dyDescent="0.25"/>
  <cols>
    <col min="1" max="4" width="2.85546875" style="1043" customWidth="1"/>
    <col min="5" max="5" width="25.5703125" style="1043" customWidth="1"/>
    <col min="6" max="8" width="3.28515625" style="1043" customWidth="1"/>
    <col min="9" max="9" width="10.7109375" style="1043" customWidth="1"/>
    <col min="10" max="10" width="6.85546875" style="1043" customWidth="1"/>
    <col min="11" max="12" width="10" style="1170" customWidth="1"/>
    <col min="13" max="13" width="11.42578125" style="1170" customWidth="1"/>
    <col min="14" max="14" width="11.28515625" style="1170" customWidth="1"/>
    <col min="15" max="15" width="10.28515625" style="1170" customWidth="1"/>
    <col min="16" max="16" width="10.42578125" style="1170" customWidth="1"/>
    <col min="17" max="17" width="11.7109375" style="1170" customWidth="1"/>
    <col min="18" max="18" width="11.140625" style="1170" customWidth="1"/>
    <col min="19" max="19" width="22.42578125" style="1043" customWidth="1"/>
    <col min="20" max="22" width="5.28515625" style="1043" customWidth="1"/>
    <col min="23" max="16384" width="9.140625" style="1043"/>
  </cols>
  <sheetData>
    <row r="1" spans="1:27" s="1165" customFormat="1" ht="15.75" x14ac:dyDescent="0.25">
      <c r="K1" s="1035"/>
      <c r="L1" s="1035"/>
      <c r="M1" s="1035"/>
      <c r="N1" s="1035"/>
      <c r="O1" s="1035"/>
      <c r="P1" s="1035"/>
      <c r="Q1" s="1035"/>
      <c r="R1" s="1035"/>
      <c r="S1" s="3050" t="s">
        <v>299</v>
      </c>
      <c r="T1" s="3050"/>
      <c r="U1" s="3050"/>
      <c r="V1" s="3050"/>
    </row>
    <row r="2" spans="1:27" s="1035" customFormat="1" ht="16.5" customHeight="1" x14ac:dyDescent="0.25">
      <c r="A2" s="2877" t="s">
        <v>0</v>
      </c>
      <c r="B2" s="2877"/>
      <c r="C2" s="2877"/>
      <c r="D2" s="2877"/>
      <c r="E2" s="2877"/>
      <c r="F2" s="2877"/>
      <c r="G2" s="2877"/>
      <c r="H2" s="2877"/>
      <c r="I2" s="2877"/>
      <c r="J2" s="2877"/>
      <c r="K2" s="2877"/>
      <c r="L2" s="2877"/>
      <c r="M2" s="2877"/>
      <c r="N2" s="2877"/>
      <c r="O2" s="2877"/>
      <c r="P2" s="2877"/>
      <c r="Q2" s="2877"/>
      <c r="R2" s="2877"/>
      <c r="S2" s="2877"/>
      <c r="T2" s="2877"/>
      <c r="U2" s="2877"/>
      <c r="V2" s="2877"/>
    </row>
    <row r="3" spans="1:27" s="1036" customFormat="1" ht="16.5" customHeight="1" x14ac:dyDescent="0.25">
      <c r="A3" s="2878" t="s">
        <v>1</v>
      </c>
      <c r="B3" s="2878"/>
      <c r="C3" s="2878"/>
      <c r="D3" s="2878"/>
      <c r="E3" s="2878"/>
      <c r="F3" s="2878"/>
      <c r="G3" s="2878"/>
      <c r="H3" s="2878"/>
      <c r="I3" s="2878"/>
      <c r="J3" s="2878"/>
      <c r="K3" s="2878"/>
      <c r="L3" s="2878"/>
      <c r="M3" s="2878"/>
      <c r="N3" s="2878"/>
      <c r="O3" s="2878"/>
      <c r="P3" s="2878"/>
      <c r="Q3" s="2878"/>
      <c r="R3" s="2878"/>
      <c r="S3" s="2878"/>
      <c r="T3" s="2878"/>
      <c r="U3" s="2878"/>
      <c r="V3" s="2878"/>
    </row>
    <row r="4" spans="1:27" s="1036" customFormat="1" ht="16.5" customHeight="1" x14ac:dyDescent="0.25">
      <c r="A4" s="2879" t="s">
        <v>300</v>
      </c>
      <c r="B4" s="2879"/>
      <c r="C4" s="2879"/>
      <c r="D4" s="2879"/>
      <c r="E4" s="2879"/>
      <c r="F4" s="2879"/>
      <c r="G4" s="2879"/>
      <c r="H4" s="2879"/>
      <c r="I4" s="2879"/>
      <c r="J4" s="2879"/>
      <c r="K4" s="2879"/>
      <c r="L4" s="2879"/>
      <c r="M4" s="2879"/>
      <c r="N4" s="2879"/>
      <c r="O4" s="2879"/>
      <c r="P4" s="2879"/>
      <c r="Q4" s="2879"/>
      <c r="R4" s="2879"/>
      <c r="S4" s="2879"/>
      <c r="T4" s="2879"/>
      <c r="U4" s="2879"/>
      <c r="V4" s="2879"/>
    </row>
    <row r="5" spans="1:27" s="2" customFormat="1" ht="16.5" customHeight="1" thickBot="1" x14ac:dyDescent="0.3">
      <c r="A5" s="2880" t="s">
        <v>153</v>
      </c>
      <c r="B5" s="2880"/>
      <c r="C5" s="2880"/>
      <c r="D5" s="2880"/>
      <c r="E5" s="2880"/>
      <c r="F5" s="2880"/>
      <c r="G5" s="2880"/>
      <c r="H5" s="2880"/>
      <c r="I5" s="2880"/>
      <c r="J5" s="2880"/>
      <c r="K5" s="2880"/>
      <c r="L5" s="2880"/>
      <c r="M5" s="2880"/>
      <c r="N5" s="2880"/>
      <c r="O5" s="2880"/>
      <c r="P5" s="2880"/>
      <c r="Q5" s="2880"/>
      <c r="R5" s="2880"/>
      <c r="S5" s="2880"/>
      <c r="T5" s="2880"/>
      <c r="U5" s="2880"/>
      <c r="V5" s="2880"/>
    </row>
    <row r="6" spans="1:27" s="3" customFormat="1" ht="60.75" customHeight="1" thickBot="1" x14ac:dyDescent="0.3">
      <c r="A6" s="2744" t="s">
        <v>4</v>
      </c>
      <c r="B6" s="2747" t="s">
        <v>5</v>
      </c>
      <c r="C6" s="2750" t="s">
        <v>6</v>
      </c>
      <c r="D6" s="1046"/>
      <c r="E6" s="2730" t="s">
        <v>7</v>
      </c>
      <c r="F6" s="2753" t="s">
        <v>8</v>
      </c>
      <c r="G6" s="2881" t="s">
        <v>9</v>
      </c>
      <c r="H6" s="2895" t="s">
        <v>10</v>
      </c>
      <c r="I6" s="2898" t="s">
        <v>154</v>
      </c>
      <c r="J6" s="2759" t="s">
        <v>11</v>
      </c>
      <c r="K6" s="903" t="s">
        <v>155</v>
      </c>
      <c r="L6" s="904" t="s">
        <v>156</v>
      </c>
      <c r="M6" s="2901" t="s">
        <v>12</v>
      </c>
      <c r="N6" s="2902"/>
      <c r="O6" s="2902"/>
      <c r="P6" s="2903"/>
      <c r="Q6" s="2874" t="s">
        <v>13</v>
      </c>
      <c r="R6" s="2874" t="s">
        <v>14</v>
      </c>
      <c r="S6" s="2884" t="s">
        <v>15</v>
      </c>
      <c r="T6" s="2885"/>
      <c r="U6" s="2885"/>
      <c r="V6" s="2886"/>
    </row>
    <row r="7" spans="1:27" s="3" customFormat="1" ht="16.5" customHeight="1" x14ac:dyDescent="0.25">
      <c r="A7" s="2745"/>
      <c r="B7" s="2748"/>
      <c r="C7" s="2751"/>
      <c r="D7" s="1047"/>
      <c r="E7" s="2731"/>
      <c r="F7" s="2754"/>
      <c r="G7" s="2882"/>
      <c r="H7" s="2896"/>
      <c r="I7" s="2899"/>
      <c r="J7" s="2733"/>
      <c r="K7" s="2887" t="s">
        <v>157</v>
      </c>
      <c r="L7" s="2888" t="s">
        <v>157</v>
      </c>
      <c r="M7" s="2890" t="s">
        <v>157</v>
      </c>
      <c r="N7" s="2891" t="s">
        <v>158</v>
      </c>
      <c r="O7" s="2892"/>
      <c r="P7" s="2893" t="s">
        <v>159</v>
      </c>
      <c r="Q7" s="2875"/>
      <c r="R7" s="2875"/>
      <c r="S7" s="2859" t="s">
        <v>7</v>
      </c>
      <c r="T7" s="2860" t="s">
        <v>16</v>
      </c>
      <c r="U7" s="2861"/>
      <c r="V7" s="2862"/>
    </row>
    <row r="8" spans="1:27" s="3" customFormat="1" ht="94.5" customHeight="1" thickBot="1" x14ac:dyDescent="0.3">
      <c r="A8" s="2746"/>
      <c r="B8" s="2749"/>
      <c r="C8" s="2752"/>
      <c r="D8" s="1048"/>
      <c r="E8" s="2732"/>
      <c r="F8" s="2755"/>
      <c r="G8" s="2883"/>
      <c r="H8" s="2897"/>
      <c r="I8" s="2900"/>
      <c r="J8" s="2734"/>
      <c r="K8" s="2639"/>
      <c r="L8" s="2889"/>
      <c r="M8" s="2626"/>
      <c r="N8" s="374" t="s">
        <v>157</v>
      </c>
      <c r="O8" s="374" t="s">
        <v>160</v>
      </c>
      <c r="P8" s="2894"/>
      <c r="Q8" s="2876"/>
      <c r="R8" s="2876"/>
      <c r="S8" s="2741"/>
      <c r="T8" s="4" t="s">
        <v>17</v>
      </c>
      <c r="U8" s="4" t="s">
        <v>18</v>
      </c>
      <c r="V8" s="5" t="s">
        <v>19</v>
      </c>
    </row>
    <row r="9" spans="1:27" s="2" customFormat="1" ht="16.5" customHeight="1" x14ac:dyDescent="0.25">
      <c r="A9" s="2863" t="s">
        <v>20</v>
      </c>
      <c r="B9" s="2864"/>
      <c r="C9" s="2864"/>
      <c r="D9" s="2864"/>
      <c r="E9" s="2864"/>
      <c r="F9" s="2864"/>
      <c r="G9" s="2864"/>
      <c r="H9" s="2864"/>
      <c r="I9" s="2864"/>
      <c r="J9" s="2864"/>
      <c r="K9" s="2864"/>
      <c r="L9" s="2864"/>
      <c r="M9" s="2864"/>
      <c r="N9" s="2864"/>
      <c r="O9" s="2864"/>
      <c r="P9" s="2864"/>
      <c r="Q9" s="2864"/>
      <c r="R9" s="2864"/>
      <c r="S9" s="2864"/>
      <c r="T9" s="2864"/>
      <c r="U9" s="2864"/>
      <c r="V9" s="2865"/>
    </row>
    <row r="10" spans="1:27" s="2" customFormat="1" ht="16.5" customHeight="1" thickBot="1" x14ac:dyDescent="0.3">
      <c r="A10" s="2866" t="s">
        <v>21</v>
      </c>
      <c r="B10" s="2867"/>
      <c r="C10" s="2867"/>
      <c r="D10" s="2867"/>
      <c r="E10" s="2867"/>
      <c r="F10" s="2867"/>
      <c r="G10" s="2867"/>
      <c r="H10" s="2867"/>
      <c r="I10" s="2867"/>
      <c r="J10" s="2867"/>
      <c r="K10" s="2867"/>
      <c r="L10" s="2867"/>
      <c r="M10" s="2867"/>
      <c r="N10" s="2867"/>
      <c r="O10" s="2867"/>
      <c r="P10" s="2867"/>
      <c r="Q10" s="2867"/>
      <c r="R10" s="2867"/>
      <c r="S10" s="2867"/>
      <c r="T10" s="2867"/>
      <c r="U10" s="2867"/>
      <c r="V10" s="2868"/>
      <c r="AA10" s="3"/>
    </row>
    <row r="11" spans="1:27" s="3" customFormat="1" ht="16.5" customHeight="1" thickBot="1" x14ac:dyDescent="0.3">
      <c r="A11" s="6" t="s">
        <v>22</v>
      </c>
      <c r="B11" s="2869" t="s">
        <v>23</v>
      </c>
      <c r="C11" s="2869"/>
      <c r="D11" s="2869"/>
      <c r="E11" s="2869"/>
      <c r="F11" s="2869"/>
      <c r="G11" s="2869"/>
      <c r="H11" s="2869"/>
      <c r="I11" s="2869"/>
      <c r="J11" s="2869"/>
      <c r="K11" s="2869"/>
      <c r="L11" s="2869"/>
      <c r="M11" s="2869"/>
      <c r="N11" s="2869"/>
      <c r="O11" s="2869"/>
      <c r="P11" s="2869"/>
      <c r="Q11" s="2869"/>
      <c r="R11" s="2869"/>
      <c r="S11" s="2869"/>
      <c r="T11" s="2869"/>
      <c r="U11" s="2869"/>
      <c r="V11" s="2870"/>
    </row>
    <row r="12" spans="1:27" s="3" customFormat="1" ht="16.5" customHeight="1" thickBot="1" x14ac:dyDescent="0.3">
      <c r="A12" s="7" t="s">
        <v>22</v>
      </c>
      <c r="B12" s="8" t="s">
        <v>22</v>
      </c>
      <c r="C12" s="2871" t="s">
        <v>24</v>
      </c>
      <c r="D12" s="2871"/>
      <c r="E12" s="2871"/>
      <c r="F12" s="2871"/>
      <c r="G12" s="2871"/>
      <c r="H12" s="2871"/>
      <c r="I12" s="2872"/>
      <c r="J12" s="2872"/>
      <c r="K12" s="2872"/>
      <c r="L12" s="2872"/>
      <c r="M12" s="2872"/>
      <c r="N12" s="2872"/>
      <c r="O12" s="2872"/>
      <c r="P12" s="2872"/>
      <c r="Q12" s="2872"/>
      <c r="R12" s="2872"/>
      <c r="S12" s="2872"/>
      <c r="T12" s="2872"/>
      <c r="U12" s="2872"/>
      <c r="V12" s="2873"/>
    </row>
    <row r="13" spans="1:27" s="3" customFormat="1" ht="43.5" customHeight="1" x14ac:dyDescent="0.25">
      <c r="A13" s="1056" t="s">
        <v>22</v>
      </c>
      <c r="B13" s="9" t="s">
        <v>22</v>
      </c>
      <c r="C13" s="1060" t="s">
        <v>22</v>
      </c>
      <c r="D13" s="375"/>
      <c r="E13" s="11" t="s">
        <v>25</v>
      </c>
      <c r="F13" s="1062"/>
      <c r="G13" s="1108" t="s">
        <v>26</v>
      </c>
      <c r="H13" s="12" t="s">
        <v>27</v>
      </c>
      <c r="I13" s="2852" t="s">
        <v>161</v>
      </c>
      <c r="J13" s="13"/>
      <c r="K13" s="107"/>
      <c r="L13" s="376"/>
      <c r="M13" s="972"/>
      <c r="N13" s="974"/>
      <c r="O13" s="381"/>
      <c r="P13" s="973"/>
      <c r="Q13" s="377"/>
      <c r="R13" s="377"/>
      <c r="S13" s="1069"/>
      <c r="T13" s="1076"/>
      <c r="U13" s="1072"/>
      <c r="V13" s="1073"/>
    </row>
    <row r="14" spans="1:27" s="3" customFormat="1" ht="59.25" customHeight="1" x14ac:dyDescent="0.25">
      <c r="A14" s="1066"/>
      <c r="B14" s="18"/>
      <c r="C14" s="158"/>
      <c r="D14" s="382" t="s">
        <v>22</v>
      </c>
      <c r="E14" s="2523" t="s">
        <v>30</v>
      </c>
      <c r="F14" s="91"/>
      <c r="G14" s="1128"/>
      <c r="H14" s="21"/>
      <c r="I14" s="2853"/>
      <c r="J14" s="43" t="s">
        <v>28</v>
      </c>
      <c r="K14" s="383">
        <v>2201</v>
      </c>
      <c r="L14" s="2854">
        <v>991856</v>
      </c>
      <c r="M14" s="384">
        <v>2200</v>
      </c>
      <c r="N14" s="385">
        <v>2200</v>
      </c>
      <c r="O14" s="386"/>
      <c r="P14" s="387"/>
      <c r="Q14" s="388">
        <v>2200</v>
      </c>
      <c r="R14" s="389">
        <v>2200</v>
      </c>
      <c r="S14" s="162" t="s">
        <v>29</v>
      </c>
      <c r="T14" s="121">
        <v>5</v>
      </c>
      <c r="U14" s="1083">
        <v>5</v>
      </c>
      <c r="V14" s="122">
        <v>5</v>
      </c>
    </row>
    <row r="15" spans="1:27" s="3" customFormat="1" ht="44.25" customHeight="1" x14ac:dyDescent="0.25">
      <c r="A15" s="1066"/>
      <c r="B15" s="18"/>
      <c r="C15" s="158"/>
      <c r="D15" s="382"/>
      <c r="E15" s="2524"/>
      <c r="F15" s="20"/>
      <c r="G15" s="1128"/>
      <c r="H15" s="27"/>
      <c r="I15" s="2853"/>
      <c r="J15" s="43" t="s">
        <v>28</v>
      </c>
      <c r="K15" s="383">
        <v>665981</v>
      </c>
      <c r="L15" s="2855"/>
      <c r="M15" s="390">
        <v>707500</v>
      </c>
      <c r="N15" s="386">
        <v>707500</v>
      </c>
      <c r="O15" s="385"/>
      <c r="P15" s="387"/>
      <c r="Q15" s="388">
        <f>M15</f>
        <v>707500</v>
      </c>
      <c r="R15" s="388">
        <f>M15</f>
        <v>707500</v>
      </c>
      <c r="S15" s="241" t="s">
        <v>32</v>
      </c>
      <c r="T15" s="25">
        <v>196</v>
      </c>
      <c r="U15" s="1114">
        <v>196</v>
      </c>
      <c r="V15" s="26">
        <v>196</v>
      </c>
    </row>
    <row r="16" spans="1:27" s="3" customFormat="1" ht="69" customHeight="1" x14ac:dyDescent="0.25">
      <c r="A16" s="1066"/>
      <c r="B16" s="18"/>
      <c r="C16" s="158"/>
      <c r="D16" s="382"/>
      <c r="E16" s="31"/>
      <c r="F16" s="91"/>
      <c r="G16" s="1128"/>
      <c r="H16" s="21"/>
      <c r="I16" s="2853"/>
      <c r="J16" s="43" t="s">
        <v>28</v>
      </c>
      <c r="K16" s="383">
        <v>434444</v>
      </c>
      <c r="L16" s="2856"/>
      <c r="M16" s="390">
        <v>450000</v>
      </c>
      <c r="N16" s="386">
        <v>450000</v>
      </c>
      <c r="O16" s="385"/>
      <c r="P16" s="387"/>
      <c r="Q16" s="388">
        <v>500000</v>
      </c>
      <c r="R16" s="389">
        <v>500000</v>
      </c>
      <c r="S16" s="241" t="s">
        <v>289</v>
      </c>
      <c r="T16" s="30">
        <v>60</v>
      </c>
      <c r="U16" s="1114">
        <v>65</v>
      </c>
      <c r="V16" s="1116">
        <v>70</v>
      </c>
    </row>
    <row r="17" spans="1:22" s="3" customFormat="1" ht="27" customHeight="1" x14ac:dyDescent="0.25">
      <c r="A17" s="1066"/>
      <c r="B17" s="18"/>
      <c r="C17" s="158"/>
      <c r="D17" s="382"/>
      <c r="E17" s="31"/>
      <c r="F17" s="91"/>
      <c r="G17" s="1128"/>
      <c r="H17" s="21"/>
      <c r="I17" s="2853"/>
      <c r="J17" s="43" t="s">
        <v>31</v>
      </c>
      <c r="K17" s="383">
        <v>3765060</v>
      </c>
      <c r="L17" s="2854">
        <v>5613611</v>
      </c>
      <c r="M17" s="383">
        <f>2272000-3500</f>
        <v>2268500</v>
      </c>
      <c r="N17" s="391">
        <f>M17</f>
        <v>2268500</v>
      </c>
      <c r="O17" s="949"/>
      <c r="P17" s="498"/>
      <c r="Q17" s="422">
        <f>M17</f>
        <v>2268500</v>
      </c>
      <c r="R17" s="566">
        <f>M17</f>
        <v>2268500</v>
      </c>
      <c r="S17" s="979" t="s">
        <v>33</v>
      </c>
      <c r="T17" s="30">
        <v>3500</v>
      </c>
      <c r="U17" s="1114">
        <v>3500</v>
      </c>
      <c r="V17" s="1116">
        <v>3500</v>
      </c>
    </row>
    <row r="18" spans="1:22" s="3" customFormat="1" ht="39.75" customHeight="1" x14ac:dyDescent="0.25">
      <c r="A18" s="1066"/>
      <c r="B18" s="18"/>
      <c r="C18" s="158"/>
      <c r="D18" s="382"/>
      <c r="E18" s="31"/>
      <c r="F18" s="91"/>
      <c r="G18" s="1128"/>
      <c r="H18" s="21"/>
      <c r="I18" s="2853"/>
      <c r="J18" s="43" t="s">
        <v>31</v>
      </c>
      <c r="K18" s="383">
        <v>2412101</v>
      </c>
      <c r="L18" s="2855"/>
      <c r="M18" s="383">
        <f>2169500-181600</f>
        <v>1987900</v>
      </c>
      <c r="N18" s="391">
        <f>M18</f>
        <v>1987900</v>
      </c>
      <c r="O18" s="949"/>
      <c r="P18" s="498"/>
      <c r="Q18" s="422">
        <f>M18</f>
        <v>1987900</v>
      </c>
      <c r="R18" s="422">
        <f>M18</f>
        <v>1987900</v>
      </c>
      <c r="S18" s="980" t="s">
        <v>34</v>
      </c>
      <c r="T18" s="975">
        <v>17026</v>
      </c>
      <c r="U18" s="976">
        <v>17026</v>
      </c>
      <c r="V18" s="977">
        <v>17026</v>
      </c>
    </row>
    <row r="19" spans="1:22" s="3" customFormat="1" ht="37.5" customHeight="1" x14ac:dyDescent="0.25">
      <c r="A19" s="1066"/>
      <c r="B19" s="18"/>
      <c r="C19" s="158"/>
      <c r="D19" s="382"/>
      <c r="E19" s="31"/>
      <c r="F19" s="20"/>
      <c r="G19" s="1128"/>
      <c r="H19" s="27"/>
      <c r="I19" s="2853"/>
      <c r="J19" s="43" t="s">
        <v>31</v>
      </c>
      <c r="K19" s="383">
        <v>44688</v>
      </c>
      <c r="L19" s="2856"/>
      <c r="M19" s="392">
        <f>N19</f>
        <v>53400</v>
      </c>
      <c r="N19" s="393">
        <v>53400</v>
      </c>
      <c r="O19" s="394"/>
      <c r="P19" s="395"/>
      <c r="Q19" s="396">
        <v>53500</v>
      </c>
      <c r="R19" s="396">
        <v>53600</v>
      </c>
      <c r="S19" s="2857" t="s">
        <v>35</v>
      </c>
      <c r="T19" s="25">
        <v>95</v>
      </c>
      <c r="U19" s="1114">
        <v>104</v>
      </c>
      <c r="V19" s="26">
        <v>114</v>
      </c>
    </row>
    <row r="20" spans="1:22" s="3" customFormat="1" ht="17.25" customHeight="1" x14ac:dyDescent="0.25">
      <c r="A20" s="1066"/>
      <c r="B20" s="18"/>
      <c r="C20" s="158"/>
      <c r="D20" s="382"/>
      <c r="E20" s="1064"/>
      <c r="F20" s="91"/>
      <c r="G20" s="1128"/>
      <c r="H20" s="21"/>
      <c r="I20" s="1096"/>
      <c r="J20" s="36" t="s">
        <v>36</v>
      </c>
      <c r="K20" s="397">
        <f>SUM(K14:K19)</f>
        <v>7324475</v>
      </c>
      <c r="L20" s="398">
        <f>SUM(L14:L19)</f>
        <v>6605467</v>
      </c>
      <c r="M20" s="397">
        <f t="shared" ref="M20:P20" si="0">SUM(M13:M19)</f>
        <v>5469500</v>
      </c>
      <c r="N20" s="399">
        <f t="shared" si="0"/>
        <v>5469500</v>
      </c>
      <c r="O20" s="400">
        <f t="shared" si="0"/>
        <v>0</v>
      </c>
      <c r="P20" s="398">
        <f t="shared" si="0"/>
        <v>0</v>
      </c>
      <c r="Q20" s="401">
        <f>SUM(Q14:Q19)</f>
        <v>5519600</v>
      </c>
      <c r="R20" s="401">
        <f>SUM(R13:R19)</f>
        <v>5519700</v>
      </c>
      <c r="S20" s="2858"/>
      <c r="T20" s="320"/>
      <c r="U20" s="40"/>
      <c r="V20" s="84"/>
    </row>
    <row r="21" spans="1:22" s="3" customFormat="1" ht="54.75" customHeight="1" x14ac:dyDescent="0.25">
      <c r="A21" s="1104"/>
      <c r="B21" s="905"/>
      <c r="C21" s="906"/>
      <c r="D21" s="997" t="s">
        <v>50</v>
      </c>
      <c r="E21" s="998" t="s">
        <v>37</v>
      </c>
      <c r="F21" s="517"/>
      <c r="G21" s="831" t="s">
        <v>26</v>
      </c>
      <c r="H21" s="999" t="s">
        <v>27</v>
      </c>
      <c r="I21" s="513" t="s">
        <v>162</v>
      </c>
      <c r="J21" s="121" t="s">
        <v>28</v>
      </c>
      <c r="K21" s="383">
        <v>881482</v>
      </c>
      <c r="L21" s="419">
        <v>1561132</v>
      </c>
      <c r="M21" s="403">
        <v>1118800</v>
      </c>
      <c r="N21" s="391">
        <f>M21</f>
        <v>1118800</v>
      </c>
      <c r="O21" s="391"/>
      <c r="P21" s="1085"/>
      <c r="Q21" s="43">
        <f>M21</f>
        <v>1118800</v>
      </c>
      <c r="R21" s="43">
        <f>Q21</f>
        <v>1118800</v>
      </c>
      <c r="S21" s="921" t="s">
        <v>163</v>
      </c>
      <c r="T21" s="114">
        <v>353</v>
      </c>
      <c r="U21" s="115">
        <v>353</v>
      </c>
      <c r="V21" s="116">
        <v>353</v>
      </c>
    </row>
    <row r="22" spans="1:22" s="3" customFormat="1" ht="54.75" customHeight="1" x14ac:dyDescent="0.25">
      <c r="A22" s="1066"/>
      <c r="B22" s="18"/>
      <c r="C22" s="158"/>
      <c r="D22" s="981"/>
      <c r="E22" s="31"/>
      <c r="F22" s="20"/>
      <c r="G22" s="1128"/>
      <c r="H22" s="21"/>
      <c r="I22" s="1096"/>
      <c r="J22" s="416" t="s">
        <v>28</v>
      </c>
      <c r="K22" s="407">
        <v>354292</v>
      </c>
      <c r="L22" s="417"/>
      <c r="M22" s="66">
        <v>378900</v>
      </c>
      <c r="N22" s="950">
        <f>M22</f>
        <v>378900</v>
      </c>
      <c r="O22" s="67">
        <v>263013</v>
      </c>
      <c r="P22" s="68"/>
      <c r="Q22" s="35">
        <f>M22</f>
        <v>378900</v>
      </c>
      <c r="R22" s="35">
        <f>Q22</f>
        <v>378900</v>
      </c>
      <c r="S22" s="1107" t="s">
        <v>164</v>
      </c>
      <c r="T22" s="416">
        <v>110</v>
      </c>
      <c r="U22" s="67">
        <v>110</v>
      </c>
      <c r="V22" s="491">
        <v>110</v>
      </c>
    </row>
    <row r="23" spans="1:22" s="3" customFormat="1" ht="52.5" customHeight="1" x14ac:dyDescent="0.25">
      <c r="A23" s="1066"/>
      <c r="B23" s="18"/>
      <c r="C23" s="158"/>
      <c r="D23" s="404"/>
      <c r="E23" s="31"/>
      <c r="F23" s="91"/>
      <c r="G23" s="1128"/>
      <c r="H23" s="21"/>
      <c r="I23" s="1096"/>
      <c r="J23" s="416" t="s">
        <v>28</v>
      </c>
      <c r="K23" s="407">
        <v>105190</v>
      </c>
      <c r="L23" s="405"/>
      <c r="M23" s="66">
        <v>119200</v>
      </c>
      <c r="N23" s="950">
        <f>M23</f>
        <v>119200</v>
      </c>
      <c r="O23" s="67">
        <v>75827</v>
      </c>
      <c r="P23" s="68"/>
      <c r="Q23" s="35">
        <f>M23</f>
        <v>119200</v>
      </c>
      <c r="R23" s="35">
        <f>Q23</f>
        <v>119200</v>
      </c>
      <c r="S23" s="1107" t="s">
        <v>165</v>
      </c>
      <c r="T23" s="1077">
        <v>55</v>
      </c>
      <c r="U23" s="1054">
        <v>55</v>
      </c>
      <c r="V23" s="1079">
        <v>55</v>
      </c>
    </row>
    <row r="24" spans="1:22" s="3" customFormat="1" ht="55.5" customHeight="1" x14ac:dyDescent="0.25">
      <c r="A24" s="1066"/>
      <c r="B24" s="18"/>
      <c r="C24" s="158"/>
      <c r="D24" s="408"/>
      <c r="E24" s="31"/>
      <c r="F24" s="91"/>
      <c r="G24" s="1128"/>
      <c r="H24" s="21"/>
      <c r="I24" s="1096"/>
      <c r="J24" s="121" t="s">
        <v>28</v>
      </c>
      <c r="K24" s="407">
        <v>82889</v>
      </c>
      <c r="L24" s="417"/>
      <c r="M24" s="1082">
        <v>90200</v>
      </c>
      <c r="N24" s="406">
        <f>M24</f>
        <v>90200</v>
      </c>
      <c r="O24" s="1083">
        <v>68850</v>
      </c>
      <c r="P24" s="1085"/>
      <c r="Q24" s="43">
        <f>M24</f>
        <v>90200</v>
      </c>
      <c r="R24" s="43">
        <f>M24</f>
        <v>90200</v>
      </c>
      <c r="S24" s="921" t="s">
        <v>166</v>
      </c>
      <c r="T24" s="411">
        <v>29</v>
      </c>
      <c r="U24" s="164">
        <v>30</v>
      </c>
      <c r="V24" s="412">
        <v>30</v>
      </c>
    </row>
    <row r="25" spans="1:22" s="3" customFormat="1" ht="79.5" customHeight="1" x14ac:dyDescent="0.25">
      <c r="A25" s="1066"/>
      <c r="B25" s="18"/>
      <c r="C25" s="158"/>
      <c r="D25" s="408"/>
      <c r="E25" s="31"/>
      <c r="F25" s="91"/>
      <c r="G25" s="1128"/>
      <c r="H25" s="21"/>
      <c r="I25" s="1096"/>
      <c r="J25" s="39" t="s">
        <v>28</v>
      </c>
      <c r="K25" s="409">
        <v>98007</v>
      </c>
      <c r="L25" s="405"/>
      <c r="M25" s="320">
        <v>195700</v>
      </c>
      <c r="N25" s="40">
        <f>M25</f>
        <v>195700</v>
      </c>
      <c r="O25" s="40">
        <v>139435</v>
      </c>
      <c r="P25" s="84"/>
      <c r="Q25" s="951">
        <f>M25</f>
        <v>195700</v>
      </c>
      <c r="R25" s="951">
        <f>N25</f>
        <v>195700</v>
      </c>
      <c r="S25" s="1107" t="s">
        <v>167</v>
      </c>
      <c r="T25" s="1052">
        <v>20</v>
      </c>
      <c r="U25" s="1054">
        <v>20</v>
      </c>
      <c r="V25" s="1055">
        <v>20</v>
      </c>
    </row>
    <row r="26" spans="1:22" s="3" customFormat="1" ht="93.75" customHeight="1" x14ac:dyDescent="0.25">
      <c r="A26" s="1066"/>
      <c r="B26" s="18"/>
      <c r="C26" s="158"/>
      <c r="D26" s="414"/>
      <c r="E26" s="31"/>
      <c r="F26" s="20"/>
      <c r="G26" s="1128"/>
      <c r="H26" s="21"/>
      <c r="I26" s="1096"/>
      <c r="J26" s="35"/>
      <c r="K26" s="407"/>
      <c r="L26" s="405"/>
      <c r="M26" s="66"/>
      <c r="N26" s="67"/>
      <c r="O26" s="67"/>
      <c r="P26" s="68"/>
      <c r="Q26" s="35"/>
      <c r="R26" s="415"/>
      <c r="S26" s="1107" t="s">
        <v>168</v>
      </c>
      <c r="T26" s="1052">
        <v>20</v>
      </c>
      <c r="U26" s="1054">
        <v>20</v>
      </c>
      <c r="V26" s="1055">
        <v>20</v>
      </c>
    </row>
    <row r="27" spans="1:22" s="3" customFormat="1" ht="53.25" customHeight="1" x14ac:dyDescent="0.25">
      <c r="A27" s="1066"/>
      <c r="B27" s="18"/>
      <c r="C27" s="158"/>
      <c r="D27" s="408"/>
      <c r="E27" s="1064"/>
      <c r="F27" s="91"/>
      <c r="G27" s="1128"/>
      <c r="H27" s="21"/>
      <c r="I27" s="1096"/>
      <c r="J27" s="416" t="s">
        <v>28</v>
      </c>
      <c r="K27" s="407">
        <v>39272</v>
      </c>
      <c r="L27" s="417"/>
      <c r="M27" s="66">
        <v>31600</v>
      </c>
      <c r="N27" s="67">
        <f>M27</f>
        <v>31600</v>
      </c>
      <c r="O27" s="67">
        <v>24080</v>
      </c>
      <c r="P27" s="68"/>
      <c r="Q27" s="35">
        <f>M27</f>
        <v>31600</v>
      </c>
      <c r="R27" s="35">
        <f>N27</f>
        <v>31600</v>
      </c>
      <c r="S27" s="2699" t="s">
        <v>169</v>
      </c>
      <c r="T27" s="73">
        <v>12</v>
      </c>
      <c r="U27" s="47">
        <v>12</v>
      </c>
      <c r="V27" s="74">
        <v>12</v>
      </c>
    </row>
    <row r="28" spans="1:22" s="3" customFormat="1" ht="16.5" customHeight="1" x14ac:dyDescent="0.25">
      <c r="A28" s="1066"/>
      <c r="B28" s="18"/>
      <c r="C28" s="158"/>
      <c r="D28" s="408"/>
      <c r="E28" s="1064"/>
      <c r="F28" s="91"/>
      <c r="G28" s="1128"/>
      <c r="H28" s="21"/>
      <c r="I28" s="1096"/>
      <c r="J28" s="397" t="s">
        <v>36</v>
      </c>
      <c r="K28" s="397">
        <f>SUM(K21:K27)</f>
        <v>1561132</v>
      </c>
      <c r="L28" s="398">
        <f>SUM(L21)</f>
        <v>1561132</v>
      </c>
      <c r="M28" s="397">
        <f t="shared" ref="M28:R28" si="1">SUM(M21:M27)</f>
        <v>1934400</v>
      </c>
      <c r="N28" s="399">
        <f t="shared" si="1"/>
        <v>1934400</v>
      </c>
      <c r="O28" s="400">
        <f t="shared" si="1"/>
        <v>571205</v>
      </c>
      <c r="P28" s="398">
        <f t="shared" si="1"/>
        <v>0</v>
      </c>
      <c r="Q28" s="397">
        <f>SUM(Q21:Q27)</f>
        <v>1934400</v>
      </c>
      <c r="R28" s="397">
        <f t="shared" si="1"/>
        <v>1934400</v>
      </c>
      <c r="S28" s="2910"/>
      <c r="T28" s="20"/>
      <c r="U28" s="47"/>
      <c r="V28" s="48"/>
    </row>
    <row r="29" spans="1:22" s="3" customFormat="1" ht="27.75" customHeight="1" x14ac:dyDescent="0.25">
      <c r="A29" s="1066"/>
      <c r="B29" s="18"/>
      <c r="C29" s="158"/>
      <c r="D29" s="418" t="s">
        <v>54</v>
      </c>
      <c r="E29" s="2537" t="s">
        <v>39</v>
      </c>
      <c r="F29" s="402"/>
      <c r="G29" s="1138" t="s">
        <v>26</v>
      </c>
      <c r="H29" s="42" t="s">
        <v>27</v>
      </c>
      <c r="I29" s="2906" t="s">
        <v>161</v>
      </c>
      <c r="J29" s="43" t="s">
        <v>28</v>
      </c>
      <c r="K29" s="383">
        <v>171467</v>
      </c>
      <c r="L29" s="419">
        <v>171467</v>
      </c>
      <c r="M29" s="390">
        <v>177600</v>
      </c>
      <c r="N29" s="386">
        <f>M29</f>
        <v>177600</v>
      </c>
      <c r="O29" s="385">
        <v>135575</v>
      </c>
      <c r="P29" s="420"/>
      <c r="Q29" s="422">
        <f>M29</f>
        <v>177600</v>
      </c>
      <c r="R29" s="422">
        <f>Q29</f>
        <v>177600</v>
      </c>
      <c r="S29" s="2911" t="s">
        <v>40</v>
      </c>
      <c r="T29" s="2912">
        <v>23</v>
      </c>
      <c r="U29" s="2913">
        <v>23</v>
      </c>
      <c r="V29" s="2904">
        <v>23</v>
      </c>
    </row>
    <row r="30" spans="1:22" s="3" customFormat="1" ht="16.5" customHeight="1" x14ac:dyDescent="0.25">
      <c r="A30" s="1066"/>
      <c r="B30" s="18"/>
      <c r="C30" s="158"/>
      <c r="D30" s="423"/>
      <c r="E30" s="2845"/>
      <c r="F30" s="311"/>
      <c r="G30" s="1139"/>
      <c r="H30" s="49"/>
      <c r="I30" s="2907"/>
      <c r="J30" s="50" t="s">
        <v>36</v>
      </c>
      <c r="K30" s="424">
        <f>SUM(K29)</f>
        <v>171467</v>
      </c>
      <c r="L30" s="421">
        <f>SUM(L29)</f>
        <v>171467</v>
      </c>
      <c r="M30" s="424">
        <f>N30+P30</f>
        <v>177600</v>
      </c>
      <c r="N30" s="425">
        <f>+N29</f>
        <v>177600</v>
      </c>
      <c r="O30" s="426">
        <f>+O29</f>
        <v>135575</v>
      </c>
      <c r="P30" s="427"/>
      <c r="Q30" s="428">
        <f>+Q29</f>
        <v>177600</v>
      </c>
      <c r="R30" s="428">
        <f>+R29</f>
        <v>177600</v>
      </c>
      <c r="S30" s="2700"/>
      <c r="T30" s="2702"/>
      <c r="U30" s="2704"/>
      <c r="V30" s="2905"/>
    </row>
    <row r="31" spans="1:22" s="3" customFormat="1" ht="36.75" customHeight="1" x14ac:dyDescent="0.25">
      <c r="A31" s="1066"/>
      <c r="B31" s="18"/>
      <c r="C31" s="158"/>
      <c r="D31" s="408" t="s">
        <v>56</v>
      </c>
      <c r="E31" s="2524" t="s">
        <v>41</v>
      </c>
      <c r="F31" s="91"/>
      <c r="G31" s="1128" t="s">
        <v>26</v>
      </c>
      <c r="H31" s="21" t="s">
        <v>27</v>
      </c>
      <c r="I31" s="2906" t="s">
        <v>161</v>
      </c>
      <c r="J31" s="35" t="s">
        <v>28</v>
      </c>
      <c r="K31" s="407">
        <v>692974</v>
      </c>
      <c r="L31" s="1099">
        <v>568039</v>
      </c>
      <c r="M31" s="66">
        <v>589700</v>
      </c>
      <c r="N31" s="415">
        <f>M31</f>
        <v>589700</v>
      </c>
      <c r="O31" s="67"/>
      <c r="P31" s="429"/>
      <c r="Q31" s="35">
        <f>M31</f>
        <v>589700</v>
      </c>
      <c r="R31" s="35">
        <f>N31</f>
        <v>589700</v>
      </c>
      <c r="S31" s="2699" t="s">
        <v>42</v>
      </c>
      <c r="T31" s="52" t="s">
        <v>43</v>
      </c>
      <c r="U31" s="53" t="s">
        <v>43</v>
      </c>
      <c r="V31" s="54" t="s">
        <v>43</v>
      </c>
    </row>
    <row r="32" spans="1:22" s="3" customFormat="1" ht="16.5" customHeight="1" x14ac:dyDescent="0.25">
      <c r="A32" s="1066"/>
      <c r="B32" s="18"/>
      <c r="C32" s="158"/>
      <c r="D32" s="408"/>
      <c r="E32" s="2524"/>
      <c r="F32" s="91"/>
      <c r="G32" s="1128"/>
      <c r="H32" s="21"/>
      <c r="I32" s="2907"/>
      <c r="J32" s="36" t="s">
        <v>36</v>
      </c>
      <c r="K32" s="397">
        <f>K31</f>
        <v>692974</v>
      </c>
      <c r="L32" s="398">
        <f>SUM(L31)</f>
        <v>568039</v>
      </c>
      <c r="M32" s="401">
        <f t="shared" ref="M32:M48" si="2">N32+P32</f>
        <v>589700</v>
      </c>
      <c r="N32" s="430">
        <f>+N31</f>
        <v>589700</v>
      </c>
      <c r="O32" s="400"/>
      <c r="P32" s="431"/>
      <c r="Q32" s="401">
        <f>+Q31</f>
        <v>589700</v>
      </c>
      <c r="R32" s="401">
        <f>+R31</f>
        <v>589700</v>
      </c>
      <c r="S32" s="2699"/>
      <c r="T32" s="55" t="s">
        <v>44</v>
      </c>
      <c r="U32" s="56" t="s">
        <v>44</v>
      </c>
      <c r="V32" s="57" t="s">
        <v>44</v>
      </c>
    </row>
    <row r="33" spans="1:26" s="3" customFormat="1" ht="37.5" customHeight="1" x14ac:dyDescent="0.25">
      <c r="A33" s="2908"/>
      <c r="B33" s="2599"/>
      <c r="C33" s="1117"/>
      <c r="D33" s="432" t="s">
        <v>59</v>
      </c>
      <c r="E33" s="2523" t="s">
        <v>45</v>
      </c>
      <c r="F33" s="402"/>
      <c r="G33" s="59" t="s">
        <v>26</v>
      </c>
      <c r="H33" s="60">
        <v>3</v>
      </c>
      <c r="I33" s="2906" t="s">
        <v>162</v>
      </c>
      <c r="J33" s="1102" t="s">
        <v>31</v>
      </c>
      <c r="K33" s="383">
        <v>165112</v>
      </c>
      <c r="L33" s="419">
        <v>153440</v>
      </c>
      <c r="M33" s="121">
        <v>129200</v>
      </c>
      <c r="N33" s="1083">
        <f>M33</f>
        <v>129200</v>
      </c>
      <c r="O33" s="406"/>
      <c r="P33" s="433"/>
      <c r="Q33" s="43">
        <f>M33</f>
        <v>129200</v>
      </c>
      <c r="R33" s="43">
        <f>N33</f>
        <v>129200</v>
      </c>
      <c r="S33" s="1106" t="s">
        <v>271</v>
      </c>
      <c r="T33" s="30">
        <v>2100</v>
      </c>
      <c r="U33" s="1114">
        <v>2100</v>
      </c>
      <c r="V33" s="1116">
        <v>2100</v>
      </c>
    </row>
    <row r="34" spans="1:26" s="3" customFormat="1" ht="15" customHeight="1" x14ac:dyDescent="0.25">
      <c r="A34" s="2909"/>
      <c r="B34" s="2619"/>
      <c r="C34" s="908"/>
      <c r="D34" s="434"/>
      <c r="E34" s="2525"/>
      <c r="F34" s="311"/>
      <c r="G34" s="62"/>
      <c r="H34" s="63"/>
      <c r="I34" s="2907"/>
      <c r="J34" s="64" t="s">
        <v>36</v>
      </c>
      <c r="K34" s="424">
        <f>+K33</f>
        <v>165112</v>
      </c>
      <c r="L34" s="421">
        <f>+L33</f>
        <v>153440</v>
      </c>
      <c r="M34" s="424">
        <f>N34+P34</f>
        <v>129200</v>
      </c>
      <c r="N34" s="425">
        <f>+N33</f>
        <v>129200</v>
      </c>
      <c r="O34" s="435"/>
      <c r="P34" s="426"/>
      <c r="Q34" s="428">
        <f t="shared" ref="Q34:R34" si="3">+Q33</f>
        <v>129200</v>
      </c>
      <c r="R34" s="428">
        <f t="shared" si="3"/>
        <v>129200</v>
      </c>
      <c r="S34" s="436"/>
      <c r="T34" s="66"/>
      <c r="U34" s="67"/>
      <c r="V34" s="68"/>
    </row>
    <row r="35" spans="1:26" s="2" customFormat="1" ht="21.75" customHeight="1" x14ac:dyDescent="0.25">
      <c r="A35" s="2908"/>
      <c r="B35" s="2599"/>
      <c r="C35" s="1117"/>
      <c r="D35" s="437" t="s">
        <v>97</v>
      </c>
      <c r="E35" s="2524" t="s">
        <v>46</v>
      </c>
      <c r="F35" s="1000"/>
      <c r="G35" s="1128" t="s">
        <v>26</v>
      </c>
      <c r="H35" s="1070" t="s">
        <v>27</v>
      </c>
      <c r="I35" s="2920" t="s">
        <v>161</v>
      </c>
      <c r="J35" s="35" t="s">
        <v>103</v>
      </c>
      <c r="K35" s="407">
        <v>113010</v>
      </c>
      <c r="L35" s="1099">
        <v>113010</v>
      </c>
      <c r="M35" s="66"/>
      <c r="N35" s="67"/>
      <c r="O35" s="67"/>
      <c r="P35" s="68"/>
      <c r="Q35" s="438"/>
      <c r="R35" s="439"/>
      <c r="S35" s="2699" t="s">
        <v>47</v>
      </c>
      <c r="T35" s="320"/>
      <c r="U35" s="40"/>
      <c r="V35" s="84"/>
    </row>
    <row r="36" spans="1:26" s="2" customFormat="1" ht="21.75" customHeight="1" x14ac:dyDescent="0.25">
      <c r="A36" s="2908"/>
      <c r="B36" s="2599"/>
      <c r="C36" s="1117"/>
      <c r="D36" s="437"/>
      <c r="E36" s="2524"/>
      <c r="F36" s="954"/>
      <c r="G36" s="126"/>
      <c r="H36" s="957"/>
      <c r="I36" s="2920"/>
      <c r="J36" s="28" t="s">
        <v>28</v>
      </c>
      <c r="K36" s="413">
        <v>100730</v>
      </c>
      <c r="L36" s="1097">
        <v>100730</v>
      </c>
      <c r="M36" s="413">
        <v>102200</v>
      </c>
      <c r="N36" s="440">
        <f>M36</f>
        <v>102200</v>
      </c>
      <c r="O36" s="440">
        <v>73700</v>
      </c>
      <c r="P36" s="26"/>
      <c r="Q36" s="22">
        <f>M36</f>
        <v>102200</v>
      </c>
      <c r="R36" s="30">
        <f>N36</f>
        <v>102200</v>
      </c>
      <c r="S36" s="2700"/>
      <c r="T36" s="320">
        <v>50</v>
      </c>
      <c r="U36" s="40"/>
      <c r="V36" s="84"/>
    </row>
    <row r="37" spans="1:26" s="2" customFormat="1" ht="28.5" customHeight="1" x14ac:dyDescent="0.25">
      <c r="A37" s="1066"/>
      <c r="B37" s="1067"/>
      <c r="C37" s="1117"/>
      <c r="D37" s="437"/>
      <c r="E37" s="2524"/>
      <c r="F37" s="954"/>
      <c r="G37" s="126"/>
      <c r="H37" s="957"/>
      <c r="I37" s="441"/>
      <c r="J37" s="3"/>
      <c r="K37" s="407"/>
      <c r="L37" s="1099"/>
      <c r="M37" s="416"/>
      <c r="N37" s="67"/>
      <c r="O37" s="67"/>
      <c r="P37" s="68"/>
      <c r="Q37" s="35"/>
      <c r="R37" s="416"/>
      <c r="S37" s="1106" t="s">
        <v>170</v>
      </c>
      <c r="T37" s="1051">
        <v>25</v>
      </c>
      <c r="U37" s="1053"/>
      <c r="V37" s="26"/>
      <c r="Y37" s="3"/>
    </row>
    <row r="38" spans="1:26" s="2" customFormat="1" ht="26.25" customHeight="1" x14ac:dyDescent="0.25">
      <c r="A38" s="1066"/>
      <c r="B38" s="1067"/>
      <c r="C38" s="1117"/>
      <c r="D38" s="444"/>
      <c r="E38" s="2524"/>
      <c r="F38" s="954"/>
      <c r="G38" s="126"/>
      <c r="H38" s="957"/>
      <c r="I38" s="441"/>
      <c r="J38" s="43" t="s">
        <v>31</v>
      </c>
      <c r="K38" s="407"/>
      <c r="L38" s="1099">
        <v>15619</v>
      </c>
      <c r="M38" s="416">
        <f>N38</f>
        <v>16000</v>
      </c>
      <c r="N38" s="67">
        <v>16000</v>
      </c>
      <c r="O38" s="67">
        <v>12200</v>
      </c>
      <c r="P38" s="68"/>
      <c r="Q38" s="35"/>
      <c r="R38" s="121"/>
      <c r="S38" s="1088" t="s">
        <v>290</v>
      </c>
      <c r="T38" s="959">
        <v>11</v>
      </c>
      <c r="U38" s="1054"/>
      <c r="V38" s="68"/>
      <c r="Y38" s="3"/>
    </row>
    <row r="39" spans="1:26" s="2" customFormat="1" ht="14.25" customHeight="1" x14ac:dyDescent="0.25">
      <c r="A39" s="1066"/>
      <c r="B39" s="1067"/>
      <c r="C39" s="1117"/>
      <c r="D39" s="437"/>
      <c r="E39" s="31"/>
      <c r="F39" s="954"/>
      <c r="G39" s="126"/>
      <c r="H39" s="957"/>
      <c r="I39" s="441"/>
      <c r="J39" s="35" t="s">
        <v>28</v>
      </c>
      <c r="K39" s="407">
        <v>94764</v>
      </c>
      <c r="L39" s="1099">
        <v>94764</v>
      </c>
      <c r="M39" s="416">
        <v>94400</v>
      </c>
      <c r="N39" s="67">
        <f>M39</f>
        <v>94400</v>
      </c>
      <c r="O39" s="67">
        <v>72029</v>
      </c>
      <c r="P39" s="68"/>
      <c r="Q39" s="35"/>
      <c r="R39" s="39"/>
      <c r="S39" s="2699" t="s">
        <v>172</v>
      </c>
      <c r="T39" s="73">
        <v>25</v>
      </c>
      <c r="U39" s="47"/>
      <c r="V39" s="84"/>
      <c r="W39" s="167"/>
      <c r="Z39" s="3"/>
    </row>
    <row r="40" spans="1:26" s="2" customFormat="1" ht="14.25" customHeight="1" x14ac:dyDescent="0.25">
      <c r="A40" s="1066"/>
      <c r="B40" s="1067"/>
      <c r="C40" s="1117"/>
      <c r="D40" s="437"/>
      <c r="E40" s="31"/>
      <c r="F40" s="954"/>
      <c r="G40" s="126"/>
      <c r="H40" s="957"/>
      <c r="I40" s="441"/>
      <c r="J40" s="43" t="s">
        <v>31</v>
      </c>
      <c r="K40" s="409"/>
      <c r="L40" s="1098">
        <v>15238</v>
      </c>
      <c r="M40" s="39">
        <f>N40</f>
        <v>15600</v>
      </c>
      <c r="N40" s="1114">
        <v>15600</v>
      </c>
      <c r="O40" s="83">
        <v>11900</v>
      </c>
      <c r="P40" s="443"/>
      <c r="Q40" s="39"/>
      <c r="R40" s="121"/>
      <c r="S40" s="2699"/>
      <c r="T40" s="73"/>
      <c r="U40" s="47"/>
      <c r="V40" s="84"/>
      <c r="W40" s="3"/>
    </row>
    <row r="41" spans="1:26" s="2" customFormat="1" ht="14.25" customHeight="1" x14ac:dyDescent="0.25">
      <c r="A41" s="1066"/>
      <c r="B41" s="1067"/>
      <c r="C41" s="1117"/>
      <c r="D41" s="444"/>
      <c r="E41" s="169"/>
      <c r="F41" s="955"/>
      <c r="G41" s="956"/>
      <c r="H41" s="958"/>
      <c r="I41" s="31"/>
      <c r="J41" s="36" t="s">
        <v>36</v>
      </c>
      <c r="K41" s="397">
        <f>SUM(K35:K40)</f>
        <v>308504</v>
      </c>
      <c r="L41" s="398">
        <f>SUM(L35:L40)</f>
        <v>339361</v>
      </c>
      <c r="M41" s="397">
        <f>SUM(M35:M40)</f>
        <v>228200</v>
      </c>
      <c r="N41" s="399">
        <f>SUM(N35:N40)</f>
        <v>228200</v>
      </c>
      <c r="O41" s="399">
        <f>SUM(O35:O40)</f>
        <v>169829</v>
      </c>
      <c r="P41" s="430"/>
      <c r="Q41" s="401">
        <f>SUM(Q35:Q40)</f>
        <v>102200</v>
      </c>
      <c r="R41" s="397">
        <f>SUM(R35:R40)</f>
        <v>102200</v>
      </c>
      <c r="S41" s="2923" t="s">
        <v>171</v>
      </c>
      <c r="T41" s="2924">
        <v>11</v>
      </c>
      <c r="U41" s="2926"/>
      <c r="V41" s="2928"/>
    </row>
    <row r="42" spans="1:26" s="2" customFormat="1" ht="16.5" customHeight="1" thickBot="1" x14ac:dyDescent="0.3">
      <c r="A42" s="1066"/>
      <c r="B42" s="1067"/>
      <c r="C42" s="1117"/>
      <c r="D42" s="437"/>
      <c r="E42" s="445"/>
      <c r="F42" s="446"/>
      <c r="G42" s="447"/>
      <c r="H42" s="448"/>
      <c r="I42" s="2921" t="s">
        <v>49</v>
      </c>
      <c r="J42" s="2922"/>
      <c r="K42" s="943">
        <f>K41+K34+K32+K30+K28+K20</f>
        <v>10223664</v>
      </c>
      <c r="L42" s="449">
        <f>L41+L34+L32+L30+L28+L20</f>
        <v>9398906</v>
      </c>
      <c r="M42" s="943">
        <f t="shared" ref="M42:R42" si="4">M41+M34+M32+M30+M28+M20</f>
        <v>8528600</v>
      </c>
      <c r="N42" s="952">
        <f t="shared" si="4"/>
        <v>8528600</v>
      </c>
      <c r="O42" s="952">
        <f t="shared" si="4"/>
        <v>876609</v>
      </c>
      <c r="P42" s="944"/>
      <c r="Q42" s="450">
        <f>Q41+Q34+Q32+Q30+Q28+Q20</f>
        <v>8452700</v>
      </c>
      <c r="R42" s="450">
        <f t="shared" si="4"/>
        <v>8452800</v>
      </c>
      <c r="S42" s="2551"/>
      <c r="T42" s="2925"/>
      <c r="U42" s="2927"/>
      <c r="V42" s="2929"/>
      <c r="X42" s="3"/>
    </row>
    <row r="43" spans="1:26" s="3" customFormat="1" ht="51" customHeight="1" x14ac:dyDescent="0.25">
      <c r="A43" s="2914" t="s">
        <v>22</v>
      </c>
      <c r="B43" s="2598" t="s">
        <v>22</v>
      </c>
      <c r="C43" s="2674" t="s">
        <v>50</v>
      </c>
      <c r="D43" s="451"/>
      <c r="E43" s="2600" t="s">
        <v>51</v>
      </c>
      <c r="F43" s="2676"/>
      <c r="G43" s="2916" t="s">
        <v>26</v>
      </c>
      <c r="H43" s="2918" t="s">
        <v>27</v>
      </c>
      <c r="I43" s="2852" t="s">
        <v>162</v>
      </c>
      <c r="J43" s="13" t="s">
        <v>52</v>
      </c>
      <c r="K43" s="107">
        <v>10572000</v>
      </c>
      <c r="L43" s="376">
        <v>10572000</v>
      </c>
      <c r="M43" s="78">
        <v>11910900</v>
      </c>
      <c r="N43" s="452">
        <f>M43</f>
        <v>11910900</v>
      </c>
      <c r="O43" s="1072"/>
      <c r="P43" s="453"/>
      <c r="Q43" s="13">
        <f>M43</f>
        <v>11910900</v>
      </c>
      <c r="R43" s="13">
        <f>N43</f>
        <v>11910900</v>
      </c>
      <c r="S43" s="77" t="s">
        <v>53</v>
      </c>
      <c r="T43" s="78">
        <v>6460</v>
      </c>
      <c r="U43" s="1072">
        <v>6419</v>
      </c>
      <c r="V43" s="79">
        <v>6419</v>
      </c>
    </row>
    <row r="44" spans="1:26" s="3" customFormat="1" ht="16.5" customHeight="1" thickBot="1" x14ac:dyDescent="0.3">
      <c r="A44" s="2915"/>
      <c r="B44" s="2649"/>
      <c r="C44" s="2675"/>
      <c r="D44" s="454"/>
      <c r="E44" s="2601"/>
      <c r="F44" s="2677"/>
      <c r="G44" s="2917"/>
      <c r="H44" s="2919"/>
      <c r="I44" s="2930"/>
      <c r="J44" s="80" t="s">
        <v>36</v>
      </c>
      <c r="K44" s="455">
        <f>SUM(K43)</f>
        <v>10572000</v>
      </c>
      <c r="L44" s="456">
        <f>SUM(L43)</f>
        <v>10572000</v>
      </c>
      <c r="M44" s="457">
        <f t="shared" si="2"/>
        <v>11910900</v>
      </c>
      <c r="N44" s="458">
        <f>+N43</f>
        <v>11910900</v>
      </c>
      <c r="O44" s="459"/>
      <c r="P44" s="458"/>
      <c r="Q44" s="457">
        <f>+Q43</f>
        <v>11910900</v>
      </c>
      <c r="R44" s="80">
        <f>+R43</f>
        <v>11910900</v>
      </c>
      <c r="S44" s="82"/>
      <c r="T44" s="907"/>
      <c r="U44" s="1115"/>
      <c r="V44" s="97"/>
    </row>
    <row r="45" spans="1:26" s="3" customFormat="1" ht="19.5" customHeight="1" x14ac:dyDescent="0.25">
      <c r="A45" s="1056" t="s">
        <v>22</v>
      </c>
      <c r="B45" s="9" t="s">
        <v>22</v>
      </c>
      <c r="C45" s="1060" t="s">
        <v>54</v>
      </c>
      <c r="D45" s="451"/>
      <c r="E45" s="2600" t="s">
        <v>55</v>
      </c>
      <c r="F45" s="1062"/>
      <c r="G45" s="1108" t="s">
        <v>26</v>
      </c>
      <c r="H45" s="85" t="s">
        <v>27</v>
      </c>
      <c r="I45" s="2852" t="s">
        <v>263</v>
      </c>
      <c r="J45" s="1095" t="s">
        <v>52</v>
      </c>
      <c r="K45" s="460">
        <v>2601077</v>
      </c>
      <c r="L45" s="461">
        <v>2601077</v>
      </c>
      <c r="M45" s="334">
        <v>2305500</v>
      </c>
      <c r="N45" s="462">
        <f>M45</f>
        <v>2305500</v>
      </c>
      <c r="O45" s="16"/>
      <c r="P45" s="463"/>
      <c r="Q45" s="332">
        <f>M45</f>
        <v>2305500</v>
      </c>
      <c r="R45" s="332">
        <f>N45</f>
        <v>2305500</v>
      </c>
      <c r="S45" s="2682" t="s">
        <v>53</v>
      </c>
      <c r="T45" s="2933">
        <v>5015</v>
      </c>
      <c r="U45" s="2935">
        <v>5016</v>
      </c>
      <c r="V45" s="2937">
        <v>5017</v>
      </c>
    </row>
    <row r="46" spans="1:26" s="3" customFormat="1" ht="16.5" customHeight="1" thickBot="1" x14ac:dyDescent="0.3">
      <c r="A46" s="1057"/>
      <c r="B46" s="87"/>
      <c r="C46" s="1061"/>
      <c r="D46" s="454"/>
      <c r="E46" s="2601"/>
      <c r="F46" s="88"/>
      <c r="G46" s="1109"/>
      <c r="H46" s="1111"/>
      <c r="I46" s="2930"/>
      <c r="J46" s="80" t="s">
        <v>36</v>
      </c>
      <c r="K46" s="455">
        <f t="shared" ref="K46:L46" si="5">+K45</f>
        <v>2601077</v>
      </c>
      <c r="L46" s="456">
        <f t="shared" si="5"/>
        <v>2601077</v>
      </c>
      <c r="M46" s="457">
        <f t="shared" si="2"/>
        <v>2305500</v>
      </c>
      <c r="N46" s="458">
        <f>+N45</f>
        <v>2305500</v>
      </c>
      <c r="O46" s="459"/>
      <c r="P46" s="458"/>
      <c r="Q46" s="457">
        <f t="shared" ref="Q46:R46" si="6">+Q45</f>
        <v>2305500</v>
      </c>
      <c r="R46" s="457">
        <f t="shared" si="6"/>
        <v>2305500</v>
      </c>
      <c r="S46" s="2683"/>
      <c r="T46" s="2934"/>
      <c r="U46" s="2936"/>
      <c r="V46" s="2938"/>
    </row>
    <row r="47" spans="1:26" s="2" customFormat="1" ht="25.5" customHeight="1" x14ac:dyDescent="0.25">
      <c r="A47" s="2914" t="s">
        <v>22</v>
      </c>
      <c r="B47" s="2598" t="s">
        <v>22</v>
      </c>
      <c r="C47" s="2650" t="s">
        <v>56</v>
      </c>
      <c r="D47" s="464"/>
      <c r="E47" s="2600" t="s">
        <v>57</v>
      </c>
      <c r="F47" s="1062"/>
      <c r="G47" s="89">
        <v>10</v>
      </c>
      <c r="H47" s="1122" t="s">
        <v>27</v>
      </c>
      <c r="I47" s="2852" t="s">
        <v>162</v>
      </c>
      <c r="J47" s="90" t="s">
        <v>31</v>
      </c>
      <c r="K47" s="460">
        <v>154107</v>
      </c>
      <c r="L47" s="461">
        <v>151339</v>
      </c>
      <c r="M47" s="416">
        <v>146100</v>
      </c>
      <c r="N47" s="466">
        <f>M47</f>
        <v>146100</v>
      </c>
      <c r="O47" s="467"/>
      <c r="P47" s="463"/>
      <c r="Q47" s="468">
        <f>M47</f>
        <v>146100</v>
      </c>
      <c r="R47" s="468">
        <f>N47</f>
        <v>146100</v>
      </c>
      <c r="S47" s="2939" t="s">
        <v>58</v>
      </c>
      <c r="T47" s="2792">
        <v>154</v>
      </c>
      <c r="U47" s="2794">
        <v>155</v>
      </c>
      <c r="V47" s="2931">
        <v>156</v>
      </c>
    </row>
    <row r="48" spans="1:26" s="3" customFormat="1" ht="16.5" customHeight="1" thickBot="1" x14ac:dyDescent="0.3">
      <c r="A48" s="2908"/>
      <c r="B48" s="2599"/>
      <c r="C48" s="2651"/>
      <c r="D48" s="269"/>
      <c r="E48" s="2601"/>
      <c r="F48" s="91"/>
      <c r="G48" s="1128"/>
      <c r="H48" s="21"/>
      <c r="I48" s="2930"/>
      <c r="J48" s="80" t="s">
        <v>36</v>
      </c>
      <c r="K48" s="469">
        <f t="shared" ref="K48:L48" si="7">+K47</f>
        <v>154107</v>
      </c>
      <c r="L48" s="470">
        <f t="shared" si="7"/>
        <v>151339</v>
      </c>
      <c r="M48" s="455">
        <f t="shared" si="2"/>
        <v>146100</v>
      </c>
      <c r="N48" s="459">
        <f>+N47</f>
        <v>146100</v>
      </c>
      <c r="O48" s="471"/>
      <c r="P48" s="458"/>
      <c r="Q48" s="457">
        <f t="shared" ref="Q48:R48" si="8">+Q47</f>
        <v>146100</v>
      </c>
      <c r="R48" s="457">
        <f t="shared" si="8"/>
        <v>146100</v>
      </c>
      <c r="S48" s="2549"/>
      <c r="T48" s="2793"/>
      <c r="U48" s="2795"/>
      <c r="V48" s="2932"/>
    </row>
    <row r="49" spans="1:25" s="3" customFormat="1" ht="42.75" customHeight="1" x14ac:dyDescent="0.25">
      <c r="A49" s="2914" t="s">
        <v>22</v>
      </c>
      <c r="B49" s="2598" t="s">
        <v>22</v>
      </c>
      <c r="C49" s="1074" t="s">
        <v>59</v>
      </c>
      <c r="D49" s="472"/>
      <c r="E49" s="2600" t="s">
        <v>60</v>
      </c>
      <c r="F49" s="92"/>
      <c r="G49" s="89" t="s">
        <v>26</v>
      </c>
      <c r="H49" s="927">
        <v>3</v>
      </c>
      <c r="I49" s="2852" t="s">
        <v>162</v>
      </c>
      <c r="J49" s="1095" t="s">
        <v>31</v>
      </c>
      <c r="K49" s="473"/>
      <c r="L49" s="474"/>
      <c r="M49" s="15">
        <v>4100</v>
      </c>
      <c r="N49" s="16">
        <v>4100</v>
      </c>
      <c r="O49" s="475"/>
      <c r="P49" s="476"/>
      <c r="Q49" s="332">
        <v>5500</v>
      </c>
      <c r="R49" s="332">
        <v>6800</v>
      </c>
      <c r="S49" s="1126" t="s">
        <v>61</v>
      </c>
      <c r="T49" s="1076">
        <v>3</v>
      </c>
      <c r="U49" s="1072">
        <v>4</v>
      </c>
      <c r="V49" s="1073">
        <v>5</v>
      </c>
    </row>
    <row r="50" spans="1:25" s="3" customFormat="1" ht="15" customHeight="1" thickBot="1" x14ac:dyDescent="0.3">
      <c r="A50" s="2915"/>
      <c r="B50" s="2649"/>
      <c r="C50" s="1075"/>
      <c r="D50" s="477"/>
      <c r="E50" s="2601"/>
      <c r="F50" s="91"/>
      <c r="G50" s="93"/>
      <c r="H50" s="926"/>
      <c r="I50" s="2930"/>
      <c r="J50" s="94" t="s">
        <v>36</v>
      </c>
      <c r="K50" s="455"/>
      <c r="L50" s="456"/>
      <c r="M50" s="455">
        <f>N50+P50</f>
        <v>4100</v>
      </c>
      <c r="N50" s="459">
        <f>+N49</f>
        <v>4100</v>
      </c>
      <c r="O50" s="471"/>
      <c r="P50" s="478"/>
      <c r="Q50" s="401">
        <f t="shared" ref="Q50:R50" si="9">+Q49</f>
        <v>5500</v>
      </c>
      <c r="R50" s="401">
        <f t="shared" si="9"/>
        <v>6800</v>
      </c>
      <c r="S50" s="95"/>
      <c r="T50" s="96"/>
      <c r="U50" s="1115"/>
      <c r="V50" s="97"/>
    </row>
    <row r="51" spans="1:25" s="2" customFormat="1" ht="16.5" customHeight="1" thickBot="1" x14ac:dyDescent="0.3">
      <c r="A51" s="7" t="s">
        <v>22</v>
      </c>
      <c r="B51" s="8" t="s">
        <v>22</v>
      </c>
      <c r="C51" s="2658" t="s">
        <v>62</v>
      </c>
      <c r="D51" s="2658"/>
      <c r="E51" s="2659"/>
      <c r="F51" s="2659"/>
      <c r="G51" s="2659"/>
      <c r="H51" s="2659"/>
      <c r="I51" s="2660"/>
      <c r="J51" s="2660"/>
      <c r="K51" s="479">
        <f>K50+K48+K46+K44+K42</f>
        <v>23550848</v>
      </c>
      <c r="L51" s="480">
        <f>L50+L48+L46+L44+L42</f>
        <v>22723322</v>
      </c>
      <c r="M51" s="481">
        <f t="shared" ref="M51:R51" si="10">M50+M48+M46+M44+M42</f>
        <v>22895200</v>
      </c>
      <c r="N51" s="481">
        <f t="shared" si="10"/>
        <v>22895200</v>
      </c>
      <c r="O51" s="481">
        <f t="shared" si="10"/>
        <v>876609</v>
      </c>
      <c r="P51" s="481">
        <f t="shared" si="10"/>
        <v>0</v>
      </c>
      <c r="Q51" s="481">
        <f>Q50+Q48+Q46+Q44+Q42</f>
        <v>22820700</v>
      </c>
      <c r="R51" s="481">
        <f t="shared" si="10"/>
        <v>22822100</v>
      </c>
      <c r="S51" s="2542"/>
      <c r="T51" s="2543"/>
      <c r="U51" s="2543"/>
      <c r="V51" s="2544"/>
      <c r="Y51" s="3"/>
    </row>
    <row r="52" spans="1:25" s="2" customFormat="1" ht="16.5" customHeight="1" thickBot="1" x14ac:dyDescent="0.3">
      <c r="A52" s="99" t="s">
        <v>22</v>
      </c>
      <c r="B52" s="8" t="s">
        <v>50</v>
      </c>
      <c r="C52" s="2565" t="s">
        <v>63</v>
      </c>
      <c r="D52" s="2565"/>
      <c r="E52" s="2565"/>
      <c r="F52" s="2565"/>
      <c r="G52" s="2565"/>
      <c r="H52" s="2565"/>
      <c r="I52" s="2565"/>
      <c r="J52" s="2565"/>
      <c r="K52" s="2565"/>
      <c r="L52" s="2565"/>
      <c r="M52" s="2565"/>
      <c r="N52" s="2565"/>
      <c r="O52" s="2565"/>
      <c r="P52" s="2565"/>
      <c r="Q52" s="2565"/>
      <c r="R52" s="2565"/>
      <c r="S52" s="2565"/>
      <c r="T52" s="2565"/>
      <c r="U52" s="2565"/>
      <c r="V52" s="2566"/>
    </row>
    <row r="53" spans="1:25" s="3" customFormat="1" ht="27" customHeight="1" x14ac:dyDescent="0.25">
      <c r="A53" s="1056" t="s">
        <v>22</v>
      </c>
      <c r="B53" s="1058" t="s">
        <v>50</v>
      </c>
      <c r="C53" s="1080" t="s">
        <v>22</v>
      </c>
      <c r="D53" s="482"/>
      <c r="E53" s="101" t="s">
        <v>64</v>
      </c>
      <c r="F53" s="102"/>
      <c r="G53" s="103" t="s">
        <v>26</v>
      </c>
      <c r="H53" s="1122">
        <v>3</v>
      </c>
      <c r="I53" s="1123" t="s">
        <v>161</v>
      </c>
      <c r="J53" s="483"/>
      <c r="K53" s="484"/>
      <c r="L53" s="485"/>
      <c r="M53" s="486"/>
      <c r="N53" s="487"/>
      <c r="O53" s="487"/>
      <c r="P53" s="483"/>
      <c r="Q53" s="484"/>
      <c r="R53" s="484"/>
      <c r="S53" s="222"/>
      <c r="T53" s="488"/>
      <c r="U53" s="489"/>
      <c r="V53" s="490"/>
    </row>
    <row r="54" spans="1:25" s="3" customFormat="1" ht="16.5" customHeight="1" x14ac:dyDescent="0.25">
      <c r="A54" s="1066"/>
      <c r="B54" s="1067"/>
      <c r="C54" s="1117"/>
      <c r="D54" s="2942" t="s">
        <v>22</v>
      </c>
      <c r="E54" s="31" t="s">
        <v>173</v>
      </c>
      <c r="F54" s="110"/>
      <c r="G54" s="1128"/>
      <c r="H54" s="111"/>
      <c r="I54" s="1112"/>
      <c r="J54" s="491" t="s">
        <v>31</v>
      </c>
      <c r="K54" s="407">
        <v>292111</v>
      </c>
      <c r="L54" s="492">
        <v>2672287</v>
      </c>
      <c r="M54" s="493">
        <f>N54</f>
        <v>267700</v>
      </c>
      <c r="N54" s="494">
        <v>267700</v>
      </c>
      <c r="O54" s="494">
        <v>203900</v>
      </c>
      <c r="P54" s="68"/>
      <c r="Q54" s="1121">
        <v>243200</v>
      </c>
      <c r="R54" s="1121">
        <v>243200</v>
      </c>
      <c r="S54" s="436" t="s">
        <v>174</v>
      </c>
      <c r="T54" s="66">
        <v>82</v>
      </c>
      <c r="U54" s="67">
        <v>82</v>
      </c>
      <c r="V54" s="68">
        <v>82</v>
      </c>
      <c r="W54" s="495"/>
    </row>
    <row r="55" spans="1:25" s="3" customFormat="1" ht="16.5" customHeight="1" x14ac:dyDescent="0.25">
      <c r="A55" s="1066"/>
      <c r="B55" s="1067"/>
      <c r="C55" s="1117"/>
      <c r="D55" s="2942"/>
      <c r="E55" s="31"/>
      <c r="F55" s="110"/>
      <c r="G55" s="1128"/>
      <c r="H55" s="926"/>
      <c r="I55" s="298"/>
      <c r="J55" s="443" t="s">
        <v>68</v>
      </c>
      <c r="K55" s="409">
        <v>260282</v>
      </c>
      <c r="L55" s="496">
        <v>544193</v>
      </c>
      <c r="M55" s="39">
        <v>292000</v>
      </c>
      <c r="N55" s="40">
        <v>288200</v>
      </c>
      <c r="O55" s="40">
        <v>52700</v>
      </c>
      <c r="P55" s="41">
        <v>3800</v>
      </c>
      <c r="Q55" s="1120">
        <f>M55</f>
        <v>292000</v>
      </c>
      <c r="R55" s="1120">
        <f>M55</f>
        <v>292000</v>
      </c>
      <c r="S55" s="436" t="s">
        <v>175</v>
      </c>
      <c r="T55" s="66">
        <v>59.5</v>
      </c>
      <c r="U55" s="1083">
        <v>59.5</v>
      </c>
      <c r="V55" s="1085">
        <v>59.5</v>
      </c>
      <c r="W55" s="495"/>
    </row>
    <row r="56" spans="1:25" s="3" customFormat="1" ht="27.75" customHeight="1" x14ac:dyDescent="0.25">
      <c r="A56" s="1066"/>
      <c r="B56" s="1067"/>
      <c r="C56" s="1117"/>
      <c r="D56" s="2942"/>
      <c r="E56" s="31"/>
      <c r="F56" s="110"/>
      <c r="G56" s="1128"/>
      <c r="H56" s="926"/>
      <c r="I56" s="1112"/>
      <c r="J56" s="497" t="s">
        <v>28</v>
      </c>
      <c r="K56" s="383"/>
      <c r="L56" s="498">
        <f>456353+8375</f>
        <v>464728</v>
      </c>
      <c r="M56" s="121"/>
      <c r="N56" s="1083"/>
      <c r="O56" s="1083"/>
      <c r="P56" s="497"/>
      <c r="Q56" s="271"/>
      <c r="R56" s="256"/>
      <c r="S56" s="95" t="s">
        <v>291</v>
      </c>
      <c r="T56" s="320">
        <v>3</v>
      </c>
      <c r="U56" s="67"/>
      <c r="V56" s="68"/>
    </row>
    <row r="57" spans="1:25" s="3" customFormat="1" ht="16.5" customHeight="1" x14ac:dyDescent="0.25">
      <c r="A57" s="1066"/>
      <c r="B57" s="1067"/>
      <c r="C57" s="1117"/>
      <c r="D57" s="2942"/>
      <c r="E57" s="31"/>
      <c r="F57" s="110"/>
      <c r="G57" s="1128"/>
      <c r="H57" s="926"/>
      <c r="I57" s="1112"/>
      <c r="J57" s="415" t="s">
        <v>52</v>
      </c>
      <c r="K57" s="407"/>
      <c r="L57" s="496">
        <v>197231</v>
      </c>
      <c r="M57" s="39"/>
      <c r="N57" s="40"/>
      <c r="O57" s="40"/>
      <c r="P57" s="41"/>
      <c r="Q57" s="1120"/>
      <c r="R57" s="245"/>
      <c r="S57" s="162" t="s">
        <v>177</v>
      </c>
      <c r="T57" s="1082">
        <v>1</v>
      </c>
      <c r="U57" s="67"/>
      <c r="V57" s="68"/>
    </row>
    <row r="58" spans="1:25" s="3" customFormat="1" ht="16.5" customHeight="1" x14ac:dyDescent="0.25">
      <c r="A58" s="1066"/>
      <c r="B58" s="1067"/>
      <c r="C58" s="1117"/>
      <c r="D58" s="2942"/>
      <c r="E58" s="31"/>
      <c r="F58" s="110"/>
      <c r="G58" s="1128"/>
      <c r="H58" s="926"/>
      <c r="I58" s="1112"/>
      <c r="J58" s="415" t="s">
        <v>71</v>
      </c>
      <c r="K58" s="407"/>
      <c r="L58" s="498">
        <v>25516</v>
      </c>
      <c r="M58" s="121"/>
      <c r="N58" s="1083"/>
      <c r="O58" s="1083"/>
      <c r="P58" s="122"/>
      <c r="Q58" s="271"/>
      <c r="R58" s="256"/>
      <c r="S58" s="113"/>
      <c r="T58" s="320"/>
      <c r="U58" s="67"/>
      <c r="V58" s="68"/>
    </row>
    <row r="59" spans="1:25" s="3" customFormat="1" ht="16.5" customHeight="1" x14ac:dyDescent="0.25">
      <c r="A59" s="1066"/>
      <c r="B59" s="1067"/>
      <c r="C59" s="1117"/>
      <c r="D59" s="2942"/>
      <c r="E59" s="31"/>
      <c r="F59" s="110"/>
      <c r="G59" s="1128"/>
      <c r="H59" s="926"/>
      <c r="I59" s="1112"/>
      <c r="J59" s="415" t="s">
        <v>176</v>
      </c>
      <c r="K59" s="407"/>
      <c r="L59" s="496">
        <v>5263</v>
      </c>
      <c r="M59" s="39"/>
      <c r="N59" s="40"/>
      <c r="O59" s="40"/>
      <c r="P59" s="41"/>
      <c r="Q59" s="1120"/>
      <c r="R59" s="245"/>
      <c r="S59" s="65"/>
      <c r="T59" s="1082"/>
      <c r="U59" s="67"/>
      <c r="V59" s="68"/>
    </row>
    <row r="60" spans="1:25" s="3" customFormat="1" ht="16.5" customHeight="1" x14ac:dyDescent="0.25">
      <c r="A60" s="1066"/>
      <c r="B60" s="1067"/>
      <c r="C60" s="499"/>
      <c r="D60" s="2942"/>
      <c r="E60" s="500"/>
      <c r="F60" s="501"/>
      <c r="G60" s="255"/>
      <c r="H60" s="502"/>
      <c r="I60" s="1127"/>
      <c r="J60" s="491" t="s">
        <v>178</v>
      </c>
      <c r="K60" s="407">
        <v>16512</v>
      </c>
      <c r="L60" s="1097">
        <v>52926</v>
      </c>
      <c r="M60" s="121"/>
      <c r="N60" s="1083"/>
      <c r="O60" s="1083"/>
      <c r="P60" s="1085"/>
      <c r="Q60" s="271"/>
      <c r="R60" s="256"/>
      <c r="T60" s="167"/>
      <c r="U60" s="504"/>
      <c r="V60" s="72"/>
    </row>
    <row r="61" spans="1:25" s="3" customFormat="1" ht="16.5" customHeight="1" x14ac:dyDescent="0.25">
      <c r="A61" s="1104"/>
      <c r="B61" s="1105"/>
      <c r="C61" s="908"/>
      <c r="D61" s="2943"/>
      <c r="E61" s="988"/>
      <c r="F61" s="311"/>
      <c r="G61" s="62"/>
      <c r="H61" s="989"/>
      <c r="I61" s="990"/>
      <c r="J61" s="261" t="s">
        <v>36</v>
      </c>
      <c r="K61" s="424">
        <f>SUM(K54:K60)</f>
        <v>568905</v>
      </c>
      <c r="L61" s="417"/>
      <c r="M61" s="424">
        <f t="shared" ref="M61:R61" si="11">SUM(M54:M60)</f>
        <v>559700</v>
      </c>
      <c r="N61" s="425">
        <f t="shared" si="11"/>
        <v>555900</v>
      </c>
      <c r="O61" s="425">
        <f t="shared" si="11"/>
        <v>256600</v>
      </c>
      <c r="P61" s="435">
        <f t="shared" si="11"/>
        <v>3800</v>
      </c>
      <c r="Q61" s="428">
        <f t="shared" si="11"/>
        <v>535200</v>
      </c>
      <c r="R61" s="428">
        <f t="shared" si="11"/>
        <v>535200</v>
      </c>
      <c r="S61" s="436"/>
      <c r="T61" s="66"/>
      <c r="U61" s="67"/>
      <c r="V61" s="68"/>
    </row>
    <row r="62" spans="1:25" s="3" customFormat="1" ht="91.5" customHeight="1" x14ac:dyDescent="0.25">
      <c r="A62" s="1066"/>
      <c r="B62" s="1067"/>
      <c r="C62" s="1117"/>
      <c r="D62" s="1118" t="s">
        <v>50</v>
      </c>
      <c r="E62" s="31" t="s">
        <v>179</v>
      </c>
      <c r="F62" s="110"/>
      <c r="G62" s="1128"/>
      <c r="H62" s="926"/>
      <c r="I62" s="508"/>
      <c r="J62" s="28" t="s">
        <v>31</v>
      </c>
      <c r="K62" s="339">
        <v>535421</v>
      </c>
      <c r="L62" s="405"/>
      <c r="M62" s="982">
        <v>593700</v>
      </c>
      <c r="N62" s="983">
        <v>586800</v>
      </c>
      <c r="O62" s="983">
        <v>387300</v>
      </c>
      <c r="P62" s="984">
        <v>6900</v>
      </c>
      <c r="Q62" s="1096">
        <v>593700</v>
      </c>
      <c r="R62" s="48">
        <v>593700</v>
      </c>
      <c r="S62" s="985" t="s">
        <v>292</v>
      </c>
      <c r="T62" s="986" t="s">
        <v>180</v>
      </c>
      <c r="U62" s="986" t="s">
        <v>181</v>
      </c>
      <c r="V62" s="987" t="s">
        <v>181</v>
      </c>
    </row>
    <row r="63" spans="1:25" s="3" customFormat="1" ht="30" customHeight="1" x14ac:dyDescent="0.25">
      <c r="A63" s="1066"/>
      <c r="B63" s="1067"/>
      <c r="C63" s="1117"/>
      <c r="D63" s="1118"/>
      <c r="E63" s="31"/>
      <c r="F63" s="110"/>
      <c r="G63" s="1128"/>
      <c r="H63" s="926"/>
      <c r="I63" s="508"/>
      <c r="J63" s="491"/>
      <c r="K63" s="407"/>
      <c r="L63" s="405"/>
      <c r="M63" s="510"/>
      <c r="N63" s="275"/>
      <c r="O63" s="275"/>
      <c r="P63" s="511"/>
      <c r="Q63" s="1121"/>
      <c r="R63" s="1079"/>
      <c r="S63" s="514" t="s">
        <v>182</v>
      </c>
      <c r="T63" s="1082">
        <v>5</v>
      </c>
      <c r="U63" s="386">
        <v>5</v>
      </c>
      <c r="V63" s="68">
        <v>5</v>
      </c>
    </row>
    <row r="64" spans="1:25" s="3" customFormat="1" ht="28.5" customHeight="1" x14ac:dyDescent="0.25">
      <c r="A64" s="1066"/>
      <c r="B64" s="1067"/>
      <c r="C64" s="1117"/>
      <c r="D64" s="1118"/>
      <c r="E64" s="31"/>
      <c r="F64" s="991"/>
      <c r="G64" s="1128"/>
      <c r="H64" s="926"/>
      <c r="I64" s="508"/>
      <c r="J64" s="491" t="s">
        <v>68</v>
      </c>
      <c r="K64" s="409">
        <v>60965</v>
      </c>
      <c r="L64" s="405"/>
      <c r="M64" s="339">
        <f>72490+10</f>
        <v>72500</v>
      </c>
      <c r="N64" s="340">
        <f>M64</f>
        <v>72500</v>
      </c>
      <c r="O64" s="40">
        <v>26600</v>
      </c>
      <c r="P64" s="84"/>
      <c r="Q64" s="1096">
        <f>M64</f>
        <v>72500</v>
      </c>
      <c r="R64" s="48">
        <f>Q64</f>
        <v>72500</v>
      </c>
      <c r="S64" s="1090" t="s">
        <v>183</v>
      </c>
      <c r="T64" s="20">
        <v>180</v>
      </c>
      <c r="U64" s="47">
        <v>180</v>
      </c>
      <c r="V64" s="48">
        <v>180</v>
      </c>
    </row>
    <row r="65" spans="1:22" s="3" customFormat="1" ht="16.5" customHeight="1" x14ac:dyDescent="0.25">
      <c r="A65" s="1066"/>
      <c r="B65" s="1067"/>
      <c r="C65" s="1117"/>
      <c r="D65" s="1118"/>
      <c r="E65" s="31"/>
      <c r="F65" s="110"/>
      <c r="G65" s="1128"/>
      <c r="H65" s="926"/>
      <c r="I65" s="508"/>
      <c r="J65" s="122" t="s">
        <v>178</v>
      </c>
      <c r="K65" s="413">
        <v>4144</v>
      </c>
      <c r="L65" s="405"/>
      <c r="M65" s="320"/>
      <c r="N65" s="40"/>
      <c r="O65" s="40"/>
      <c r="P65" s="84"/>
      <c r="Q65" s="1096"/>
      <c r="R65" s="48"/>
      <c r="S65" s="928"/>
      <c r="T65" s="66"/>
      <c r="U65" s="40"/>
      <c r="V65" s="84"/>
    </row>
    <row r="66" spans="1:22" s="3" customFormat="1" ht="27.75" customHeight="1" x14ac:dyDescent="0.25">
      <c r="A66" s="1066"/>
      <c r="B66" s="1067"/>
      <c r="C66" s="1117"/>
      <c r="D66" s="1118"/>
      <c r="E66" s="31"/>
      <c r="F66" s="110"/>
      <c r="G66" s="1128"/>
      <c r="H66" s="926"/>
      <c r="I66" s="508"/>
      <c r="J66" s="48" t="s">
        <v>52</v>
      </c>
      <c r="K66" s="383">
        <v>34754</v>
      </c>
      <c r="L66" s="405"/>
      <c r="M66" s="384">
        <v>35500</v>
      </c>
      <c r="N66" s="1083">
        <v>25000</v>
      </c>
      <c r="O66" s="1083"/>
      <c r="P66" s="516">
        <v>10500</v>
      </c>
      <c r="Q66" s="513">
        <f>M66</f>
        <v>35500</v>
      </c>
      <c r="R66" s="517">
        <f>N66</f>
        <v>25000</v>
      </c>
      <c r="S66" s="65" t="s">
        <v>72</v>
      </c>
      <c r="T66" s="1052" t="s">
        <v>73</v>
      </c>
      <c r="U66" s="164" t="s">
        <v>73</v>
      </c>
      <c r="V66" s="412" t="s">
        <v>73</v>
      </c>
    </row>
    <row r="67" spans="1:22" s="3" customFormat="1" ht="24" customHeight="1" x14ac:dyDescent="0.25">
      <c r="A67" s="1066"/>
      <c r="B67" s="1067"/>
      <c r="C67" s="1117"/>
      <c r="D67" s="1118"/>
      <c r="E67" s="2524"/>
      <c r="F67" s="110"/>
      <c r="G67" s="1128"/>
      <c r="H67" s="926"/>
      <c r="I67" s="1044"/>
      <c r="J67" s="1078" t="s">
        <v>71</v>
      </c>
      <c r="K67" s="413">
        <v>1158</v>
      </c>
      <c r="L67" s="405"/>
      <c r="M67" s="515">
        <v>1500</v>
      </c>
      <c r="N67" s="440">
        <v>1500</v>
      </c>
      <c r="O67" s="440"/>
      <c r="P67" s="26"/>
      <c r="Q67" s="1102">
        <v>1600</v>
      </c>
      <c r="R67" s="1078">
        <v>1600</v>
      </c>
      <c r="S67" s="2944" t="s">
        <v>280</v>
      </c>
      <c r="T67" s="1113">
        <v>450</v>
      </c>
      <c r="U67" s="118" t="s">
        <v>75</v>
      </c>
      <c r="V67" s="518" t="s">
        <v>75</v>
      </c>
    </row>
    <row r="68" spans="1:22" s="3" customFormat="1" ht="16.5" customHeight="1" x14ac:dyDescent="0.25">
      <c r="A68" s="1066"/>
      <c r="B68" s="1067"/>
      <c r="C68" s="1117"/>
      <c r="D68" s="1119"/>
      <c r="E68" s="2525"/>
      <c r="F68" s="20"/>
      <c r="G68" s="124"/>
      <c r="H68" s="926"/>
      <c r="I68" s="1044"/>
      <c r="J68" s="724" t="s">
        <v>36</v>
      </c>
      <c r="K68" s="424">
        <f>SUM(K62:K67)</f>
        <v>636442</v>
      </c>
      <c r="L68" s="417"/>
      <c r="M68" s="424">
        <f t="shared" ref="M68:R68" si="12">SUM(M62:M67)</f>
        <v>703200</v>
      </c>
      <c r="N68" s="425">
        <f t="shared" si="12"/>
        <v>685800</v>
      </c>
      <c r="O68" s="425">
        <f t="shared" si="12"/>
        <v>413900</v>
      </c>
      <c r="P68" s="435">
        <f t="shared" si="12"/>
        <v>17400</v>
      </c>
      <c r="Q68" s="36">
        <f t="shared" si="12"/>
        <v>703300</v>
      </c>
      <c r="R68" s="435">
        <f t="shared" si="12"/>
        <v>692800</v>
      </c>
      <c r="S68" s="2945"/>
      <c r="T68" s="416"/>
      <c r="U68" s="67"/>
      <c r="V68" s="68"/>
    </row>
    <row r="69" spans="1:22" s="3" customFormat="1" ht="57.75" customHeight="1" x14ac:dyDescent="0.25">
      <c r="A69" s="1066"/>
      <c r="B69" s="1067"/>
      <c r="C69" s="1117"/>
      <c r="D69" s="520" t="s">
        <v>54</v>
      </c>
      <c r="E69" s="31" t="s">
        <v>170</v>
      </c>
      <c r="F69" s="110"/>
      <c r="G69" s="1128"/>
      <c r="H69" s="926"/>
      <c r="I69" s="1044"/>
      <c r="J69" s="41" t="s">
        <v>31</v>
      </c>
      <c r="K69" s="409">
        <v>320523</v>
      </c>
      <c r="L69" s="405"/>
      <c r="M69" s="339">
        <v>372500</v>
      </c>
      <c r="N69" s="340">
        <v>364500</v>
      </c>
      <c r="O69" s="945">
        <v>253300</v>
      </c>
      <c r="P69" s="84">
        <v>8000</v>
      </c>
      <c r="Q69" s="229">
        <v>354700</v>
      </c>
      <c r="R69" s="229">
        <v>354700</v>
      </c>
      <c r="S69" s="1088" t="s">
        <v>293</v>
      </c>
      <c r="T69" s="52" t="s">
        <v>184</v>
      </c>
      <c r="U69" s="53" t="s">
        <v>184</v>
      </c>
      <c r="V69" s="54" t="s">
        <v>184</v>
      </c>
    </row>
    <row r="70" spans="1:22" s="3" customFormat="1" ht="30.75" customHeight="1" x14ac:dyDescent="0.25">
      <c r="A70" s="1066"/>
      <c r="B70" s="1067"/>
      <c r="C70" s="1117"/>
      <c r="D70" s="520"/>
      <c r="E70" s="31"/>
      <c r="F70" s="110"/>
      <c r="G70" s="1128"/>
      <c r="H70" s="926"/>
      <c r="I70" s="1044"/>
      <c r="J70" s="28"/>
      <c r="K70" s="339"/>
      <c r="L70" s="405"/>
      <c r="M70" s="409"/>
      <c r="N70" s="340"/>
      <c r="O70" s="340"/>
      <c r="P70" s="84"/>
      <c r="Q70" s="244"/>
      <c r="R70" s="1120"/>
      <c r="S70" s="266" t="s">
        <v>185</v>
      </c>
      <c r="T70" s="523" t="s">
        <v>186</v>
      </c>
      <c r="U70" s="524" t="s">
        <v>186</v>
      </c>
      <c r="V70" s="525" t="s">
        <v>186</v>
      </c>
    </row>
    <row r="71" spans="1:22" s="3" customFormat="1" ht="15.75" customHeight="1" x14ac:dyDescent="0.25">
      <c r="A71" s="1066"/>
      <c r="B71" s="1067"/>
      <c r="C71" s="1117"/>
      <c r="D71" s="520"/>
      <c r="E71" s="31"/>
      <c r="F71" s="110"/>
      <c r="G71" s="1128"/>
      <c r="H71" s="926"/>
      <c r="I71" s="1044"/>
      <c r="J71" s="28"/>
      <c r="K71" s="339"/>
      <c r="L71" s="405"/>
      <c r="M71" s="339"/>
      <c r="N71" s="340"/>
      <c r="O71" s="340"/>
      <c r="P71" s="84"/>
      <c r="Q71" s="244"/>
      <c r="R71" s="1120"/>
      <c r="S71" s="529" t="s">
        <v>187</v>
      </c>
      <c r="T71" s="530">
        <v>130</v>
      </c>
      <c r="U71" s="1083"/>
      <c r="V71" s="1085"/>
    </row>
    <row r="72" spans="1:22" s="3" customFormat="1" ht="29.25" customHeight="1" x14ac:dyDescent="0.25">
      <c r="A72" s="1066"/>
      <c r="B72" s="1067"/>
      <c r="C72" s="1117"/>
      <c r="D72" s="520"/>
      <c r="E72" s="31"/>
      <c r="F72" s="110"/>
      <c r="G72" s="1128"/>
      <c r="H72" s="926"/>
      <c r="I72" s="1044"/>
      <c r="J72" s="41"/>
      <c r="K72" s="409"/>
      <c r="L72" s="405"/>
      <c r="M72" s="409"/>
      <c r="N72" s="340"/>
      <c r="O72" s="340"/>
      <c r="P72" s="84"/>
      <c r="Q72" s="244"/>
      <c r="R72" s="1120"/>
      <c r="S72" s="162" t="s">
        <v>188</v>
      </c>
      <c r="T72" s="1082">
        <v>1</v>
      </c>
      <c r="U72" s="1083"/>
      <c r="V72" s="1085"/>
    </row>
    <row r="73" spans="1:22" s="3" customFormat="1" ht="25.5" customHeight="1" x14ac:dyDescent="0.25">
      <c r="A73" s="1066"/>
      <c r="B73" s="1067"/>
      <c r="C73" s="1117"/>
      <c r="D73" s="520"/>
      <c r="E73" s="31"/>
      <c r="F73" s="110"/>
      <c r="G73" s="1128"/>
      <c r="H73" s="926"/>
      <c r="I73" s="1044"/>
      <c r="J73" s="122" t="s">
        <v>176</v>
      </c>
      <c r="K73" s="383">
        <v>2280</v>
      </c>
      <c r="L73" s="405"/>
      <c r="M73" s="416"/>
      <c r="N73" s="67"/>
      <c r="O73" s="67"/>
      <c r="P73" s="415"/>
      <c r="Q73" s="416"/>
      <c r="R73" s="416"/>
      <c r="S73" s="266" t="s">
        <v>189</v>
      </c>
      <c r="T73" s="530">
        <v>33.6</v>
      </c>
      <c r="U73" s="40"/>
      <c r="V73" s="84"/>
    </row>
    <row r="74" spans="1:22" s="3" customFormat="1" ht="14.25" customHeight="1" x14ac:dyDescent="0.25">
      <c r="A74" s="1066"/>
      <c r="B74" s="1067"/>
      <c r="C74" s="1117"/>
      <c r="D74" s="520"/>
      <c r="E74" s="31"/>
      <c r="F74" s="110"/>
      <c r="G74" s="1128"/>
      <c r="H74" s="926"/>
      <c r="I74" s="1044"/>
      <c r="J74" s="41" t="s">
        <v>68</v>
      </c>
      <c r="K74" s="409">
        <v>82513</v>
      </c>
      <c r="L74" s="405"/>
      <c r="M74" s="946">
        <v>95400</v>
      </c>
      <c r="N74" s="947">
        <v>92700</v>
      </c>
      <c r="O74" s="948">
        <v>7800</v>
      </c>
      <c r="P74" s="41">
        <v>2700</v>
      </c>
      <c r="Q74" s="244">
        <v>89100</v>
      </c>
      <c r="R74" s="244">
        <v>89100</v>
      </c>
      <c r="S74" s="1089" t="s">
        <v>190</v>
      </c>
      <c r="T74" s="533">
        <v>1</v>
      </c>
      <c r="U74" s="1083"/>
      <c r="V74" s="1085"/>
    </row>
    <row r="75" spans="1:22" s="3" customFormat="1" ht="30.75" customHeight="1" x14ac:dyDescent="0.25">
      <c r="A75" s="1066"/>
      <c r="B75" s="1067"/>
      <c r="C75" s="1117"/>
      <c r="D75" s="520"/>
      <c r="E75" s="31"/>
      <c r="F75" s="110"/>
      <c r="G75" s="1128"/>
      <c r="H75" s="926"/>
      <c r="I75" s="1044"/>
      <c r="J75" s="122" t="s">
        <v>178</v>
      </c>
      <c r="K75" s="383">
        <v>8210</v>
      </c>
      <c r="L75" s="405"/>
      <c r="M75" s="383"/>
      <c r="N75" s="391"/>
      <c r="O75" s="949"/>
      <c r="P75" s="122"/>
      <c r="Q75" s="528"/>
      <c r="R75" s="528"/>
      <c r="S75" s="266" t="s">
        <v>191</v>
      </c>
      <c r="T75" s="530">
        <v>1</v>
      </c>
      <c r="U75" s="1083"/>
      <c r="V75" s="1085"/>
    </row>
    <row r="76" spans="1:22" s="3" customFormat="1" ht="14.25" customHeight="1" x14ac:dyDescent="0.25">
      <c r="A76" s="1066"/>
      <c r="B76" s="1067"/>
      <c r="C76" s="1117"/>
      <c r="D76" s="520"/>
      <c r="E76" s="31"/>
      <c r="F76" s="110"/>
      <c r="G76" s="1128"/>
      <c r="H76" s="926"/>
      <c r="I76" s="1044"/>
      <c r="J76" s="122" t="s">
        <v>178</v>
      </c>
      <c r="K76" s="383">
        <v>8210</v>
      </c>
      <c r="L76" s="405"/>
      <c r="M76" s="320"/>
      <c r="N76" s="83"/>
      <c r="O76" s="83"/>
      <c r="P76" s="41"/>
      <c r="Q76" s="244"/>
      <c r="R76" s="244"/>
      <c r="S76" s="1087" t="s">
        <v>192</v>
      </c>
      <c r="T76" s="534">
        <v>1</v>
      </c>
      <c r="U76" s="40"/>
      <c r="V76" s="84"/>
    </row>
    <row r="77" spans="1:22" s="3" customFormat="1" ht="14.25" customHeight="1" thickBot="1" x14ac:dyDescent="0.3">
      <c r="A77" s="1066"/>
      <c r="B77" s="1067"/>
      <c r="C77" s="1117"/>
      <c r="D77" s="520"/>
      <c r="E77" s="31"/>
      <c r="F77" s="91"/>
      <c r="G77" s="124"/>
      <c r="H77" s="926"/>
      <c r="I77" s="1044"/>
      <c r="J77" s="535" t="s">
        <v>36</v>
      </c>
      <c r="K77" s="536">
        <f>SUM(K69:K76)</f>
        <v>421736</v>
      </c>
      <c r="L77" s="405"/>
      <c r="M77" s="457">
        <f t="shared" ref="M77:R77" si="13">SUM(M69:M76)</f>
        <v>467900</v>
      </c>
      <c r="N77" s="471">
        <f t="shared" si="13"/>
        <v>457200</v>
      </c>
      <c r="O77" s="471">
        <f t="shared" si="13"/>
        <v>261100</v>
      </c>
      <c r="P77" s="478">
        <f t="shared" si="13"/>
        <v>10700</v>
      </c>
      <c r="Q77" s="455">
        <f t="shared" si="13"/>
        <v>443800</v>
      </c>
      <c r="R77" s="80">
        <f t="shared" si="13"/>
        <v>443800</v>
      </c>
      <c r="S77" s="505"/>
      <c r="T77" s="96"/>
      <c r="U77" s="1115"/>
      <c r="V77" s="97"/>
    </row>
    <row r="78" spans="1:22" s="3" customFormat="1" ht="54" customHeight="1" x14ac:dyDescent="0.25">
      <c r="A78" s="1066"/>
      <c r="B78" s="1067"/>
      <c r="C78" s="1117"/>
      <c r="D78" s="506" t="s">
        <v>56</v>
      </c>
      <c r="E78" s="507" t="s">
        <v>74</v>
      </c>
      <c r="F78" s="21"/>
      <c r="G78" s="1128"/>
      <c r="H78" s="926"/>
      <c r="I78" s="508"/>
      <c r="J78" s="1076" t="s">
        <v>31</v>
      </c>
      <c r="K78" s="640">
        <v>472631</v>
      </c>
      <c r="L78" s="405"/>
      <c r="M78" s="1076">
        <v>538500</v>
      </c>
      <c r="N78" s="548">
        <v>538500</v>
      </c>
      <c r="O78" s="1072">
        <v>319800</v>
      </c>
      <c r="P78" s="1073"/>
      <c r="Q78" s="1076">
        <v>520300</v>
      </c>
      <c r="R78" s="1076">
        <v>520300</v>
      </c>
      <c r="S78" s="539" t="s">
        <v>281</v>
      </c>
      <c r="T78" s="15">
        <v>3</v>
      </c>
      <c r="U78" s="538">
        <v>4</v>
      </c>
      <c r="V78" s="335">
        <v>4</v>
      </c>
    </row>
    <row r="79" spans="1:22" s="3" customFormat="1" ht="27.75" customHeight="1" x14ac:dyDescent="0.25">
      <c r="A79" s="1104"/>
      <c r="B79" s="1105"/>
      <c r="C79" s="908"/>
      <c r="D79" s="1119"/>
      <c r="E79" s="169"/>
      <c r="F79" s="49"/>
      <c r="G79" s="1139"/>
      <c r="H79" s="63"/>
      <c r="I79" s="960"/>
      <c r="J79" s="416"/>
      <c r="K79" s="635"/>
      <c r="L79" s="417"/>
      <c r="M79" s="416"/>
      <c r="N79" s="540"/>
      <c r="O79" s="67"/>
      <c r="P79" s="491"/>
      <c r="Q79" s="416"/>
      <c r="R79" s="35"/>
      <c r="S79" s="1088" t="s">
        <v>193</v>
      </c>
      <c r="T79" s="541">
        <v>37</v>
      </c>
      <c r="U79" s="540"/>
      <c r="V79" s="68"/>
    </row>
    <row r="80" spans="1:22" s="3" customFormat="1" ht="67.5" customHeight="1" x14ac:dyDescent="0.25">
      <c r="A80" s="1066"/>
      <c r="B80" s="1067"/>
      <c r="C80" s="1117"/>
      <c r="D80" s="1118"/>
      <c r="E80" s="31"/>
      <c r="F80" s="21"/>
      <c r="G80" s="1128"/>
      <c r="H80" s="926"/>
      <c r="I80" s="508"/>
      <c r="J80" s="443"/>
      <c r="K80" s="409"/>
      <c r="L80" s="405"/>
      <c r="M80" s="39"/>
      <c r="N80" s="67"/>
      <c r="O80" s="67"/>
      <c r="P80" s="443"/>
      <c r="Q80" s="39"/>
      <c r="R80" s="39"/>
      <c r="S80" s="1088" t="s">
        <v>194</v>
      </c>
      <c r="T80" s="541">
        <v>3</v>
      </c>
      <c r="U80" s="540"/>
      <c r="V80" s="68"/>
    </row>
    <row r="81" spans="1:23" s="3" customFormat="1" ht="42.75" customHeight="1" x14ac:dyDescent="0.25">
      <c r="A81" s="1066"/>
      <c r="B81" s="1067"/>
      <c r="C81" s="1117"/>
      <c r="D81" s="1118"/>
      <c r="E81" s="31"/>
      <c r="F81" s="21"/>
      <c r="G81" s="1128"/>
      <c r="H81" s="926"/>
      <c r="I81" s="508"/>
      <c r="J81" s="497" t="s">
        <v>176</v>
      </c>
      <c r="K81" s="383">
        <v>2983</v>
      </c>
      <c r="L81" s="405"/>
      <c r="M81" s="121"/>
      <c r="N81" s="543"/>
      <c r="O81" s="1083"/>
      <c r="P81" s="122"/>
      <c r="Q81" s="121"/>
      <c r="R81" s="43"/>
      <c r="S81" s="162" t="s">
        <v>195</v>
      </c>
      <c r="T81" s="1082">
        <v>12</v>
      </c>
      <c r="U81" s="1083">
        <v>12</v>
      </c>
      <c r="V81" s="1085">
        <v>12</v>
      </c>
    </row>
    <row r="82" spans="1:23" s="3" customFormat="1" ht="67.5" customHeight="1" x14ac:dyDescent="0.25">
      <c r="A82" s="1066"/>
      <c r="B82" s="1067"/>
      <c r="C82" s="1117"/>
      <c r="D82" s="1118"/>
      <c r="E82" s="31"/>
      <c r="F82" s="21"/>
      <c r="G82" s="1128"/>
      <c r="H82" s="926"/>
      <c r="I82" s="508"/>
      <c r="J82" s="544" t="s">
        <v>68</v>
      </c>
      <c r="K82" s="413">
        <v>434</v>
      </c>
      <c r="L82" s="405"/>
      <c r="M82" s="413">
        <f>N82</f>
        <v>1000</v>
      </c>
      <c r="N82" s="545">
        <v>1000</v>
      </c>
      <c r="O82" s="1114"/>
      <c r="P82" s="1116"/>
      <c r="Q82" s="231">
        <v>1000</v>
      </c>
      <c r="R82" s="231">
        <v>1000</v>
      </c>
      <c r="S82" s="95" t="s">
        <v>196</v>
      </c>
      <c r="T82" s="320">
        <v>18</v>
      </c>
      <c r="U82" s="40">
        <v>18</v>
      </c>
      <c r="V82" s="84">
        <v>18</v>
      </c>
    </row>
    <row r="83" spans="1:23" s="3" customFormat="1" ht="42" customHeight="1" x14ac:dyDescent="0.25">
      <c r="A83" s="1066"/>
      <c r="B83" s="1067"/>
      <c r="C83" s="1117"/>
      <c r="D83" s="1118"/>
      <c r="E83" s="31"/>
      <c r="F83" s="992"/>
      <c r="G83" s="1128"/>
      <c r="H83" s="926"/>
      <c r="I83" s="508"/>
      <c r="J83" s="497" t="s">
        <v>178</v>
      </c>
      <c r="K83" s="383">
        <v>1048</v>
      </c>
      <c r="L83" s="405"/>
      <c r="M83" s="383"/>
      <c r="N83" s="498"/>
      <c r="O83" s="1083"/>
      <c r="P83" s="122"/>
      <c r="Q83" s="512"/>
      <c r="R83" s="271"/>
      <c r="S83" s="162" t="s">
        <v>197</v>
      </c>
      <c r="T83" s="1082">
        <v>12</v>
      </c>
      <c r="U83" s="1083">
        <v>12</v>
      </c>
      <c r="V83" s="1085">
        <v>12</v>
      </c>
    </row>
    <row r="84" spans="1:23" s="3" customFormat="1" ht="47.25" customHeight="1" x14ac:dyDescent="0.25">
      <c r="A84" s="1066"/>
      <c r="B84" s="1067"/>
      <c r="C84" s="1117"/>
      <c r="D84" s="1118"/>
      <c r="E84" s="31"/>
      <c r="F84" s="21"/>
      <c r="G84" s="1128"/>
      <c r="H84" s="926"/>
      <c r="I84" s="508"/>
      <c r="J84" s="443" t="s">
        <v>52</v>
      </c>
      <c r="K84" s="409"/>
      <c r="L84" s="405"/>
      <c r="M84" s="409">
        <v>9900</v>
      </c>
      <c r="N84" s="340">
        <v>9900</v>
      </c>
      <c r="O84" s="40"/>
      <c r="P84" s="41"/>
      <c r="Q84" s="357">
        <f>M84</f>
        <v>9900</v>
      </c>
      <c r="R84" s="1120">
        <f>M84</f>
        <v>9900</v>
      </c>
      <c r="S84" s="2620" t="s">
        <v>198</v>
      </c>
      <c r="T84" s="320">
        <v>40</v>
      </c>
      <c r="U84" s="40">
        <v>40</v>
      </c>
      <c r="V84" s="84">
        <v>40</v>
      </c>
    </row>
    <row r="85" spans="1:23" s="3" customFormat="1" ht="18.75" customHeight="1" x14ac:dyDescent="0.25">
      <c r="A85" s="1066"/>
      <c r="B85" s="1067"/>
      <c r="C85" s="1117"/>
      <c r="D85" s="520"/>
      <c r="E85" s="2524" t="s">
        <v>199</v>
      </c>
      <c r="F85" s="21"/>
      <c r="G85" s="1128"/>
      <c r="H85" s="926"/>
      <c r="I85" s="508"/>
      <c r="J85" s="497" t="s">
        <v>31</v>
      </c>
      <c r="K85" s="383">
        <v>8747</v>
      </c>
      <c r="L85" s="405"/>
      <c r="M85" s="274"/>
      <c r="N85" s="929"/>
      <c r="O85" s="275"/>
      <c r="P85" s="491"/>
      <c r="Q85" s="439"/>
      <c r="R85" s="1121"/>
      <c r="S85" s="2548"/>
      <c r="T85" s="320"/>
      <c r="U85" s="40"/>
      <c r="V85" s="84"/>
    </row>
    <row r="86" spans="1:23" s="3" customFormat="1" ht="18.75" customHeight="1" x14ac:dyDescent="0.25">
      <c r="A86" s="1066"/>
      <c r="B86" s="1067"/>
      <c r="C86" s="1117"/>
      <c r="D86" s="546"/>
      <c r="E86" s="2525"/>
      <c r="F86" s="20"/>
      <c r="G86" s="124"/>
      <c r="H86" s="926"/>
      <c r="I86" s="1044"/>
      <c r="J86" s="910" t="s">
        <v>36</v>
      </c>
      <c r="K86" s="424">
        <f>SUM(K78:K85)</f>
        <v>485843</v>
      </c>
      <c r="L86" s="405"/>
      <c r="M86" s="424">
        <f>SUM(M78:M85)</f>
        <v>549400</v>
      </c>
      <c r="N86" s="427">
        <f t="shared" ref="N86:R86" si="14">SUM(N78:N85)</f>
        <v>549400</v>
      </c>
      <c r="O86" s="425">
        <f t="shared" si="14"/>
        <v>319800</v>
      </c>
      <c r="P86" s="556">
        <f t="shared" si="14"/>
        <v>0</v>
      </c>
      <c r="Q86" s="424">
        <f>SUM(Q78:Q85)</f>
        <v>531200</v>
      </c>
      <c r="R86" s="50">
        <f t="shared" si="14"/>
        <v>531200</v>
      </c>
      <c r="S86" s="2621"/>
      <c r="T86" s="66"/>
      <c r="U86" s="67"/>
      <c r="V86" s="68"/>
    </row>
    <row r="87" spans="1:23" s="3" customFormat="1" ht="79.5" customHeight="1" x14ac:dyDescent="0.25">
      <c r="A87" s="1066"/>
      <c r="B87" s="1067"/>
      <c r="C87" s="1117"/>
      <c r="D87" s="1118" t="s">
        <v>59</v>
      </c>
      <c r="E87" s="31" t="s">
        <v>200</v>
      </c>
      <c r="F87" s="21"/>
      <c r="G87" s="1128"/>
      <c r="H87" s="926"/>
      <c r="I87" s="1044"/>
      <c r="J87" s="41" t="s">
        <v>31</v>
      </c>
      <c r="K87" s="409">
        <v>331701</v>
      </c>
      <c r="L87" s="405"/>
      <c r="M87" s="39">
        <v>362900</v>
      </c>
      <c r="N87" s="542">
        <v>362900</v>
      </c>
      <c r="O87" s="40">
        <v>245600</v>
      </c>
      <c r="P87" s="41"/>
      <c r="Q87" s="20">
        <v>358900</v>
      </c>
      <c r="R87" s="20">
        <f>358900+13000</f>
        <v>371900</v>
      </c>
      <c r="S87" s="436" t="s">
        <v>201</v>
      </c>
      <c r="T87" s="1052" t="s">
        <v>202</v>
      </c>
      <c r="U87" s="1054" t="s">
        <v>202</v>
      </c>
      <c r="V87" s="1055" t="s">
        <v>202</v>
      </c>
    </row>
    <row r="88" spans="1:23" s="3" customFormat="1" ht="16.5" customHeight="1" x14ac:dyDescent="0.25">
      <c r="A88" s="1066"/>
      <c r="B88" s="1067"/>
      <c r="C88" s="1117"/>
      <c r="D88" s="1118"/>
      <c r="E88" s="31"/>
      <c r="F88" s="21"/>
      <c r="G88" s="1128"/>
      <c r="H88" s="926"/>
      <c r="I88" s="1044"/>
      <c r="J88" s="28"/>
      <c r="K88" s="339"/>
      <c r="L88" s="405"/>
      <c r="M88" s="39"/>
      <c r="N88" s="40"/>
      <c r="O88" s="40"/>
      <c r="P88" s="443"/>
      <c r="Q88" s="39"/>
      <c r="R88" s="28"/>
      <c r="S88" s="1088" t="s">
        <v>294</v>
      </c>
      <c r="T88" s="541">
        <v>74</v>
      </c>
      <c r="U88" s="53" t="s">
        <v>203</v>
      </c>
      <c r="V88" s="54" t="s">
        <v>203</v>
      </c>
    </row>
    <row r="89" spans="1:23" s="3" customFormat="1" ht="42.75" customHeight="1" x14ac:dyDescent="0.25">
      <c r="A89" s="1066"/>
      <c r="B89" s="1067"/>
      <c r="C89" s="1117"/>
      <c r="D89" s="1118"/>
      <c r="E89" s="31"/>
      <c r="F89" s="21"/>
      <c r="G89" s="1128"/>
      <c r="H89" s="926"/>
      <c r="I89" s="1044"/>
      <c r="J89" s="491" t="s">
        <v>68</v>
      </c>
      <c r="K89" s="415"/>
      <c r="L89" s="405"/>
      <c r="M89" s="121">
        <v>900</v>
      </c>
      <c r="N89" s="543"/>
      <c r="O89" s="1083"/>
      <c r="P89" s="122">
        <v>900</v>
      </c>
      <c r="Q89" s="163"/>
      <c r="R89" s="513"/>
      <c r="S89" s="1088" t="s">
        <v>296</v>
      </c>
      <c r="T89" s="541">
        <v>2</v>
      </c>
      <c r="U89" s="53"/>
      <c r="V89" s="550"/>
    </row>
    <row r="90" spans="1:23" s="3" customFormat="1" ht="17.25" customHeight="1" x14ac:dyDescent="0.25">
      <c r="A90" s="1066"/>
      <c r="B90" s="1067"/>
      <c r="C90" s="1117"/>
      <c r="D90" s="1118"/>
      <c r="E90" s="31"/>
      <c r="F90" s="21"/>
      <c r="G90" s="1128"/>
      <c r="H90" s="926"/>
      <c r="I90" s="1044"/>
      <c r="J90" s="491" t="s">
        <v>68</v>
      </c>
      <c r="K90" s="415">
        <v>3475</v>
      </c>
      <c r="L90" s="405"/>
      <c r="M90" s="121">
        <f>N90</f>
        <v>14100</v>
      </c>
      <c r="N90" s="543">
        <v>14100</v>
      </c>
      <c r="O90" s="1083"/>
      <c r="P90" s="122"/>
      <c r="Q90" s="163">
        <v>15000</v>
      </c>
      <c r="R90" s="513">
        <v>15000</v>
      </c>
      <c r="S90" s="1088" t="s">
        <v>204</v>
      </c>
      <c r="T90" s="541"/>
      <c r="U90" s="551"/>
      <c r="V90" s="552">
        <v>1</v>
      </c>
    </row>
    <row r="91" spans="1:23" s="3" customFormat="1" ht="15.75" customHeight="1" x14ac:dyDescent="0.25">
      <c r="A91" s="1066"/>
      <c r="B91" s="1067"/>
      <c r="C91" s="1117"/>
      <c r="D91" s="1118"/>
      <c r="E91" s="31"/>
      <c r="F91" s="21"/>
      <c r="G91" s="1128"/>
      <c r="H91" s="926"/>
      <c r="I91" s="1044"/>
      <c r="J91" s="491" t="s">
        <v>178</v>
      </c>
      <c r="K91" s="415">
        <v>1807</v>
      </c>
      <c r="L91" s="405"/>
      <c r="M91" s="121"/>
      <c r="N91" s="543"/>
      <c r="O91" s="1083"/>
      <c r="P91" s="122"/>
      <c r="Q91" s="163"/>
      <c r="R91" s="513"/>
      <c r="S91" s="2946" t="s">
        <v>295</v>
      </c>
      <c r="T91" s="541">
        <v>1</v>
      </c>
      <c r="U91" s="553"/>
      <c r="V91" s="552"/>
    </row>
    <row r="92" spans="1:23" s="3" customFormat="1" ht="15.75" customHeight="1" thickBot="1" x14ac:dyDescent="0.3">
      <c r="A92" s="1066"/>
      <c r="B92" s="1067"/>
      <c r="C92" s="1117"/>
      <c r="D92" s="1119"/>
      <c r="E92" s="169"/>
      <c r="F92" s="91"/>
      <c r="G92" s="124"/>
      <c r="H92" s="926"/>
      <c r="I92" s="1044"/>
      <c r="J92" s="519" t="s">
        <v>36</v>
      </c>
      <c r="K92" s="455">
        <f>SUM(K87:K91)</f>
        <v>336983</v>
      </c>
      <c r="L92" s="405"/>
      <c r="M92" s="455">
        <f t="shared" ref="M92:R92" si="15">SUM(M87:M91)</f>
        <v>377900</v>
      </c>
      <c r="N92" s="547">
        <f t="shared" si="15"/>
        <v>377000</v>
      </c>
      <c r="O92" s="459">
        <f t="shared" si="15"/>
        <v>245600</v>
      </c>
      <c r="P92" s="471">
        <f t="shared" si="15"/>
        <v>900</v>
      </c>
      <c r="Q92" s="457">
        <f t="shared" si="15"/>
        <v>373900</v>
      </c>
      <c r="R92" s="457">
        <f t="shared" si="15"/>
        <v>386900</v>
      </c>
      <c r="S92" s="2947"/>
      <c r="T92" s="96"/>
      <c r="U92" s="554"/>
      <c r="V92" s="97"/>
    </row>
    <row r="93" spans="1:23" s="3" customFormat="1" ht="16.5" customHeight="1" x14ac:dyDescent="0.25">
      <c r="A93" s="1066"/>
      <c r="B93" s="1067"/>
      <c r="C93" s="58"/>
      <c r="D93" s="1001" t="s">
        <v>97</v>
      </c>
      <c r="E93" s="2524" t="s">
        <v>205</v>
      </c>
      <c r="F93" s="21"/>
      <c r="G93" s="126"/>
      <c r="H93" s="926"/>
      <c r="I93" s="1044"/>
      <c r="J93" s="491" t="s">
        <v>52</v>
      </c>
      <c r="K93" s="407">
        <v>64875</v>
      </c>
      <c r="L93" s="405"/>
      <c r="M93" s="416">
        <v>56500</v>
      </c>
      <c r="N93" s="538">
        <f>M93</f>
        <v>56500</v>
      </c>
      <c r="O93" s="67"/>
      <c r="P93" s="68"/>
      <c r="Q93" s="416">
        <f>M93</f>
        <v>56500</v>
      </c>
      <c r="R93" s="35">
        <f>Q93</f>
        <v>56500</v>
      </c>
      <c r="S93" s="128" t="s">
        <v>208</v>
      </c>
      <c r="T93" s="39"/>
      <c r="U93" s="542">
        <v>40</v>
      </c>
      <c r="V93" s="84">
        <v>40</v>
      </c>
    </row>
    <row r="94" spans="1:23" s="3" customFormat="1" ht="15.75" customHeight="1" x14ac:dyDescent="0.25">
      <c r="A94" s="1066"/>
      <c r="B94" s="1067"/>
      <c r="C94" s="58"/>
      <c r="D94" s="1002"/>
      <c r="E94" s="2524"/>
      <c r="F94" s="21"/>
      <c r="G94" s="126"/>
      <c r="H94" s="926"/>
      <c r="I94" s="1044"/>
      <c r="J94" s="122" t="s">
        <v>68</v>
      </c>
      <c r="K94" s="383">
        <v>1738</v>
      </c>
      <c r="L94" s="405"/>
      <c r="M94" s="121"/>
      <c r="N94" s="1083"/>
      <c r="O94" s="1083"/>
      <c r="P94" s="1085"/>
      <c r="Q94" s="121"/>
      <c r="R94" s="43"/>
      <c r="S94" s="2620" t="s">
        <v>206</v>
      </c>
      <c r="T94" s="25">
        <v>74</v>
      </c>
      <c r="U94" s="1114">
        <v>74</v>
      </c>
      <c r="V94" s="26">
        <v>74</v>
      </c>
      <c r="W94" s="167"/>
    </row>
    <row r="95" spans="1:23" s="3" customFormat="1" ht="15.75" customHeight="1" x14ac:dyDescent="0.25">
      <c r="A95" s="1066"/>
      <c r="B95" s="1067"/>
      <c r="C95" s="58"/>
      <c r="D95" s="1002"/>
      <c r="E95" s="1064"/>
      <c r="F95" s="21"/>
      <c r="G95" s="126"/>
      <c r="H95" s="926"/>
      <c r="I95" s="1044"/>
      <c r="J95" s="122" t="s">
        <v>178</v>
      </c>
      <c r="K95" s="383">
        <v>6624</v>
      </c>
      <c r="L95" s="405"/>
      <c r="M95" s="121"/>
      <c r="N95" s="1083"/>
      <c r="O95" s="1083"/>
      <c r="P95" s="1085"/>
      <c r="Q95" s="121"/>
      <c r="R95" s="43"/>
      <c r="S95" s="2548"/>
      <c r="T95" s="320"/>
      <c r="U95" s="40"/>
      <c r="V95" s="84"/>
    </row>
    <row r="96" spans="1:23" s="3" customFormat="1" ht="15.75" customHeight="1" x14ac:dyDescent="0.25">
      <c r="A96" s="1066"/>
      <c r="B96" s="1067"/>
      <c r="C96" s="58"/>
      <c r="D96" s="1002"/>
      <c r="E96" s="31"/>
      <c r="F96" s="21"/>
      <c r="G96" s="126"/>
      <c r="H96" s="926"/>
      <c r="I96" s="1044"/>
      <c r="J96" s="1116" t="s">
        <v>28</v>
      </c>
      <c r="K96" s="383">
        <v>114042</v>
      </c>
      <c r="L96" s="405"/>
      <c r="M96" s="390">
        <v>93800</v>
      </c>
      <c r="N96" s="387">
        <f>M96</f>
        <v>93800</v>
      </c>
      <c r="O96" s="386">
        <v>71604</v>
      </c>
      <c r="P96" s="419"/>
      <c r="Q96" s="390">
        <f>M96</f>
        <v>93800</v>
      </c>
      <c r="R96" s="390">
        <f>N96</f>
        <v>93800</v>
      </c>
      <c r="S96" s="2548"/>
      <c r="T96" s="320"/>
      <c r="U96" s="40"/>
      <c r="V96" s="84"/>
    </row>
    <row r="97" spans="1:22" s="3" customFormat="1" ht="15.75" customHeight="1" x14ac:dyDescent="0.25">
      <c r="A97" s="1104"/>
      <c r="B97" s="1105"/>
      <c r="C97" s="1009"/>
      <c r="D97" s="1003"/>
      <c r="E97" s="169"/>
      <c r="F97" s="49"/>
      <c r="G97" s="956"/>
      <c r="H97" s="63"/>
      <c r="I97" s="909"/>
      <c r="J97" s="122" t="s">
        <v>31</v>
      </c>
      <c r="K97" s="407">
        <v>317336</v>
      </c>
      <c r="L97" s="417"/>
      <c r="M97" s="390">
        <f>N97</f>
        <v>327800</v>
      </c>
      <c r="N97" s="387">
        <v>327800</v>
      </c>
      <c r="O97" s="494">
        <v>210200</v>
      </c>
      <c r="P97" s="511"/>
      <c r="Q97" s="390">
        <v>304400</v>
      </c>
      <c r="R97" s="390">
        <v>304400</v>
      </c>
      <c r="S97" s="2621"/>
      <c r="T97" s="66"/>
      <c r="U97" s="67"/>
      <c r="V97" s="68"/>
    </row>
    <row r="98" spans="1:22" s="3" customFormat="1" ht="15.75" customHeight="1" x14ac:dyDescent="0.25">
      <c r="A98" s="1066"/>
      <c r="B98" s="1067"/>
      <c r="C98" s="1117"/>
      <c r="D98" s="1003"/>
      <c r="E98" s="169"/>
      <c r="F98" s="21"/>
      <c r="G98" s="126"/>
      <c r="H98" s="926"/>
      <c r="I98" s="1044"/>
      <c r="J98" s="1004" t="s">
        <v>36</v>
      </c>
      <c r="K98" s="1005">
        <f>SUM(K93:K97)</f>
        <v>504615</v>
      </c>
      <c r="L98" s="405"/>
      <c r="M98" s="1005">
        <f t="shared" ref="M98:R98" si="16">SUM(M93:M97)</f>
        <v>478100</v>
      </c>
      <c r="N98" s="1006">
        <f t="shared" si="16"/>
        <v>478100</v>
      </c>
      <c r="O98" s="1007">
        <f t="shared" si="16"/>
        <v>281804</v>
      </c>
      <c r="P98" s="1008">
        <f t="shared" si="16"/>
        <v>0</v>
      </c>
      <c r="Q98" s="1005">
        <f>SUM(Q93:Q97)</f>
        <v>454700</v>
      </c>
      <c r="R98" s="1005">
        <f t="shared" si="16"/>
        <v>454700</v>
      </c>
      <c r="S98" s="65"/>
      <c r="T98" s="253"/>
      <c r="U98" s="557"/>
      <c r="V98" s="558"/>
    </row>
    <row r="99" spans="1:22" s="3" customFormat="1" ht="14.25" customHeight="1" x14ac:dyDescent="0.25">
      <c r="A99" s="1066"/>
      <c r="B99" s="1067"/>
      <c r="C99" s="1117"/>
      <c r="D99" s="2940" t="s">
        <v>100</v>
      </c>
      <c r="E99" s="2524" t="s">
        <v>207</v>
      </c>
      <c r="F99" s="110"/>
      <c r="G99" s="1128"/>
      <c r="H99" s="926"/>
      <c r="I99" s="1044"/>
      <c r="J99" s="491" t="s">
        <v>52</v>
      </c>
      <c r="K99" s="407">
        <v>34349</v>
      </c>
      <c r="L99" s="405"/>
      <c r="M99" s="510">
        <v>25300</v>
      </c>
      <c r="N99" s="559">
        <v>25300</v>
      </c>
      <c r="O99" s="275"/>
      <c r="P99" s="560"/>
      <c r="Q99" s="274">
        <v>25300</v>
      </c>
      <c r="R99" s="274">
        <v>25300</v>
      </c>
      <c r="S99" s="436" t="s">
        <v>208</v>
      </c>
      <c r="T99" s="320">
        <v>22</v>
      </c>
      <c r="U99" s="40">
        <v>22</v>
      </c>
      <c r="V99" s="84">
        <v>22</v>
      </c>
    </row>
    <row r="100" spans="1:22" s="3" customFormat="1" ht="27" customHeight="1" x14ac:dyDescent="0.25">
      <c r="A100" s="1066"/>
      <c r="B100" s="1067"/>
      <c r="C100" s="1117"/>
      <c r="D100" s="2940"/>
      <c r="E100" s="2524"/>
      <c r="F100" s="110"/>
      <c r="G100" s="1128"/>
      <c r="H100" s="926"/>
      <c r="I100" s="1044"/>
      <c r="J100" s="491" t="s">
        <v>68</v>
      </c>
      <c r="K100" s="407">
        <v>16219</v>
      </c>
      <c r="L100" s="405"/>
      <c r="M100" s="510">
        <v>39300</v>
      </c>
      <c r="N100" s="561">
        <v>39300</v>
      </c>
      <c r="O100" s="275"/>
      <c r="P100" s="560"/>
      <c r="Q100" s="274">
        <v>39600</v>
      </c>
      <c r="R100" s="274">
        <v>39300</v>
      </c>
      <c r="S100" s="2911" t="s">
        <v>206</v>
      </c>
      <c r="T100" s="25">
        <v>71</v>
      </c>
      <c r="U100" s="1114">
        <v>71</v>
      </c>
      <c r="V100" s="26">
        <v>71</v>
      </c>
    </row>
    <row r="101" spans="1:22" s="3" customFormat="1" ht="27" customHeight="1" x14ac:dyDescent="0.25">
      <c r="A101" s="1066"/>
      <c r="B101" s="1067"/>
      <c r="C101" s="1117"/>
      <c r="D101" s="2940"/>
      <c r="E101" s="2524"/>
      <c r="F101" s="110"/>
      <c r="G101" s="1128"/>
      <c r="H101" s="926"/>
      <c r="I101" s="1044"/>
      <c r="J101" s="491" t="s">
        <v>28</v>
      </c>
      <c r="K101" s="383">
        <v>121687</v>
      </c>
      <c r="L101" s="405"/>
      <c r="M101" s="1082">
        <v>83700</v>
      </c>
      <c r="N101" s="497">
        <f>M101</f>
        <v>83700</v>
      </c>
      <c r="O101" s="1083">
        <v>54137</v>
      </c>
      <c r="P101" s="1085"/>
      <c r="Q101" s="528">
        <f>M101</f>
        <v>83700</v>
      </c>
      <c r="R101" s="528">
        <f>N101</f>
        <v>83700</v>
      </c>
      <c r="S101" s="2700"/>
      <c r="T101" s="562"/>
      <c r="U101" s="563"/>
      <c r="V101" s="564"/>
    </row>
    <row r="102" spans="1:22" s="3" customFormat="1" ht="25.5" customHeight="1" x14ac:dyDescent="0.25">
      <c r="A102" s="1066"/>
      <c r="B102" s="1067"/>
      <c r="C102" s="1117"/>
      <c r="D102" s="2940"/>
      <c r="E102" s="2524"/>
      <c r="F102" s="110"/>
      <c r="G102" s="1128"/>
      <c r="H102" s="926"/>
      <c r="I102" s="1044"/>
      <c r="J102" s="491" t="s">
        <v>31</v>
      </c>
      <c r="K102" s="409">
        <v>256285</v>
      </c>
      <c r="L102" s="405"/>
      <c r="M102" s="403">
        <v>393700</v>
      </c>
      <c r="N102" s="391">
        <v>393700</v>
      </c>
      <c r="O102" s="949">
        <v>249800</v>
      </c>
      <c r="P102" s="1098"/>
      <c r="Q102" s="244">
        <f>M102</f>
        <v>393700</v>
      </c>
      <c r="R102" s="244">
        <f>N102</f>
        <v>393700</v>
      </c>
      <c r="S102" s="2923" t="s">
        <v>209</v>
      </c>
      <c r="T102" s="565" t="s">
        <v>86</v>
      </c>
      <c r="U102" s="118" t="s">
        <v>86</v>
      </c>
      <c r="V102" s="518" t="s">
        <v>86</v>
      </c>
    </row>
    <row r="103" spans="1:22" s="3" customFormat="1" ht="25.5" customHeight="1" x14ac:dyDescent="0.25">
      <c r="A103" s="1066"/>
      <c r="B103" s="1067"/>
      <c r="C103" s="1117"/>
      <c r="D103" s="2940"/>
      <c r="E103" s="2524"/>
      <c r="F103" s="110"/>
      <c r="G103" s="1128"/>
      <c r="H103" s="926"/>
      <c r="I103" s="1044"/>
      <c r="J103" s="491" t="s">
        <v>71</v>
      </c>
      <c r="K103" s="383">
        <v>24358</v>
      </c>
      <c r="L103" s="405"/>
      <c r="M103" s="403"/>
      <c r="N103" s="566"/>
      <c r="O103" s="391"/>
      <c r="P103" s="122"/>
      <c r="Q103" s="528"/>
      <c r="R103" s="528"/>
      <c r="S103" s="2550"/>
      <c r="T103" s="320"/>
      <c r="U103" s="40"/>
      <c r="V103" s="84"/>
    </row>
    <row r="104" spans="1:22" s="3" customFormat="1" ht="27" customHeight="1" x14ac:dyDescent="0.25">
      <c r="A104" s="1066"/>
      <c r="B104" s="1067"/>
      <c r="C104" s="1117"/>
      <c r="D104" s="2940"/>
      <c r="E104" s="2524"/>
      <c r="F104" s="110"/>
      <c r="G104" s="1128"/>
      <c r="H104" s="926"/>
      <c r="I104" s="1044"/>
      <c r="J104" s="491"/>
      <c r="K104" s="383"/>
      <c r="L104" s="405"/>
      <c r="M104" s="403"/>
      <c r="N104" s="566"/>
      <c r="O104" s="391"/>
      <c r="P104" s="122"/>
      <c r="Q104" s="528"/>
      <c r="R104" s="528"/>
      <c r="S104" s="2923" t="s">
        <v>210</v>
      </c>
      <c r="T104" s="565" t="s">
        <v>86</v>
      </c>
      <c r="U104" s="118" t="s">
        <v>86</v>
      </c>
      <c r="V104" s="518" t="s">
        <v>86</v>
      </c>
    </row>
    <row r="105" spans="1:22" s="3" customFormat="1" ht="14.25" customHeight="1" thickBot="1" x14ac:dyDescent="0.3">
      <c r="A105" s="1066"/>
      <c r="B105" s="1067"/>
      <c r="C105" s="1117"/>
      <c r="D105" s="2941"/>
      <c r="E105" s="2525"/>
      <c r="F105" s="110"/>
      <c r="G105" s="1128"/>
      <c r="H105" s="926"/>
      <c r="I105" s="1044"/>
      <c r="J105" s="567" t="s">
        <v>36</v>
      </c>
      <c r="K105" s="397">
        <f>SUM(K99:K104)</f>
        <v>452898</v>
      </c>
      <c r="L105" s="405"/>
      <c r="M105" s="397">
        <f>SUM(M99:M104)</f>
        <v>542000</v>
      </c>
      <c r="N105" s="397">
        <f t="shared" ref="N105:R105" si="17">SUM(N99:N104)</f>
        <v>542000</v>
      </c>
      <c r="O105" s="397">
        <f t="shared" si="17"/>
        <v>303937</v>
      </c>
      <c r="P105" s="397">
        <f t="shared" si="17"/>
        <v>0</v>
      </c>
      <c r="Q105" s="397">
        <f t="shared" si="17"/>
        <v>542300</v>
      </c>
      <c r="R105" s="397">
        <f t="shared" si="17"/>
        <v>542000</v>
      </c>
      <c r="S105" s="2550"/>
      <c r="T105" s="184"/>
      <c r="U105" s="185"/>
      <c r="V105" s="186"/>
    </row>
    <row r="106" spans="1:22" s="131" customFormat="1" ht="16.5" customHeight="1" x14ac:dyDescent="0.25">
      <c r="A106" s="1066"/>
      <c r="B106" s="1067"/>
      <c r="C106" s="568"/>
      <c r="D106" s="1118" t="s">
        <v>211</v>
      </c>
      <c r="E106" s="2524" t="s">
        <v>80</v>
      </c>
      <c r="F106" s="110"/>
      <c r="G106" s="130"/>
      <c r="H106" s="926"/>
      <c r="I106" s="1044"/>
      <c r="J106" s="17" t="s">
        <v>52</v>
      </c>
      <c r="K106" s="15">
        <v>63253</v>
      </c>
      <c r="L106" s="405"/>
      <c r="M106" s="15">
        <v>70900</v>
      </c>
      <c r="N106" s="16">
        <f>M106</f>
        <v>70900</v>
      </c>
      <c r="O106" s="16"/>
      <c r="P106" s="335"/>
      <c r="Q106" s="569">
        <f>M106</f>
        <v>70900</v>
      </c>
      <c r="R106" s="569">
        <f>Q106</f>
        <v>70900</v>
      </c>
      <c r="S106" s="539" t="s">
        <v>208</v>
      </c>
      <c r="T106" s="334">
        <v>53</v>
      </c>
      <c r="U106" s="16">
        <v>53</v>
      </c>
      <c r="V106" s="335">
        <v>53</v>
      </c>
    </row>
    <row r="107" spans="1:22" s="131" customFormat="1" ht="45" customHeight="1" x14ac:dyDescent="0.25">
      <c r="A107" s="1066"/>
      <c r="B107" s="1067"/>
      <c r="C107" s="568"/>
      <c r="D107" s="715"/>
      <c r="E107" s="2524"/>
      <c r="F107" s="953"/>
      <c r="G107" s="130"/>
      <c r="H107" s="926"/>
      <c r="I107" s="1044"/>
      <c r="J107" s="491" t="s">
        <v>68</v>
      </c>
      <c r="K107" s="407">
        <v>63687</v>
      </c>
      <c r="L107" s="405"/>
      <c r="M107" s="407">
        <f>N107</f>
        <v>65500</v>
      </c>
      <c r="N107" s="570">
        <v>65500</v>
      </c>
      <c r="O107" s="67"/>
      <c r="P107" s="68"/>
      <c r="Q107" s="439">
        <v>65500</v>
      </c>
      <c r="R107" s="439">
        <v>65500</v>
      </c>
      <c r="S107" s="436" t="s">
        <v>212</v>
      </c>
      <c r="T107" s="66">
        <v>1</v>
      </c>
      <c r="U107" s="67">
        <v>1</v>
      </c>
      <c r="V107" s="68">
        <v>1</v>
      </c>
    </row>
    <row r="108" spans="1:22" s="131" customFormat="1" ht="27.75" customHeight="1" x14ac:dyDescent="0.25">
      <c r="A108" s="1066"/>
      <c r="B108" s="1067"/>
      <c r="C108" s="568"/>
      <c r="D108" s="1118"/>
      <c r="E108" s="2954"/>
      <c r="F108" s="110"/>
      <c r="G108" s="130"/>
      <c r="H108" s="926"/>
      <c r="I108" s="1044"/>
      <c r="J108" s="41" t="s">
        <v>178</v>
      </c>
      <c r="K108" s="407">
        <v>14581</v>
      </c>
      <c r="L108" s="405"/>
      <c r="M108" s="416"/>
      <c r="N108" s="67"/>
      <c r="O108" s="67"/>
      <c r="P108" s="68"/>
      <c r="Q108" s="439"/>
      <c r="R108" s="439"/>
      <c r="S108" s="2699" t="s">
        <v>206</v>
      </c>
      <c r="T108" s="320">
        <v>76</v>
      </c>
      <c r="U108" s="40">
        <v>76</v>
      </c>
      <c r="V108" s="84">
        <v>76</v>
      </c>
    </row>
    <row r="109" spans="1:22" s="131" customFormat="1" ht="27.75" customHeight="1" x14ac:dyDescent="0.25">
      <c r="A109" s="1066"/>
      <c r="B109" s="1067"/>
      <c r="C109" s="568"/>
      <c r="D109" s="1118"/>
      <c r="E109" s="2954"/>
      <c r="F109" s="110"/>
      <c r="G109" s="130"/>
      <c r="H109" s="926"/>
      <c r="I109" s="1044"/>
      <c r="J109" s="122" t="s">
        <v>28</v>
      </c>
      <c r="K109" s="566">
        <v>220624</v>
      </c>
      <c r="L109" s="405"/>
      <c r="M109" s="121">
        <v>187900</v>
      </c>
      <c r="N109" s="1083">
        <f>M109</f>
        <v>187900</v>
      </c>
      <c r="O109" s="1083">
        <v>142018</v>
      </c>
      <c r="P109" s="1085"/>
      <c r="Q109" s="528">
        <f>M109</f>
        <v>187900</v>
      </c>
      <c r="R109" s="528">
        <f>N109</f>
        <v>187900</v>
      </c>
      <c r="S109" s="2699"/>
      <c r="T109" s="320"/>
      <c r="U109" s="40"/>
      <c r="V109" s="84"/>
    </row>
    <row r="110" spans="1:22" s="131" customFormat="1" ht="25.5" customHeight="1" x14ac:dyDescent="0.25">
      <c r="A110" s="1066"/>
      <c r="B110" s="1067"/>
      <c r="C110" s="568"/>
      <c r="D110" s="1118"/>
      <c r="E110" s="2954"/>
      <c r="F110" s="110"/>
      <c r="G110" s="130"/>
      <c r="H110" s="926"/>
      <c r="I110" s="1044"/>
      <c r="J110" s="1116" t="s">
        <v>31</v>
      </c>
      <c r="K110" s="571">
        <v>247857</v>
      </c>
      <c r="L110" s="405"/>
      <c r="M110" s="30">
        <f>N110</f>
        <v>269200</v>
      </c>
      <c r="N110" s="1114">
        <v>269200</v>
      </c>
      <c r="O110" s="410">
        <v>205500</v>
      </c>
      <c r="P110" s="26"/>
      <c r="Q110" s="231">
        <f>M110</f>
        <v>269200</v>
      </c>
      <c r="R110" s="231">
        <f>N110</f>
        <v>269200</v>
      </c>
      <c r="S110" s="2709" t="s">
        <v>213</v>
      </c>
      <c r="T110" s="25">
        <v>20</v>
      </c>
      <c r="U110" s="1114">
        <v>33</v>
      </c>
      <c r="V110" s="26">
        <v>33</v>
      </c>
    </row>
    <row r="111" spans="1:22" s="131" customFormat="1" ht="16.5" customHeight="1" x14ac:dyDescent="0.25">
      <c r="A111" s="1066"/>
      <c r="B111" s="1067"/>
      <c r="C111" s="568"/>
      <c r="D111" s="1119"/>
      <c r="E111" s="2955"/>
      <c r="F111" s="953"/>
      <c r="G111" s="130"/>
      <c r="H111" s="926"/>
      <c r="I111" s="1044"/>
      <c r="J111" s="556" t="s">
        <v>36</v>
      </c>
      <c r="K111" s="424">
        <f>SUM(K106:K110)</f>
        <v>610002</v>
      </c>
      <c r="L111" s="405"/>
      <c r="M111" s="424">
        <f t="shared" ref="M111:P111" si="18">SUM(M106:M110)</f>
        <v>593500</v>
      </c>
      <c r="N111" s="425">
        <f t="shared" si="18"/>
        <v>593500</v>
      </c>
      <c r="O111" s="426">
        <f t="shared" si="18"/>
        <v>347518</v>
      </c>
      <c r="P111" s="421">
        <f t="shared" si="18"/>
        <v>0</v>
      </c>
      <c r="Q111" s="428">
        <f>SUM(Q106:Q110)</f>
        <v>593500</v>
      </c>
      <c r="R111" s="428">
        <f>SUM(R106:R110)</f>
        <v>593500</v>
      </c>
      <c r="S111" s="2698"/>
      <c r="T111" s="66"/>
      <c r="U111" s="67"/>
      <c r="V111" s="68"/>
    </row>
    <row r="112" spans="1:22" s="131" customFormat="1" ht="36.75" customHeight="1" x14ac:dyDescent="0.25">
      <c r="A112" s="132"/>
      <c r="B112" s="1067"/>
      <c r="C112" s="129"/>
      <c r="D112" s="1118" t="s">
        <v>214</v>
      </c>
      <c r="E112" s="1136" t="s">
        <v>215</v>
      </c>
      <c r="F112" s="110"/>
      <c r="G112" s="130"/>
      <c r="H112" s="926"/>
      <c r="I112" s="1044"/>
      <c r="J112" s="911" t="s">
        <v>31</v>
      </c>
      <c r="K112" s="912"/>
      <c r="L112" s="1098"/>
      <c r="M112" s="521">
        <v>3400</v>
      </c>
      <c r="N112" s="522">
        <v>3400</v>
      </c>
      <c r="O112" s="913"/>
      <c r="P112" s="914"/>
      <c r="Q112" s="521"/>
      <c r="R112" s="521"/>
      <c r="S112" s="2699" t="s">
        <v>274</v>
      </c>
      <c r="T112" s="39">
        <v>8</v>
      </c>
      <c r="U112" s="40"/>
      <c r="V112" s="41"/>
    </row>
    <row r="113" spans="1:30" s="131" customFormat="1" ht="16.5" customHeight="1" x14ac:dyDescent="0.25">
      <c r="A113" s="132"/>
      <c r="B113" s="1067"/>
      <c r="C113" s="129"/>
      <c r="D113" s="1118"/>
      <c r="E113" s="1136"/>
      <c r="F113" s="110"/>
      <c r="G113" s="133"/>
      <c r="H113" s="926"/>
      <c r="I113" s="1044"/>
      <c r="J113" s="567" t="s">
        <v>36</v>
      </c>
      <c r="K113" s="397"/>
      <c r="L113" s="496"/>
      <c r="M113" s="397">
        <f>SUM(M112)</f>
        <v>3400</v>
      </c>
      <c r="N113" s="425">
        <f>SUM(N112)</f>
        <v>3400</v>
      </c>
      <c r="O113" s="400"/>
      <c r="P113" s="398"/>
      <c r="Q113" s="397"/>
      <c r="R113" s="397"/>
      <c r="S113" s="2700"/>
      <c r="T113" s="39"/>
      <c r="U113" s="67"/>
      <c r="V113" s="41"/>
    </row>
    <row r="114" spans="1:30" s="3" customFormat="1" ht="16.5" customHeight="1" thickBot="1" x14ac:dyDescent="0.3">
      <c r="A114" s="132"/>
      <c r="B114" s="1067"/>
      <c r="C114" s="58"/>
      <c r="D114" s="574"/>
      <c r="E114" s="575"/>
      <c r="F114" s="575"/>
      <c r="G114" s="575"/>
      <c r="H114" s="575"/>
      <c r="I114" s="2956" t="s">
        <v>49</v>
      </c>
      <c r="J114" s="2957"/>
      <c r="K114" s="576">
        <f>K111+K105+K98+K92+K86+K77+K68+K61</f>
        <v>4017424</v>
      </c>
      <c r="L114" s="577">
        <f>SUM(L54:L111)</f>
        <v>3962144</v>
      </c>
      <c r="M114" s="576">
        <f t="shared" ref="M114:R114" si="19">M111+M105+M98+M92+M86+M77+M68+M61+M113</f>
        <v>4275100</v>
      </c>
      <c r="N114" s="576">
        <f t="shared" si="19"/>
        <v>4242300</v>
      </c>
      <c r="O114" s="576">
        <f t="shared" si="19"/>
        <v>2430259</v>
      </c>
      <c r="P114" s="576">
        <f t="shared" si="19"/>
        <v>32800</v>
      </c>
      <c r="Q114" s="576">
        <f t="shared" si="19"/>
        <v>4177900</v>
      </c>
      <c r="R114" s="576">
        <f t="shared" si="19"/>
        <v>4180100</v>
      </c>
      <c r="S114" s="2958"/>
      <c r="T114" s="2959"/>
      <c r="U114" s="2959"/>
      <c r="V114" s="2960"/>
    </row>
    <row r="115" spans="1:30" s="141" customFormat="1" ht="50.25" customHeight="1" x14ac:dyDescent="0.25">
      <c r="A115" s="2948" t="s">
        <v>22</v>
      </c>
      <c r="B115" s="2633" t="s">
        <v>50</v>
      </c>
      <c r="C115" s="2635" t="s">
        <v>50</v>
      </c>
      <c r="D115" s="578"/>
      <c r="E115" s="2602" t="s">
        <v>81</v>
      </c>
      <c r="F115" s="2950"/>
      <c r="G115" s="2952">
        <v>10</v>
      </c>
      <c r="H115" s="2961" t="s">
        <v>27</v>
      </c>
      <c r="I115" s="2963" t="s">
        <v>161</v>
      </c>
      <c r="J115" s="1123" t="s">
        <v>31</v>
      </c>
      <c r="K115" s="579">
        <v>278035</v>
      </c>
      <c r="L115" s="580">
        <v>278035</v>
      </c>
      <c r="M115" s="581">
        <v>315900</v>
      </c>
      <c r="N115" s="582">
        <v>315900</v>
      </c>
      <c r="O115" s="583"/>
      <c r="P115" s="584"/>
      <c r="Q115" s="140">
        <f>M115</f>
        <v>315900</v>
      </c>
      <c r="R115" s="140">
        <f>Q115</f>
        <v>315900</v>
      </c>
      <c r="S115" s="2602" t="s">
        <v>275</v>
      </c>
      <c r="T115" s="138">
        <v>80</v>
      </c>
      <c r="U115" s="139">
        <v>80</v>
      </c>
      <c r="V115" s="140">
        <v>80</v>
      </c>
    </row>
    <row r="116" spans="1:30" s="147" customFormat="1" ht="16.5" customHeight="1" thickBot="1" x14ac:dyDescent="0.3">
      <c r="A116" s="2949"/>
      <c r="B116" s="2634"/>
      <c r="C116" s="2636"/>
      <c r="D116" s="585"/>
      <c r="E116" s="2637"/>
      <c r="F116" s="2951"/>
      <c r="G116" s="2953"/>
      <c r="H116" s="2962"/>
      <c r="I116" s="2964"/>
      <c r="J116" s="142" t="s">
        <v>36</v>
      </c>
      <c r="K116" s="469">
        <f>SUM(K115)</f>
        <v>278035</v>
      </c>
      <c r="L116" s="470">
        <f>SUM(L115)</f>
        <v>278035</v>
      </c>
      <c r="M116" s="469">
        <f>N116+P116</f>
        <v>315900</v>
      </c>
      <c r="N116" s="586">
        <f>SUM(N115)</f>
        <v>315900</v>
      </c>
      <c r="O116" s="587"/>
      <c r="P116" s="470"/>
      <c r="Q116" s="588">
        <f>SUM(Q115)</f>
        <v>315900</v>
      </c>
      <c r="R116" s="142">
        <f>SUM(R115)</f>
        <v>315900</v>
      </c>
      <c r="S116" s="2637"/>
      <c r="T116" s="144"/>
      <c r="U116" s="145"/>
      <c r="V116" s="146"/>
    </row>
    <row r="117" spans="1:30" s="2" customFormat="1" ht="95.25" customHeight="1" x14ac:dyDescent="0.25">
      <c r="A117" s="1010" t="s">
        <v>22</v>
      </c>
      <c r="B117" s="1011" t="s">
        <v>50</v>
      </c>
      <c r="C117" s="1012" t="s">
        <v>54</v>
      </c>
      <c r="D117" s="1013"/>
      <c r="E117" s="1014" t="s">
        <v>82</v>
      </c>
      <c r="F117" s="1015"/>
      <c r="G117" s="1016">
        <v>10</v>
      </c>
      <c r="H117" s="1017" t="s">
        <v>27</v>
      </c>
      <c r="I117" s="1018" t="s">
        <v>216</v>
      </c>
      <c r="J117" s="966"/>
      <c r="K117" s="1019"/>
      <c r="L117" s="1020"/>
      <c r="M117" s="569"/>
      <c r="N117" s="749"/>
      <c r="O117" s="749"/>
      <c r="P117" s="752"/>
      <c r="Q117" s="569"/>
      <c r="R117" s="642"/>
      <c r="S117" s="1021"/>
      <c r="T117" s="808"/>
      <c r="U117" s="549"/>
      <c r="V117" s="809"/>
    </row>
    <row r="118" spans="1:30" s="2" customFormat="1" ht="63.75" customHeight="1" x14ac:dyDescent="0.25">
      <c r="A118" s="1029"/>
      <c r="B118" s="1030"/>
      <c r="C118" s="1026"/>
      <c r="D118" s="590" t="s">
        <v>22</v>
      </c>
      <c r="E118" s="113" t="s">
        <v>217</v>
      </c>
      <c r="F118" s="1028"/>
      <c r="G118" s="1138"/>
      <c r="H118" s="1031"/>
      <c r="I118" s="1032"/>
      <c r="J118" s="592" t="s">
        <v>31</v>
      </c>
      <c r="K118" s="593">
        <v>103974</v>
      </c>
      <c r="L118" s="673">
        <v>352728</v>
      </c>
      <c r="M118" s="528">
        <f>N118</f>
        <v>71900</v>
      </c>
      <c r="N118" s="594">
        <v>71900</v>
      </c>
      <c r="O118" s="594"/>
      <c r="P118" s="256"/>
      <c r="Q118" s="163">
        <f>M118</f>
        <v>71900</v>
      </c>
      <c r="R118" s="163">
        <f>N118</f>
        <v>71900</v>
      </c>
      <c r="S118" s="162" t="s">
        <v>218</v>
      </c>
      <c r="T118" s="411">
        <v>13</v>
      </c>
      <c r="U118" s="164">
        <v>13</v>
      </c>
      <c r="V118" s="412">
        <v>13</v>
      </c>
      <c r="AD118" s="3"/>
    </row>
    <row r="119" spans="1:30" s="2" customFormat="1" ht="57.75" customHeight="1" x14ac:dyDescent="0.25">
      <c r="A119" s="156"/>
      <c r="B119" s="157"/>
      <c r="C119" s="158"/>
      <c r="D119" s="595" t="s">
        <v>50</v>
      </c>
      <c r="E119" s="65" t="s">
        <v>219</v>
      </c>
      <c r="F119" s="159"/>
      <c r="G119" s="1128"/>
      <c r="H119" s="591"/>
      <c r="I119" s="1044"/>
      <c r="J119" s="1125" t="s">
        <v>31</v>
      </c>
      <c r="K119" s="596">
        <v>63224</v>
      </c>
      <c r="L119" s="915"/>
      <c r="M119" s="439">
        <f>N119</f>
        <v>63200</v>
      </c>
      <c r="N119" s="597">
        <v>63200</v>
      </c>
      <c r="O119" s="597"/>
      <c r="P119" s="503"/>
      <c r="Q119" s="439">
        <f>M119</f>
        <v>63200</v>
      </c>
      <c r="R119" s="439">
        <f>N119</f>
        <v>63200</v>
      </c>
      <c r="S119" s="436" t="s">
        <v>220</v>
      </c>
      <c r="T119" s="1052">
        <v>20</v>
      </c>
      <c r="U119" s="1054">
        <v>20</v>
      </c>
      <c r="V119" s="1055">
        <v>20</v>
      </c>
    </row>
    <row r="120" spans="1:30" s="2" customFormat="1" ht="67.5" customHeight="1" x14ac:dyDescent="0.25">
      <c r="A120" s="156"/>
      <c r="B120" s="157"/>
      <c r="C120" s="158"/>
      <c r="D120" s="598" t="s">
        <v>54</v>
      </c>
      <c r="E120" s="65" t="s">
        <v>221</v>
      </c>
      <c r="F120" s="159"/>
      <c r="G120" s="1128"/>
      <c r="H120" s="187"/>
      <c r="I120" s="599"/>
      <c r="J120" s="1125" t="s">
        <v>31</v>
      </c>
      <c r="K120" s="596">
        <v>98645</v>
      </c>
      <c r="L120" s="915"/>
      <c r="M120" s="244">
        <f>N120</f>
        <v>98600</v>
      </c>
      <c r="N120" s="1133">
        <v>98600</v>
      </c>
      <c r="O120" s="1133"/>
      <c r="P120" s="245"/>
      <c r="Q120" s="244">
        <f>N120</f>
        <v>98600</v>
      </c>
      <c r="R120" s="1120">
        <f>Q120</f>
        <v>98600</v>
      </c>
      <c r="S120" s="95" t="s">
        <v>222</v>
      </c>
      <c r="T120" s="73">
        <v>34</v>
      </c>
      <c r="U120" s="47">
        <v>34</v>
      </c>
      <c r="V120" s="74">
        <v>34</v>
      </c>
      <c r="AA120" s="3"/>
    </row>
    <row r="121" spans="1:30" s="2" customFormat="1" ht="40.5" customHeight="1" x14ac:dyDescent="0.25">
      <c r="A121" s="156"/>
      <c r="B121" s="157"/>
      <c r="C121" s="158"/>
      <c r="D121" s="598" t="s">
        <v>56</v>
      </c>
      <c r="E121" s="65" t="s">
        <v>223</v>
      </c>
      <c r="F121" s="159"/>
      <c r="G121" s="1128"/>
      <c r="H121" s="187"/>
      <c r="I121" s="599"/>
      <c r="J121" s="1125" t="s">
        <v>31</v>
      </c>
      <c r="K121" s="596"/>
      <c r="L121" s="915"/>
      <c r="M121" s="121">
        <f>N121</f>
        <v>21100</v>
      </c>
      <c r="N121" s="1083">
        <v>21100</v>
      </c>
      <c r="O121" s="594"/>
      <c r="P121" s="256"/>
      <c r="Q121" s="121">
        <f t="shared" ref="Q121:R124" si="20">M121</f>
        <v>21100</v>
      </c>
      <c r="R121" s="121">
        <f t="shared" si="20"/>
        <v>21100</v>
      </c>
      <c r="S121" s="266" t="s">
        <v>85</v>
      </c>
      <c r="T121" s="523" t="s">
        <v>86</v>
      </c>
      <c r="U121" s="524" t="s">
        <v>87</v>
      </c>
      <c r="V121" s="525" t="s">
        <v>87</v>
      </c>
    </row>
    <row r="122" spans="1:30" s="2" customFormat="1" ht="54" customHeight="1" x14ac:dyDescent="0.25">
      <c r="A122" s="156"/>
      <c r="B122" s="157"/>
      <c r="C122" s="158"/>
      <c r="D122" s="595" t="s">
        <v>59</v>
      </c>
      <c r="E122" s="169" t="s">
        <v>224</v>
      </c>
      <c r="F122" s="159"/>
      <c r="G122" s="1128"/>
      <c r="H122" s="591"/>
      <c r="I122" s="599"/>
      <c r="J122" s="1125" t="s">
        <v>31</v>
      </c>
      <c r="K122" s="596">
        <v>43443</v>
      </c>
      <c r="L122" s="915"/>
      <c r="M122" s="439">
        <v>41400</v>
      </c>
      <c r="N122" s="597">
        <v>41400</v>
      </c>
      <c r="O122" s="597"/>
      <c r="P122" s="503"/>
      <c r="Q122" s="439">
        <f t="shared" si="20"/>
        <v>41400</v>
      </c>
      <c r="R122" s="439">
        <f t="shared" si="20"/>
        <v>41400</v>
      </c>
      <c r="S122" s="436" t="s">
        <v>225</v>
      </c>
      <c r="T122" s="1077">
        <v>200</v>
      </c>
      <c r="U122" s="1054">
        <v>200</v>
      </c>
      <c r="V122" s="1079">
        <v>200</v>
      </c>
    </row>
    <row r="123" spans="1:30" s="2" customFormat="1" ht="68.25" customHeight="1" x14ac:dyDescent="0.25">
      <c r="A123" s="156"/>
      <c r="B123" s="157"/>
      <c r="C123" s="158"/>
      <c r="D123" s="598" t="s">
        <v>97</v>
      </c>
      <c r="E123" s="1068" t="s">
        <v>226</v>
      </c>
      <c r="F123" s="159"/>
      <c r="G123" s="1128"/>
      <c r="H123" s="591"/>
      <c r="I123" s="599"/>
      <c r="J123" s="978" t="s">
        <v>31</v>
      </c>
      <c r="K123" s="676">
        <v>43442</v>
      </c>
      <c r="L123" s="915"/>
      <c r="M123" s="439">
        <f>N123</f>
        <v>43400</v>
      </c>
      <c r="N123" s="597">
        <v>43400</v>
      </c>
      <c r="O123" s="597"/>
      <c r="P123" s="503"/>
      <c r="Q123" s="439">
        <f t="shared" si="20"/>
        <v>43400</v>
      </c>
      <c r="R123" s="439">
        <f t="shared" si="20"/>
        <v>43400</v>
      </c>
      <c r="S123" s="921" t="s">
        <v>227</v>
      </c>
      <c r="T123" s="1077">
        <v>8</v>
      </c>
      <c r="U123" s="1054">
        <v>8</v>
      </c>
      <c r="V123" s="1079">
        <v>8</v>
      </c>
    </row>
    <row r="124" spans="1:30" s="2" customFormat="1" ht="69" customHeight="1" x14ac:dyDescent="0.25">
      <c r="A124" s="1066"/>
      <c r="B124" s="1067"/>
      <c r="C124" s="1117"/>
      <c r="D124" s="917" t="s">
        <v>100</v>
      </c>
      <c r="E124" s="918" t="s">
        <v>282</v>
      </c>
      <c r="F124" s="2971"/>
      <c r="G124" s="2973"/>
      <c r="H124" s="2974"/>
      <c r="I124" s="2920"/>
      <c r="J124" s="35" t="s">
        <v>31</v>
      </c>
      <c r="K124" s="415"/>
      <c r="L124" s="915"/>
      <c r="M124" s="407">
        <f>N124</f>
        <v>23600</v>
      </c>
      <c r="N124" s="570">
        <v>23600</v>
      </c>
      <c r="O124" s="67"/>
      <c r="P124" s="491"/>
      <c r="Q124" s="492">
        <f t="shared" si="20"/>
        <v>23600</v>
      </c>
      <c r="R124" s="492">
        <f t="shared" si="20"/>
        <v>23600</v>
      </c>
      <c r="S124" s="919" t="s">
        <v>228</v>
      </c>
      <c r="T124" s="541" t="s">
        <v>136</v>
      </c>
      <c r="U124" s="551">
        <v>1</v>
      </c>
      <c r="V124" s="552">
        <v>1</v>
      </c>
    </row>
    <row r="125" spans="1:30" s="2" customFormat="1" ht="48.75" customHeight="1" x14ac:dyDescent="0.25">
      <c r="A125" s="1066"/>
      <c r="B125" s="1067"/>
      <c r="C125" s="1117"/>
      <c r="D125" s="601" t="s">
        <v>211</v>
      </c>
      <c r="E125" s="2627" t="s">
        <v>88</v>
      </c>
      <c r="F125" s="2971"/>
      <c r="G125" s="2973"/>
      <c r="H125" s="2974"/>
      <c r="I125" s="2920"/>
      <c r="J125" s="28" t="s">
        <v>31</v>
      </c>
      <c r="K125" s="443"/>
      <c r="L125" s="916"/>
      <c r="M125" s="407">
        <v>19200</v>
      </c>
      <c r="N125" s="570">
        <v>19200</v>
      </c>
      <c r="O125" s="40"/>
      <c r="P125" s="41"/>
      <c r="Q125" s="492">
        <v>19200</v>
      </c>
      <c r="R125" s="602">
        <v>19200</v>
      </c>
      <c r="S125" s="2627" t="s">
        <v>229</v>
      </c>
      <c r="T125" s="534">
        <v>10</v>
      </c>
      <c r="U125" s="603">
        <v>10</v>
      </c>
      <c r="V125" s="604">
        <v>10</v>
      </c>
      <c r="X125" s="3"/>
    </row>
    <row r="126" spans="1:30" s="2" customFormat="1" ht="32.25" customHeight="1" thickBot="1" x14ac:dyDescent="0.3">
      <c r="A126" s="1066"/>
      <c r="B126" s="1067"/>
      <c r="C126" s="1075"/>
      <c r="D126" s="605"/>
      <c r="E126" s="2628"/>
      <c r="F126" s="2972"/>
      <c r="G126" s="2917"/>
      <c r="H126" s="2975"/>
      <c r="I126" s="2976"/>
      <c r="J126" s="80" t="s">
        <v>36</v>
      </c>
      <c r="K126" s="458">
        <f>SUM(K118:K125)</f>
        <v>352728</v>
      </c>
      <c r="L126" s="547">
        <f>SUM(L118:L125)</f>
        <v>352728</v>
      </c>
      <c r="M126" s="455">
        <f t="shared" ref="M126:P126" si="21">SUM(M118:M125)</f>
        <v>382400</v>
      </c>
      <c r="N126" s="459">
        <f t="shared" si="21"/>
        <v>382400</v>
      </c>
      <c r="O126" s="459">
        <f t="shared" si="21"/>
        <v>0</v>
      </c>
      <c r="P126" s="478">
        <f t="shared" si="21"/>
        <v>0</v>
      </c>
      <c r="Q126" s="458">
        <f>SUM(Q118:Q125)</f>
        <v>382400</v>
      </c>
      <c r="R126" s="80">
        <f>SUM(R118:R125)</f>
        <v>382400</v>
      </c>
      <c r="S126" s="2628"/>
      <c r="T126" s="96"/>
      <c r="U126" s="1115"/>
      <c r="V126" s="97"/>
    </row>
    <row r="127" spans="1:30" s="2" customFormat="1" ht="27.75" customHeight="1" x14ac:dyDescent="0.25">
      <c r="A127" s="178" t="s">
        <v>22</v>
      </c>
      <c r="B127" s="179" t="s">
        <v>50</v>
      </c>
      <c r="C127" s="1060" t="s">
        <v>56</v>
      </c>
      <c r="D127" s="589"/>
      <c r="E127" s="180" t="s">
        <v>89</v>
      </c>
      <c r="F127" s="150"/>
      <c r="G127" s="1108">
        <v>10</v>
      </c>
      <c r="H127" s="606" t="s">
        <v>27</v>
      </c>
      <c r="I127" s="2966" t="s">
        <v>161</v>
      </c>
      <c r="J127" s="1124"/>
      <c r="K127" s="107"/>
      <c r="L127" s="607"/>
      <c r="M127" s="377"/>
      <c r="N127" s="378"/>
      <c r="O127" s="379"/>
      <c r="P127" s="608"/>
      <c r="Q127" s="380"/>
      <c r="R127" s="381"/>
      <c r="S127" s="2790" t="s">
        <v>90</v>
      </c>
      <c r="T127" s="78">
        <v>20</v>
      </c>
      <c r="U127" s="1072">
        <v>20</v>
      </c>
      <c r="V127" s="79">
        <v>20</v>
      </c>
    </row>
    <row r="128" spans="1:30" s="2" customFormat="1" ht="28.5" customHeight="1" x14ac:dyDescent="0.25">
      <c r="A128" s="1022"/>
      <c r="B128" s="1023"/>
      <c r="C128" s="906"/>
      <c r="D128" s="595" t="s">
        <v>22</v>
      </c>
      <c r="E128" s="183" t="s">
        <v>230</v>
      </c>
      <c r="F128" s="920"/>
      <c r="G128" s="1139"/>
      <c r="H128" s="941"/>
      <c r="I128" s="2967"/>
      <c r="J128" s="592" t="s">
        <v>31</v>
      </c>
      <c r="K128" s="383">
        <v>31858</v>
      </c>
      <c r="L128" s="498">
        <v>31858</v>
      </c>
      <c r="M128" s="390">
        <v>23500</v>
      </c>
      <c r="N128" s="386">
        <v>23500</v>
      </c>
      <c r="O128" s="389"/>
      <c r="P128" s="516"/>
      <c r="Q128" s="388">
        <v>24000</v>
      </c>
      <c r="R128" s="388">
        <v>24000</v>
      </c>
      <c r="S128" s="2700"/>
      <c r="T128" s="253"/>
      <c r="U128" s="557"/>
      <c r="V128" s="558"/>
    </row>
    <row r="129" spans="1:31" s="2" customFormat="1" ht="54" customHeight="1" x14ac:dyDescent="0.25">
      <c r="A129" s="1024"/>
      <c r="B129" s="1025"/>
      <c r="C129" s="1026"/>
      <c r="D129" s="1027" t="s">
        <v>50</v>
      </c>
      <c r="E129" s="34" t="s">
        <v>231</v>
      </c>
      <c r="F129" s="1028"/>
      <c r="G129" s="1138"/>
      <c r="H129" s="289"/>
      <c r="I129" s="1134"/>
      <c r="J129" s="592" t="s">
        <v>31</v>
      </c>
      <c r="K129" s="383"/>
      <c r="L129" s="498"/>
      <c r="M129" s="390">
        <v>8500</v>
      </c>
      <c r="N129" s="386">
        <v>8500</v>
      </c>
      <c r="O129" s="389"/>
      <c r="P129" s="516"/>
      <c r="Q129" s="388">
        <v>8500</v>
      </c>
      <c r="R129" s="609">
        <v>8500</v>
      </c>
      <c r="S129" s="610" t="s">
        <v>232</v>
      </c>
      <c r="T129" s="523" t="s">
        <v>26</v>
      </c>
      <c r="U129" s="524" t="s">
        <v>26</v>
      </c>
      <c r="V129" s="525" t="s">
        <v>26</v>
      </c>
      <c r="X129" s="3"/>
      <c r="AE129" s="3"/>
    </row>
    <row r="130" spans="1:31" s="2" customFormat="1" ht="116.25" customHeight="1" x14ac:dyDescent="0.25">
      <c r="A130" s="181"/>
      <c r="B130" s="182"/>
      <c r="C130" s="158"/>
      <c r="D130" s="590" t="s">
        <v>54</v>
      </c>
      <c r="E130" s="1090" t="s">
        <v>305</v>
      </c>
      <c r="F130" s="159"/>
      <c r="G130" s="126"/>
      <c r="H130" s="295"/>
      <c r="I130" s="441"/>
      <c r="J130" s="1125" t="s">
        <v>31</v>
      </c>
      <c r="K130" s="409">
        <v>46339</v>
      </c>
      <c r="L130" s="496">
        <v>105339</v>
      </c>
      <c r="M130" s="392">
        <v>25000</v>
      </c>
      <c r="N130" s="393">
        <v>25000</v>
      </c>
      <c r="O130" s="611"/>
      <c r="P130" s="555"/>
      <c r="Q130" s="396"/>
      <c r="R130" s="612"/>
      <c r="S130" s="192" t="s">
        <v>233</v>
      </c>
      <c r="T130" s="55" t="s">
        <v>136</v>
      </c>
      <c r="U130" s="56"/>
      <c r="V130" s="57"/>
    </row>
    <row r="131" spans="1:31" s="2" customFormat="1" ht="22.5" customHeight="1" x14ac:dyDescent="0.25">
      <c r="A131" s="2908"/>
      <c r="B131" s="2599"/>
      <c r="C131" s="1117"/>
      <c r="D131" s="613" t="s">
        <v>56</v>
      </c>
      <c r="E131" s="2620" t="s">
        <v>93</v>
      </c>
      <c r="F131" s="21"/>
      <c r="G131" s="124"/>
      <c r="H131" s="614"/>
      <c r="I131" s="2968"/>
      <c r="J131" s="1125" t="s">
        <v>31</v>
      </c>
      <c r="K131" s="121">
        <v>21664</v>
      </c>
      <c r="L131" s="543">
        <v>21664</v>
      </c>
      <c r="M131" s="615">
        <f>N131</f>
        <v>20800</v>
      </c>
      <c r="N131" s="616">
        <v>20800</v>
      </c>
      <c r="O131" s="386"/>
      <c r="P131" s="516"/>
      <c r="Q131" s="617">
        <f>R131</f>
        <v>43300</v>
      </c>
      <c r="R131" s="617">
        <v>43300</v>
      </c>
      <c r="S131" s="2969" t="s">
        <v>233</v>
      </c>
      <c r="T131" s="565" t="s">
        <v>234</v>
      </c>
      <c r="U131" s="118" t="s">
        <v>234</v>
      </c>
      <c r="V131" s="518" t="s">
        <v>234</v>
      </c>
    </row>
    <row r="132" spans="1:31" s="2" customFormat="1" ht="22.5" customHeight="1" x14ac:dyDescent="0.2">
      <c r="A132" s="2908"/>
      <c r="B132" s="2599"/>
      <c r="C132" s="1117"/>
      <c r="D132" s="618"/>
      <c r="E132" s="2548"/>
      <c r="F132" s="190"/>
      <c r="G132" s="191"/>
      <c r="H132" s="614"/>
      <c r="I132" s="2968"/>
      <c r="J132" s="28" t="s">
        <v>52</v>
      </c>
      <c r="K132" s="121">
        <v>209222</v>
      </c>
      <c r="L132" s="543">
        <v>209222</v>
      </c>
      <c r="M132" s="615">
        <f>N132</f>
        <v>208200</v>
      </c>
      <c r="N132" s="616">
        <v>208200</v>
      </c>
      <c r="O132" s="619"/>
      <c r="P132" s="620"/>
      <c r="Q132" s="617">
        <f>M132</f>
        <v>208200</v>
      </c>
      <c r="R132" s="617">
        <f>N132</f>
        <v>208200</v>
      </c>
      <c r="S132" s="2970"/>
      <c r="T132" s="55"/>
      <c r="U132" s="56"/>
      <c r="V132" s="57"/>
      <c r="Z132" s="3"/>
    </row>
    <row r="133" spans="1:31" s="2" customFormat="1" ht="22.5" customHeight="1" x14ac:dyDescent="0.2">
      <c r="A133" s="1066"/>
      <c r="B133" s="1067"/>
      <c r="C133" s="1117"/>
      <c r="D133" s="1037"/>
      <c r="E133" s="2621"/>
      <c r="F133" s="190"/>
      <c r="G133" s="191"/>
      <c r="H133" s="614"/>
      <c r="I133" s="2968"/>
      <c r="J133" s="43" t="s">
        <v>52</v>
      </c>
      <c r="K133" s="811">
        <v>10455</v>
      </c>
      <c r="L133" s="1038">
        <v>10455</v>
      </c>
      <c r="M133" s="615">
        <f>N133</f>
        <v>10400</v>
      </c>
      <c r="N133" s="616">
        <v>10400</v>
      </c>
      <c r="O133" s="386"/>
      <c r="P133" s="516"/>
      <c r="Q133" s="617"/>
      <c r="R133" s="617"/>
      <c r="S133" s="2970"/>
      <c r="T133" s="55"/>
      <c r="U133" s="56"/>
      <c r="V133" s="57"/>
    </row>
    <row r="134" spans="1:31" s="2" customFormat="1" ht="22.5" customHeight="1" x14ac:dyDescent="0.2">
      <c r="A134" s="1066"/>
      <c r="B134" s="1067"/>
      <c r="C134" s="1117"/>
      <c r="D134" s="618" t="s">
        <v>59</v>
      </c>
      <c r="E134" s="2620" t="s">
        <v>301</v>
      </c>
      <c r="F134" s="190"/>
      <c r="G134" s="191"/>
      <c r="H134" s="614"/>
      <c r="I134" s="2968"/>
      <c r="J134" s="22" t="s">
        <v>31</v>
      </c>
      <c r="K134" s="621"/>
      <c r="L134" s="622"/>
      <c r="M134" s="621">
        <v>3500</v>
      </c>
      <c r="N134" s="1166">
        <v>3500</v>
      </c>
      <c r="O134" s="1167"/>
      <c r="P134" s="361"/>
      <c r="Q134" s="621">
        <f>M134</f>
        <v>3500</v>
      </c>
      <c r="R134" s="621">
        <f>N134</f>
        <v>3500</v>
      </c>
      <c r="S134" s="2969" t="s">
        <v>302</v>
      </c>
      <c r="T134" s="565" t="s">
        <v>303</v>
      </c>
      <c r="U134" s="118" t="s">
        <v>303</v>
      </c>
      <c r="V134" s="518" t="s">
        <v>303</v>
      </c>
    </row>
    <row r="135" spans="1:31" s="2" customFormat="1" ht="16.5" customHeight="1" thickBot="1" x14ac:dyDescent="0.25">
      <c r="A135" s="1057"/>
      <c r="B135" s="1059"/>
      <c r="C135" s="1075"/>
      <c r="D135" s="623"/>
      <c r="E135" s="2549"/>
      <c r="F135" s="193"/>
      <c r="G135" s="194"/>
      <c r="H135" s="624"/>
      <c r="I135" s="2964"/>
      <c r="J135" s="142" t="s">
        <v>36</v>
      </c>
      <c r="K135" s="469">
        <f>SUM(K128:K133)</f>
        <v>319538</v>
      </c>
      <c r="L135" s="625">
        <f>SUM(L128:L133)</f>
        <v>378538</v>
      </c>
      <c r="M135" s="469">
        <f>SUM(M128:M134)</f>
        <v>299900</v>
      </c>
      <c r="N135" s="586">
        <f>SUM(N128:N134)</f>
        <v>299900</v>
      </c>
      <c r="O135" s="586">
        <f t="shared" ref="O135:P135" si="22">SUM(O128:O133)</f>
        <v>0</v>
      </c>
      <c r="P135" s="588">
        <f t="shared" si="22"/>
        <v>0</v>
      </c>
      <c r="Q135" s="626">
        <f>SUM(Q128:Q134)</f>
        <v>287500</v>
      </c>
      <c r="R135" s="626">
        <f>SUM(R128:R134)</f>
        <v>287500</v>
      </c>
      <c r="S135" s="2977"/>
      <c r="T135" s="195"/>
      <c r="U135" s="196"/>
      <c r="V135" s="197"/>
    </row>
    <row r="136" spans="1:31" s="2" customFormat="1" ht="42" customHeight="1" x14ac:dyDescent="0.25">
      <c r="A136" s="1056" t="s">
        <v>22</v>
      </c>
      <c r="B136" s="1058" t="s">
        <v>50</v>
      </c>
      <c r="C136" s="1074" t="s">
        <v>59</v>
      </c>
      <c r="D136" s="627"/>
      <c r="E136" s="993" t="s">
        <v>94</v>
      </c>
      <c r="F136" s="1110"/>
      <c r="G136" s="89">
        <v>10</v>
      </c>
      <c r="H136" s="12" t="s">
        <v>95</v>
      </c>
      <c r="I136" s="965" t="s">
        <v>235</v>
      </c>
      <c r="J136" s="966" t="s">
        <v>31</v>
      </c>
      <c r="K136" s="473">
        <v>28962</v>
      </c>
      <c r="L136" s="967">
        <v>63962</v>
      </c>
      <c r="M136" s="968">
        <v>50400</v>
      </c>
      <c r="N136" s="969">
        <v>50400</v>
      </c>
      <c r="O136" s="969"/>
      <c r="P136" s="970"/>
      <c r="Q136" s="332">
        <f>M136</f>
        <v>50400</v>
      </c>
      <c r="R136" s="332">
        <f>N136</f>
        <v>50400</v>
      </c>
      <c r="S136" s="198" t="s">
        <v>264</v>
      </c>
      <c r="T136" s="199">
        <v>20</v>
      </c>
      <c r="U136" s="200">
        <v>20</v>
      </c>
      <c r="V136" s="201">
        <v>20</v>
      </c>
    </row>
    <row r="137" spans="1:31" s="2" customFormat="1" ht="55.5" customHeight="1" x14ac:dyDescent="0.25">
      <c r="A137" s="1066"/>
      <c r="B137" s="1067"/>
      <c r="C137" s="1117"/>
      <c r="D137" s="601"/>
      <c r="E137" s="31"/>
      <c r="F137" s="770"/>
      <c r="G137" s="124"/>
      <c r="H137" s="937"/>
      <c r="I137" s="128"/>
      <c r="J137" s="634" t="s">
        <v>31</v>
      </c>
      <c r="K137" s="407"/>
      <c r="L137" s="570"/>
      <c r="M137" s="66">
        <v>18400</v>
      </c>
      <c r="N137" s="67"/>
      <c r="O137" s="636"/>
      <c r="P137" s="68">
        <f>M137</f>
        <v>18400</v>
      </c>
      <c r="Q137" s="35">
        <f>M137</f>
        <v>18400</v>
      </c>
      <c r="R137" s="35">
        <v>18400</v>
      </c>
      <c r="S137" s="919" t="s">
        <v>276</v>
      </c>
      <c r="T137" s="962">
        <v>7</v>
      </c>
      <c r="U137" s="963">
        <v>7</v>
      </c>
      <c r="V137" s="964">
        <v>7</v>
      </c>
      <c r="AB137" s="3"/>
    </row>
    <row r="138" spans="1:31" s="2" customFormat="1" ht="40.5" customHeight="1" x14ac:dyDescent="0.25">
      <c r="A138" s="1066"/>
      <c r="B138" s="1067"/>
      <c r="C138" s="1117"/>
      <c r="D138" s="601"/>
      <c r="E138" s="31"/>
      <c r="F138" s="21"/>
      <c r="G138" s="124"/>
      <c r="H138" s="27"/>
      <c r="I138" s="128"/>
      <c r="J138" s="202" t="s">
        <v>31</v>
      </c>
      <c r="K138" s="383"/>
      <c r="L138" s="391"/>
      <c r="M138" s="1082">
        <f>N138</f>
        <v>1100</v>
      </c>
      <c r="N138" s="1083">
        <v>1100</v>
      </c>
      <c r="O138" s="629"/>
      <c r="P138" s="1085"/>
      <c r="Q138" s="43">
        <v>1100</v>
      </c>
      <c r="R138" s="43">
        <v>1100</v>
      </c>
      <c r="S138" s="247" t="s">
        <v>236</v>
      </c>
      <c r="T138" s="630">
        <v>21</v>
      </c>
      <c r="U138" s="631">
        <v>21</v>
      </c>
      <c r="V138" s="632">
        <v>21</v>
      </c>
      <c r="X138" s="3"/>
    </row>
    <row r="139" spans="1:31" s="2" customFormat="1" ht="15.75" customHeight="1" x14ac:dyDescent="0.25">
      <c r="A139" s="1066"/>
      <c r="B139" s="1067"/>
      <c r="C139" s="1117"/>
      <c r="D139" s="601"/>
      <c r="E139" s="31"/>
      <c r="F139" s="21"/>
      <c r="G139" s="124"/>
      <c r="H139" s="27"/>
      <c r="I139" s="128"/>
      <c r="J139" s="634" t="s">
        <v>31</v>
      </c>
      <c r="K139" s="409"/>
      <c r="L139" s="340"/>
      <c r="M139" s="635">
        <f>N139+P139</f>
        <v>70000</v>
      </c>
      <c r="N139" s="570">
        <v>70000</v>
      </c>
      <c r="O139" s="636"/>
      <c r="P139" s="68"/>
      <c r="Q139" s="43">
        <v>70000</v>
      </c>
      <c r="R139" s="43">
        <v>70000</v>
      </c>
      <c r="S139" s="2969" t="s">
        <v>297</v>
      </c>
      <c r="T139" s="203">
        <v>15</v>
      </c>
      <c r="U139" s="204">
        <v>15</v>
      </c>
      <c r="V139" s="205">
        <v>15</v>
      </c>
    </row>
    <row r="140" spans="1:31" s="2" customFormat="1" ht="16.5" customHeight="1" x14ac:dyDescent="0.25">
      <c r="A140" s="1066"/>
      <c r="B140" s="1067"/>
      <c r="C140" s="1117"/>
      <c r="D140" s="601"/>
      <c r="E140" s="31"/>
      <c r="F140" s="21"/>
      <c r="G140" s="124"/>
      <c r="H140" s="27"/>
      <c r="I140" s="128"/>
      <c r="J140" s="202" t="s">
        <v>176</v>
      </c>
      <c r="K140" s="498">
        <v>716</v>
      </c>
      <c r="L140" s="498">
        <v>716</v>
      </c>
      <c r="M140" s="66"/>
      <c r="N140" s="67"/>
      <c r="O140" s="636"/>
      <c r="P140" s="68"/>
      <c r="Q140" s="43"/>
      <c r="R140" s="43"/>
      <c r="S140" s="2970"/>
      <c r="T140" s="637"/>
      <c r="U140" s="638"/>
      <c r="V140" s="639"/>
    </row>
    <row r="141" spans="1:31" s="2" customFormat="1" ht="16.5" customHeight="1" x14ac:dyDescent="0.25">
      <c r="A141" s="1066"/>
      <c r="B141" s="1067"/>
      <c r="C141" s="1117"/>
      <c r="D141" s="601"/>
      <c r="E141" s="31"/>
      <c r="F141" s="21"/>
      <c r="G141" s="124"/>
      <c r="H141" s="27"/>
      <c r="I141" s="128"/>
      <c r="J141" s="633" t="s">
        <v>52</v>
      </c>
      <c r="K141" s="496">
        <f>43791</f>
        <v>43791</v>
      </c>
      <c r="L141" s="340">
        <v>52699</v>
      </c>
      <c r="M141" s="320">
        <f>N141+P141</f>
        <v>137100</v>
      </c>
      <c r="N141" s="40">
        <v>94200</v>
      </c>
      <c r="O141" s="83"/>
      <c r="P141" s="84">
        <v>42900</v>
      </c>
      <c r="Q141" s="28">
        <f>M141</f>
        <v>137100</v>
      </c>
      <c r="R141" s="28">
        <f>M141</f>
        <v>137100</v>
      </c>
      <c r="S141" s="172"/>
      <c r="T141" s="637"/>
      <c r="U141" s="638"/>
      <c r="V141" s="639"/>
    </row>
    <row r="142" spans="1:31" s="2" customFormat="1" ht="16.5" customHeight="1" thickBot="1" x14ac:dyDescent="0.3">
      <c r="A142" s="1057"/>
      <c r="B142" s="1059"/>
      <c r="C142" s="1075"/>
      <c r="D142" s="605"/>
      <c r="E142" s="961"/>
      <c r="F142" s="1111"/>
      <c r="G142" s="93"/>
      <c r="H142" s="922"/>
      <c r="I142" s="82"/>
      <c r="J142" s="94" t="s">
        <v>36</v>
      </c>
      <c r="K142" s="455">
        <f t="shared" ref="K142:R142" si="23">SUM(K136:K141)</f>
        <v>73469</v>
      </c>
      <c r="L142" s="547">
        <f t="shared" si="23"/>
        <v>117377</v>
      </c>
      <c r="M142" s="455">
        <f t="shared" si="23"/>
        <v>277000</v>
      </c>
      <c r="N142" s="459">
        <f t="shared" si="23"/>
        <v>215700</v>
      </c>
      <c r="O142" s="458">
        <f t="shared" si="23"/>
        <v>0</v>
      </c>
      <c r="P142" s="456">
        <f t="shared" si="23"/>
        <v>61300</v>
      </c>
      <c r="Q142" s="457">
        <f t="shared" si="23"/>
        <v>277000</v>
      </c>
      <c r="R142" s="457">
        <f t="shared" si="23"/>
        <v>277000</v>
      </c>
      <c r="S142" s="923"/>
      <c r="T142" s="1063"/>
      <c r="U142" s="207"/>
      <c r="V142" s="208"/>
    </row>
    <row r="143" spans="1:31" s="2" customFormat="1" ht="25.5" customHeight="1" x14ac:dyDescent="0.25">
      <c r="A143" s="1056" t="s">
        <v>22</v>
      </c>
      <c r="B143" s="1058" t="s">
        <v>50</v>
      </c>
      <c r="C143" s="1074" t="s">
        <v>97</v>
      </c>
      <c r="D143" s="627"/>
      <c r="E143" s="2602" t="s">
        <v>98</v>
      </c>
      <c r="F143" s="1110"/>
      <c r="G143" s="89">
        <v>10</v>
      </c>
      <c r="H143" s="2604">
        <v>3</v>
      </c>
      <c r="I143" s="2963" t="s">
        <v>162</v>
      </c>
      <c r="J143" s="1124" t="s">
        <v>52</v>
      </c>
      <c r="K143" s="1076">
        <v>144810</v>
      </c>
      <c r="L143" s="548">
        <v>144810</v>
      </c>
      <c r="M143" s="78">
        <f>N143</f>
        <v>164600</v>
      </c>
      <c r="N143" s="1072">
        <v>164600</v>
      </c>
      <c r="O143" s="378"/>
      <c r="P143" s="608"/>
      <c r="Q143" s="1072">
        <f>M143</f>
        <v>164600</v>
      </c>
      <c r="R143" s="1072">
        <f>N143</f>
        <v>164600</v>
      </c>
      <c r="S143" s="1126" t="s">
        <v>99</v>
      </c>
      <c r="T143" s="1062">
        <v>170</v>
      </c>
      <c r="U143" s="210">
        <v>170</v>
      </c>
      <c r="V143" s="211">
        <v>107</v>
      </c>
    </row>
    <row r="144" spans="1:31" s="2" customFormat="1" ht="16.5" customHeight="1" thickBot="1" x14ac:dyDescent="0.25">
      <c r="A144" s="1066"/>
      <c r="B144" s="1067"/>
      <c r="C144" s="1075"/>
      <c r="D144" s="605"/>
      <c r="E144" s="2637"/>
      <c r="F144" s="190"/>
      <c r="G144" s="194"/>
      <c r="H144" s="2965"/>
      <c r="I144" s="2964"/>
      <c r="J144" s="142" t="s">
        <v>36</v>
      </c>
      <c r="K144" s="469">
        <f>SUM(K143:K143)</f>
        <v>144810</v>
      </c>
      <c r="L144" s="625">
        <f>SUM(L143:L143)</f>
        <v>144810</v>
      </c>
      <c r="M144" s="469">
        <f>N144+P144</f>
        <v>164600</v>
      </c>
      <c r="N144" s="586">
        <f>SUM(N143:N143)</f>
        <v>164600</v>
      </c>
      <c r="O144" s="587"/>
      <c r="P144" s="470"/>
      <c r="Q144" s="80">
        <f>Q143</f>
        <v>164600</v>
      </c>
      <c r="R144" s="478">
        <f>R143</f>
        <v>164600</v>
      </c>
      <c r="S144" s="1103"/>
      <c r="T144" s="20"/>
      <c r="U144" s="47"/>
      <c r="V144" s="48"/>
    </row>
    <row r="145" spans="1:29" s="2" customFormat="1" ht="29.25" customHeight="1" x14ac:dyDescent="0.25">
      <c r="A145" s="1056" t="s">
        <v>22</v>
      </c>
      <c r="B145" s="1058" t="s">
        <v>50</v>
      </c>
      <c r="C145" s="1074" t="s">
        <v>100</v>
      </c>
      <c r="D145" s="627"/>
      <c r="E145" s="2600" t="s">
        <v>101</v>
      </c>
      <c r="F145" s="2983"/>
      <c r="G145" s="2916" t="s">
        <v>26</v>
      </c>
      <c r="H145" s="2984">
        <v>5</v>
      </c>
      <c r="I145" s="2966" t="s">
        <v>237</v>
      </c>
      <c r="J145" s="1076" t="s">
        <v>31</v>
      </c>
      <c r="K145" s="107"/>
      <c r="L145" s="628"/>
      <c r="M145" s="640"/>
      <c r="N145" s="641"/>
      <c r="O145" s="607"/>
      <c r="P145" s="109"/>
      <c r="Q145" s="642">
        <v>50000</v>
      </c>
      <c r="R145" s="569">
        <v>75000</v>
      </c>
      <c r="S145" s="77" t="s">
        <v>102</v>
      </c>
      <c r="T145" s="78"/>
      <c r="U145" s="1072">
        <v>1</v>
      </c>
      <c r="V145" s="79"/>
    </row>
    <row r="146" spans="1:29" s="2" customFormat="1" ht="16.5" customHeight="1" x14ac:dyDescent="0.25">
      <c r="A146" s="1066"/>
      <c r="B146" s="1067"/>
      <c r="C146" s="1117"/>
      <c r="D146" s="601"/>
      <c r="E146" s="2524"/>
      <c r="F146" s="2971"/>
      <c r="G146" s="2973"/>
      <c r="H146" s="2974"/>
      <c r="I146" s="2920"/>
      <c r="J146" s="121" t="s">
        <v>103</v>
      </c>
      <c r="K146" s="383"/>
      <c r="L146" s="498"/>
      <c r="M146" s="403"/>
      <c r="N146" s="566"/>
      <c r="O146" s="391"/>
      <c r="P146" s="643"/>
      <c r="Q146" s="1120"/>
      <c r="R146" s="244">
        <v>425000</v>
      </c>
      <c r="S146" s="2620" t="s">
        <v>104</v>
      </c>
      <c r="T146" s="2985"/>
      <c r="U146" s="2978"/>
      <c r="V146" s="2980">
        <v>50</v>
      </c>
    </row>
    <row r="147" spans="1:29" s="2" customFormat="1" ht="16.5" customHeight="1" thickBot="1" x14ac:dyDescent="0.3">
      <c r="A147" s="1057"/>
      <c r="B147" s="1059"/>
      <c r="C147" s="1075"/>
      <c r="D147" s="605"/>
      <c r="E147" s="2601"/>
      <c r="F147" s="2972"/>
      <c r="G147" s="2917"/>
      <c r="H147" s="2975"/>
      <c r="I147" s="2976"/>
      <c r="J147" s="536" t="s">
        <v>36</v>
      </c>
      <c r="K147" s="536"/>
      <c r="L147" s="644"/>
      <c r="M147" s="457"/>
      <c r="N147" s="645"/>
      <c r="O147" s="459"/>
      <c r="P147" s="537"/>
      <c r="Q147" s="80">
        <f>SUM(Q145:Q146)</f>
        <v>50000</v>
      </c>
      <c r="R147" s="80">
        <f>SUM(R145:R146)</f>
        <v>500000</v>
      </c>
      <c r="S147" s="2549"/>
      <c r="T147" s="2986"/>
      <c r="U147" s="2979"/>
      <c r="V147" s="2981"/>
      <c r="AC147" s="3"/>
    </row>
    <row r="148" spans="1:29" s="2" customFormat="1" ht="37.5" customHeight="1" x14ac:dyDescent="0.25">
      <c r="A148" s="1056" t="s">
        <v>22</v>
      </c>
      <c r="B148" s="1058" t="s">
        <v>50</v>
      </c>
      <c r="C148" s="1074" t="s">
        <v>211</v>
      </c>
      <c r="D148" s="627"/>
      <c r="E148" s="2600" t="s">
        <v>238</v>
      </c>
      <c r="F148" s="2983"/>
      <c r="G148" s="2916" t="s">
        <v>26</v>
      </c>
      <c r="H148" s="2984" t="s">
        <v>27</v>
      </c>
      <c r="I148" s="2966" t="s">
        <v>239</v>
      </c>
      <c r="J148" s="1076" t="s">
        <v>103</v>
      </c>
      <c r="K148" s="107">
        <v>189354</v>
      </c>
      <c r="L148" s="628">
        <v>189354</v>
      </c>
      <c r="M148" s="640"/>
      <c r="N148" s="641"/>
      <c r="O148" s="607"/>
      <c r="P148" s="109"/>
      <c r="Q148" s="642"/>
      <c r="R148" s="569"/>
      <c r="S148" s="77"/>
      <c r="T148" s="646"/>
      <c r="U148" s="647"/>
      <c r="V148" s="648"/>
    </row>
    <row r="149" spans="1:29" s="2" customFormat="1" ht="37.5" customHeight="1" x14ac:dyDescent="0.25">
      <c r="A149" s="1066"/>
      <c r="B149" s="1067"/>
      <c r="C149" s="1117"/>
      <c r="D149" s="601"/>
      <c r="E149" s="2524"/>
      <c r="F149" s="2971"/>
      <c r="G149" s="2973"/>
      <c r="H149" s="2974"/>
      <c r="I149" s="2920"/>
      <c r="J149" s="121" t="s">
        <v>52</v>
      </c>
      <c r="K149" s="383">
        <v>33422</v>
      </c>
      <c r="L149" s="498">
        <v>33422</v>
      </c>
      <c r="M149" s="403"/>
      <c r="N149" s="566"/>
      <c r="O149" s="391"/>
      <c r="P149" s="643"/>
      <c r="Q149" s="1120"/>
      <c r="R149" s="244"/>
      <c r="S149" s="2620"/>
      <c r="T149" s="2985"/>
      <c r="U149" s="2978"/>
      <c r="V149" s="2980"/>
    </row>
    <row r="150" spans="1:29" s="2" customFormat="1" ht="16.5" customHeight="1" thickBot="1" x14ac:dyDescent="0.3">
      <c r="A150" s="1057"/>
      <c r="B150" s="1059"/>
      <c r="C150" s="1075"/>
      <c r="D150" s="605"/>
      <c r="E150" s="2601"/>
      <c r="F150" s="2972"/>
      <c r="G150" s="2917"/>
      <c r="H150" s="2975"/>
      <c r="I150" s="2976"/>
      <c r="J150" s="536" t="s">
        <v>36</v>
      </c>
      <c r="K150" s="536">
        <f>SUM(K148:K149)</f>
        <v>222776</v>
      </c>
      <c r="L150" s="644">
        <f>SUM(L148:L149)</f>
        <v>222776</v>
      </c>
      <c r="M150" s="457"/>
      <c r="N150" s="645"/>
      <c r="O150" s="459"/>
      <c r="P150" s="537"/>
      <c r="Q150" s="80"/>
      <c r="R150" s="455"/>
      <c r="S150" s="2549"/>
      <c r="T150" s="2986"/>
      <c r="U150" s="2979"/>
      <c r="V150" s="2981"/>
    </row>
    <row r="151" spans="1:29" s="2" customFormat="1" ht="14.25" customHeight="1" x14ac:dyDescent="0.25">
      <c r="A151" s="1056" t="s">
        <v>22</v>
      </c>
      <c r="B151" s="1058" t="s">
        <v>50</v>
      </c>
      <c r="C151" s="1074" t="s">
        <v>214</v>
      </c>
      <c r="D151" s="627"/>
      <c r="E151" s="2600" t="s">
        <v>240</v>
      </c>
      <c r="F151" s="2983"/>
      <c r="G151" s="2916" t="s">
        <v>26</v>
      </c>
      <c r="H151" s="2984" t="s">
        <v>27</v>
      </c>
      <c r="I151" s="2966" t="s">
        <v>161</v>
      </c>
      <c r="J151" s="13" t="s">
        <v>31</v>
      </c>
      <c r="K151" s="452">
        <v>11585</v>
      </c>
      <c r="L151" s="548">
        <v>28085</v>
      </c>
      <c r="M151" s="640"/>
      <c r="N151" s="607"/>
      <c r="O151" s="649"/>
      <c r="P151" s="79"/>
      <c r="Q151" s="290"/>
      <c r="R151" s="219"/>
      <c r="S151" s="650"/>
      <c r="T151" s="334"/>
      <c r="U151" s="16"/>
      <c r="V151" s="335"/>
    </row>
    <row r="152" spans="1:29" s="2" customFormat="1" ht="14.25" customHeight="1" thickBot="1" x14ac:dyDescent="0.3">
      <c r="A152" s="1066"/>
      <c r="B152" s="1067"/>
      <c r="C152" s="1075"/>
      <c r="D152" s="605"/>
      <c r="E152" s="2982"/>
      <c r="F152" s="2972"/>
      <c r="G152" s="2917"/>
      <c r="H152" s="2975"/>
      <c r="I152" s="2976"/>
      <c r="J152" s="80" t="s">
        <v>36</v>
      </c>
      <c r="K152" s="458">
        <f>K151</f>
        <v>11585</v>
      </c>
      <c r="L152" s="547">
        <f>L151</f>
        <v>28085</v>
      </c>
      <c r="M152" s="457"/>
      <c r="N152" s="458"/>
      <c r="O152" s="459"/>
      <c r="P152" s="478"/>
      <c r="Q152" s="80"/>
      <c r="R152" s="458"/>
      <c r="S152" s="1071"/>
      <c r="T152" s="96"/>
      <c r="U152" s="1084"/>
      <c r="V152" s="1086"/>
    </row>
    <row r="153" spans="1:29" s="2" customFormat="1" ht="16.5" customHeight="1" thickBot="1" x14ac:dyDescent="0.3">
      <c r="A153" s="7" t="s">
        <v>22</v>
      </c>
      <c r="B153" s="8" t="s">
        <v>50</v>
      </c>
      <c r="C153" s="2541" t="s">
        <v>62</v>
      </c>
      <c r="D153" s="2541"/>
      <c r="E153" s="2541"/>
      <c r="F153" s="2541"/>
      <c r="G153" s="2541"/>
      <c r="H153" s="2541"/>
      <c r="I153" s="2541"/>
      <c r="J153" s="2563"/>
      <c r="K153" s="479">
        <f t="shared" ref="K153:R153" si="24">K152+K150+K147+K144+K142+K135+K126+K116+K114</f>
        <v>5420365</v>
      </c>
      <c r="L153" s="480">
        <f t="shared" si="24"/>
        <v>5484493</v>
      </c>
      <c r="M153" s="479">
        <f t="shared" si="24"/>
        <v>5714900</v>
      </c>
      <c r="N153" s="479">
        <f t="shared" si="24"/>
        <v>5620800</v>
      </c>
      <c r="O153" s="479">
        <f t="shared" si="24"/>
        <v>2430259</v>
      </c>
      <c r="P153" s="479">
        <f t="shared" si="24"/>
        <v>94100</v>
      </c>
      <c r="Q153" s="479">
        <f t="shared" si="24"/>
        <v>5655300</v>
      </c>
      <c r="R153" s="479">
        <f t="shared" si="24"/>
        <v>6107500</v>
      </c>
      <c r="S153" s="2542"/>
      <c r="T153" s="2543"/>
      <c r="U153" s="2543"/>
      <c r="V153" s="2544"/>
    </row>
    <row r="154" spans="1:29" s="2" customFormat="1" ht="16.5" customHeight="1" thickBot="1" x14ac:dyDescent="0.3">
      <c r="A154" s="99" t="s">
        <v>22</v>
      </c>
      <c r="B154" s="8" t="s">
        <v>54</v>
      </c>
      <c r="C154" s="2585" t="s">
        <v>105</v>
      </c>
      <c r="D154" s="2585"/>
      <c r="E154" s="2585"/>
      <c r="F154" s="2585"/>
      <c r="G154" s="2585"/>
      <c r="H154" s="2585"/>
      <c r="I154" s="2585"/>
      <c r="J154" s="2585"/>
      <c r="K154" s="2585"/>
      <c r="L154" s="2585"/>
      <c r="M154" s="2585"/>
      <c r="N154" s="2585"/>
      <c r="O154" s="2585"/>
      <c r="P154" s="2585"/>
      <c r="Q154" s="2585"/>
      <c r="R154" s="2585"/>
      <c r="S154" s="2585"/>
      <c r="T154" s="2585"/>
      <c r="U154" s="2585"/>
      <c r="V154" s="2586"/>
    </row>
    <row r="155" spans="1:29" s="3" customFormat="1" ht="54.75" customHeight="1" x14ac:dyDescent="0.25">
      <c r="A155" s="213" t="s">
        <v>22</v>
      </c>
      <c r="B155" s="1058" t="s">
        <v>54</v>
      </c>
      <c r="C155" s="651" t="s">
        <v>22</v>
      </c>
      <c r="D155" s="652"/>
      <c r="E155" s="215" t="s">
        <v>106</v>
      </c>
      <c r="F155" s="216"/>
      <c r="G155" s="217"/>
      <c r="H155" s="218"/>
      <c r="I155" s="1101"/>
      <c r="J155" s="219"/>
      <c r="K155" s="153"/>
      <c r="L155" s="653"/>
      <c r="M155" s="654"/>
      <c r="N155" s="489"/>
      <c r="O155" s="489"/>
      <c r="P155" s="655"/>
      <c r="Q155" s="656"/>
      <c r="R155" s="153"/>
      <c r="S155" s="222"/>
      <c r="T155" s="222"/>
      <c r="U155" s="223"/>
      <c r="V155" s="224"/>
    </row>
    <row r="156" spans="1:29" s="3" customFormat="1" ht="27.75" customHeight="1" x14ac:dyDescent="0.25">
      <c r="A156" s="225"/>
      <c r="B156" s="1067"/>
      <c r="C156" s="657"/>
      <c r="D156" s="658" t="s">
        <v>22</v>
      </c>
      <c r="E156" s="2573" t="s">
        <v>285</v>
      </c>
      <c r="F156" s="237"/>
      <c r="G156" s="238" t="s">
        <v>26</v>
      </c>
      <c r="H156" s="239">
        <v>6</v>
      </c>
      <c r="I156" s="2996" t="s">
        <v>241</v>
      </c>
      <c r="J156" s="1120" t="s">
        <v>31</v>
      </c>
      <c r="K156" s="600"/>
      <c r="L156" s="659"/>
      <c r="M156" s="660">
        <v>48000</v>
      </c>
      <c r="N156" s="1133"/>
      <c r="O156" s="1133"/>
      <c r="P156" s="661">
        <v>48000</v>
      </c>
      <c r="Q156" s="1120">
        <v>232000</v>
      </c>
      <c r="R156" s="1120"/>
      <c r="S156" s="662" t="s">
        <v>107</v>
      </c>
      <c r="T156" s="244">
        <v>1</v>
      </c>
      <c r="U156" s="1133"/>
      <c r="V156" s="245"/>
    </row>
    <row r="157" spans="1:29" s="3" customFormat="1" ht="14.25" customHeight="1" x14ac:dyDescent="0.25">
      <c r="A157" s="225"/>
      <c r="B157" s="1067"/>
      <c r="C157" s="657"/>
      <c r="D157" s="658"/>
      <c r="E157" s="2573"/>
      <c r="F157" s="233"/>
      <c r="G157" s="234"/>
      <c r="H157" s="235"/>
      <c r="I157" s="2996"/>
      <c r="J157" s="1120"/>
      <c r="K157" s="600"/>
      <c r="L157" s="659"/>
      <c r="M157" s="660"/>
      <c r="N157" s="1133"/>
      <c r="O157" s="1133"/>
      <c r="P157" s="661"/>
      <c r="Q157" s="1120"/>
      <c r="R157" s="439"/>
      <c r="S157" s="24" t="s">
        <v>108</v>
      </c>
      <c r="T157" s="231">
        <v>10</v>
      </c>
      <c r="U157" s="1132">
        <v>100</v>
      </c>
      <c r="V157" s="232"/>
    </row>
    <row r="158" spans="1:29" s="3" customFormat="1" ht="14.25" customHeight="1" x14ac:dyDescent="0.25">
      <c r="A158" s="225"/>
      <c r="B158" s="1067"/>
      <c r="C158" s="925"/>
      <c r="D158" s="663"/>
      <c r="E158" s="2995"/>
      <c r="F158" s="278"/>
      <c r="G158" s="279"/>
      <c r="H158" s="664"/>
      <c r="I158" s="2994"/>
      <c r="J158" s="261" t="s">
        <v>36</v>
      </c>
      <c r="K158" s="665"/>
      <c r="L158" s="666"/>
      <c r="M158" s="667">
        <f>SUM(M156:M157)</f>
        <v>48000</v>
      </c>
      <c r="N158" s="668"/>
      <c r="O158" s="668"/>
      <c r="P158" s="668">
        <f>SUM(P156:P157)</f>
        <v>48000</v>
      </c>
      <c r="Q158" s="64">
        <f t="shared" ref="Q158" si="25">SUM(Q156:Q157)</f>
        <v>232000</v>
      </c>
      <c r="R158" s="669"/>
      <c r="S158" s="670"/>
      <c r="T158" s="562"/>
      <c r="U158" s="563"/>
      <c r="V158" s="564"/>
    </row>
    <row r="159" spans="1:29" s="3" customFormat="1" ht="20.25" customHeight="1" x14ac:dyDescent="0.25">
      <c r="A159" s="225"/>
      <c r="B159" s="1067"/>
      <c r="C159" s="995"/>
      <c r="D159" s="994" t="s">
        <v>50</v>
      </c>
      <c r="E159" s="2573" t="s">
        <v>109</v>
      </c>
      <c r="F159" s="237"/>
      <c r="G159" s="238" t="s">
        <v>26</v>
      </c>
      <c r="H159" s="239">
        <v>6</v>
      </c>
      <c r="I159" s="2996" t="s">
        <v>241</v>
      </c>
      <c r="J159" s="1120" t="s">
        <v>31</v>
      </c>
      <c r="K159" s="600">
        <v>8689</v>
      </c>
      <c r="L159" s="659">
        <v>8689</v>
      </c>
      <c r="M159" s="660">
        <v>69100</v>
      </c>
      <c r="N159" s="933">
        <v>69100</v>
      </c>
      <c r="O159" s="1133"/>
      <c r="P159" s="763"/>
      <c r="Q159" s="1120"/>
      <c r="R159" s="244"/>
      <c r="S159" s="243" t="s">
        <v>110</v>
      </c>
      <c r="T159" s="244">
        <v>100</v>
      </c>
      <c r="U159" s="1133"/>
      <c r="V159" s="245"/>
    </row>
    <row r="160" spans="1:29" s="3" customFormat="1" ht="20.25" customHeight="1" x14ac:dyDescent="0.25">
      <c r="A160" s="225"/>
      <c r="B160" s="1067"/>
      <c r="C160" s="657"/>
      <c r="D160" s="658"/>
      <c r="E160" s="2573"/>
      <c r="F160" s="233"/>
      <c r="G160" s="234"/>
      <c r="H160" s="235"/>
      <c r="I160" s="2996"/>
      <c r="J160" s="1121"/>
      <c r="K160" s="676"/>
      <c r="L160" s="677"/>
      <c r="M160" s="678"/>
      <c r="N160" s="679"/>
      <c r="O160" s="679"/>
      <c r="P160" s="679"/>
      <c r="Q160" s="1121"/>
      <c r="R160" s="439"/>
      <c r="S160" s="243"/>
      <c r="T160" s="244"/>
      <c r="U160" s="1133"/>
      <c r="V160" s="245"/>
    </row>
    <row r="161" spans="1:22" s="3" customFormat="1" ht="15.75" customHeight="1" x14ac:dyDescent="0.25">
      <c r="A161" s="225"/>
      <c r="B161" s="1067"/>
      <c r="C161" s="657"/>
      <c r="D161" s="663"/>
      <c r="E161" s="2995"/>
      <c r="F161" s="278"/>
      <c r="G161" s="279"/>
      <c r="H161" s="664"/>
      <c r="I161" s="2994"/>
      <c r="J161" s="261" t="s">
        <v>36</v>
      </c>
      <c r="K161" s="665">
        <f>K159</f>
        <v>8689</v>
      </c>
      <c r="L161" s="666">
        <f>L159</f>
        <v>8689</v>
      </c>
      <c r="M161" s="665">
        <f>SUM(M159:M160)</f>
        <v>69100</v>
      </c>
      <c r="N161" s="680">
        <f>SUM(N159:N160)</f>
        <v>69100</v>
      </c>
      <c r="O161" s="680"/>
      <c r="P161" s="681"/>
      <c r="Q161" s="64"/>
      <c r="R161" s="669"/>
      <c r="S161" s="252"/>
      <c r="T161" s="562"/>
      <c r="U161" s="563"/>
      <c r="V161" s="564"/>
    </row>
    <row r="162" spans="1:22" s="1" customFormat="1" ht="38.25" customHeight="1" x14ac:dyDescent="0.2">
      <c r="A162" s="225"/>
      <c r="B162" s="1067"/>
      <c r="C162" s="657"/>
      <c r="D162" s="671" t="s">
        <v>54</v>
      </c>
      <c r="E162" s="2709" t="s">
        <v>286</v>
      </c>
      <c r="F162" s="682"/>
      <c r="G162" s="683" t="s">
        <v>26</v>
      </c>
      <c r="H162" s="2988" t="s">
        <v>95</v>
      </c>
      <c r="I162" s="2990" t="s">
        <v>241</v>
      </c>
      <c r="J162" s="122" t="s">
        <v>31</v>
      </c>
      <c r="K162" s="383">
        <v>2896</v>
      </c>
      <c r="L162" s="419">
        <v>2896</v>
      </c>
      <c r="M162" s="1082">
        <v>41200</v>
      </c>
      <c r="N162" s="440"/>
      <c r="O162" s="1083"/>
      <c r="P162" s="543">
        <v>41200</v>
      </c>
      <c r="Q162" s="271"/>
      <c r="R162" s="528"/>
      <c r="S162" s="247" t="s">
        <v>111</v>
      </c>
      <c r="T162" s="248">
        <v>20</v>
      </c>
      <c r="U162" s="249"/>
      <c r="V162" s="250"/>
    </row>
    <row r="163" spans="1:22" s="1" customFormat="1" ht="16.5" customHeight="1" x14ac:dyDescent="0.2">
      <c r="A163" s="225"/>
      <c r="B163" s="1067"/>
      <c r="C163" s="657"/>
      <c r="D163" s="658"/>
      <c r="E163" s="2987"/>
      <c r="F163" s="684"/>
      <c r="G163" s="685"/>
      <c r="H163" s="2989"/>
      <c r="I163" s="2991"/>
      <c r="J163" s="567" t="s">
        <v>36</v>
      </c>
      <c r="K163" s="397">
        <f>K162</f>
        <v>2896</v>
      </c>
      <c r="L163" s="398">
        <f>L162</f>
        <v>2896</v>
      </c>
      <c r="M163" s="401">
        <f>SUM(M162:M162)</f>
        <v>41200</v>
      </c>
      <c r="N163" s="430"/>
      <c r="O163" s="430"/>
      <c r="P163" s="400">
        <f>P162</f>
        <v>41200</v>
      </c>
      <c r="Q163" s="36"/>
      <c r="R163" s="397"/>
      <c r="S163" s="252" t="s">
        <v>287</v>
      </c>
      <c r="T163" s="253">
        <v>2400</v>
      </c>
      <c r="U163" s="686"/>
      <c r="V163" s="687"/>
    </row>
    <row r="164" spans="1:22" s="3" customFormat="1" ht="36" customHeight="1" x14ac:dyDescent="0.25">
      <c r="A164" s="225"/>
      <c r="B164" s="1067"/>
      <c r="C164" s="657"/>
      <c r="D164" s="671" t="s">
        <v>56</v>
      </c>
      <c r="E164" s="2992" t="s">
        <v>112</v>
      </c>
      <c r="F164" s="264"/>
      <c r="G164" s="228" t="s">
        <v>26</v>
      </c>
      <c r="H164" s="1130">
        <v>6</v>
      </c>
      <c r="I164" s="2993" t="s">
        <v>241</v>
      </c>
      <c r="J164" s="256" t="s">
        <v>31</v>
      </c>
      <c r="K164" s="114">
        <v>28962</v>
      </c>
      <c r="L164" s="688">
        <v>28962</v>
      </c>
      <c r="M164" s="526">
        <v>700000</v>
      </c>
      <c r="N164" s="572"/>
      <c r="O164" s="527"/>
      <c r="P164" s="689">
        <f>M164</f>
        <v>700000</v>
      </c>
      <c r="Q164" s="692"/>
      <c r="R164" s="114"/>
      <c r="S164" s="257" t="s">
        <v>113</v>
      </c>
      <c r="T164" s="45">
        <v>100</v>
      </c>
      <c r="U164" s="46"/>
      <c r="V164" s="232"/>
    </row>
    <row r="165" spans="1:22" s="3" customFormat="1" ht="16.5" customHeight="1" x14ac:dyDescent="0.25">
      <c r="A165" s="225"/>
      <c r="B165" s="1067"/>
      <c r="C165" s="657"/>
      <c r="D165" s="658"/>
      <c r="E165" s="2573"/>
      <c r="F165" s="233"/>
      <c r="G165" s="238"/>
      <c r="H165" s="693"/>
      <c r="I165" s="2994"/>
      <c r="J165" s="694" t="s">
        <v>36</v>
      </c>
      <c r="K165" s="695">
        <f>K164</f>
        <v>28962</v>
      </c>
      <c r="L165" s="696">
        <f>L164</f>
        <v>28962</v>
      </c>
      <c r="M165" s="697">
        <f>N165+P165</f>
        <v>700000</v>
      </c>
      <c r="N165" s="698"/>
      <c r="O165" s="698"/>
      <c r="P165" s="698">
        <f>SUM(P164:P164)</f>
        <v>700000</v>
      </c>
      <c r="Q165" s="303"/>
      <c r="R165" s="699"/>
      <c r="S165" s="700"/>
      <c r="T165" s="701"/>
      <c r="U165" s="570"/>
      <c r="V165" s="276"/>
    </row>
    <row r="166" spans="1:22" s="3" customFormat="1" ht="19.5" customHeight="1" x14ac:dyDescent="0.25">
      <c r="A166" s="225"/>
      <c r="B166" s="1067"/>
      <c r="C166" s="657"/>
      <c r="D166" s="671" t="s">
        <v>59</v>
      </c>
      <c r="E166" s="2992" t="s">
        <v>114</v>
      </c>
      <c r="F166" s="227"/>
      <c r="G166" s="672" t="s">
        <v>26</v>
      </c>
      <c r="H166" s="702">
        <v>6</v>
      </c>
      <c r="I166" s="2990" t="s">
        <v>241</v>
      </c>
      <c r="J166" s="229" t="s">
        <v>31</v>
      </c>
      <c r="K166" s="45"/>
      <c r="L166" s="673"/>
      <c r="M166" s="674">
        <v>4600</v>
      </c>
      <c r="N166" s="1132">
        <v>4600</v>
      </c>
      <c r="O166" s="1132"/>
      <c r="P166" s="703"/>
      <c r="Q166" s="229"/>
      <c r="R166" s="231"/>
      <c r="S166" s="24" t="s">
        <v>108</v>
      </c>
      <c r="T166" s="259">
        <v>100</v>
      </c>
      <c r="U166" s="1132"/>
      <c r="V166" s="232"/>
    </row>
    <row r="167" spans="1:22" s="3" customFormat="1" ht="19.5" customHeight="1" x14ac:dyDescent="0.25">
      <c r="A167" s="225"/>
      <c r="B167" s="1067"/>
      <c r="C167" s="657"/>
      <c r="D167" s="658"/>
      <c r="E167" s="2573"/>
      <c r="F167" s="233"/>
      <c r="G167" s="234"/>
      <c r="H167" s="260"/>
      <c r="I167" s="2968"/>
      <c r="J167" s="229"/>
      <c r="K167" s="45"/>
      <c r="L167" s="673"/>
      <c r="M167" s="674"/>
      <c r="N167" s="1132"/>
      <c r="O167" s="1132"/>
      <c r="P167" s="703"/>
      <c r="Q167" s="229"/>
      <c r="R167" s="528"/>
      <c r="S167" s="662"/>
      <c r="T167" s="263"/>
      <c r="U167" s="1133"/>
      <c r="V167" s="245"/>
    </row>
    <row r="168" spans="1:22" s="3" customFormat="1" ht="15" customHeight="1" x14ac:dyDescent="0.25">
      <c r="A168" s="225"/>
      <c r="B168" s="1067"/>
      <c r="C168" s="657"/>
      <c r="D168" s="663"/>
      <c r="E168" s="2995"/>
      <c r="F168" s="278"/>
      <c r="G168" s="279"/>
      <c r="H168" s="280"/>
      <c r="I168" s="2991"/>
      <c r="J168" s="261" t="s">
        <v>36</v>
      </c>
      <c r="K168" s="665"/>
      <c r="L168" s="666"/>
      <c r="M168" s="667">
        <f>SUM(M166:M167)</f>
        <v>4600</v>
      </c>
      <c r="N168" s="668">
        <f>SUM(N166:N167)</f>
        <v>4600</v>
      </c>
      <c r="O168" s="668"/>
      <c r="P168" s="668"/>
      <c r="Q168" s="64"/>
      <c r="R168" s="669"/>
      <c r="S168" s="670"/>
      <c r="T168" s="274"/>
      <c r="U168" s="563"/>
      <c r="V168" s="564"/>
    </row>
    <row r="169" spans="1:22" s="3" customFormat="1" ht="29.25" customHeight="1" x14ac:dyDescent="0.25">
      <c r="A169" s="225"/>
      <c r="B169" s="1067"/>
      <c r="C169" s="657"/>
      <c r="D169" s="658" t="s">
        <v>97</v>
      </c>
      <c r="E169" s="2573" t="s">
        <v>269</v>
      </c>
      <c r="F169" s="237" t="s">
        <v>115</v>
      </c>
      <c r="G169" s="238" t="s">
        <v>26</v>
      </c>
      <c r="H169" s="258">
        <v>5</v>
      </c>
      <c r="I169" s="2968" t="s">
        <v>237</v>
      </c>
      <c r="J169" s="1120" t="s">
        <v>31</v>
      </c>
      <c r="K169" s="600"/>
      <c r="L169" s="659"/>
      <c r="M169" s="660"/>
      <c r="N169" s="1133"/>
      <c r="O169" s="1133"/>
      <c r="P169" s="661"/>
      <c r="Q169" s="1131">
        <v>6200</v>
      </c>
      <c r="R169" s="521">
        <v>49500</v>
      </c>
      <c r="S169" s="1089" t="s">
        <v>116</v>
      </c>
      <c r="T169" s="704"/>
      <c r="U169" s="705">
        <v>1</v>
      </c>
      <c r="V169" s="245"/>
    </row>
    <row r="170" spans="1:22" s="3" customFormat="1" ht="26.25" customHeight="1" x14ac:dyDescent="0.25">
      <c r="A170" s="225"/>
      <c r="B170" s="1067"/>
      <c r="C170" s="657"/>
      <c r="D170" s="658"/>
      <c r="E170" s="2573"/>
      <c r="F170" s="233"/>
      <c r="G170" s="234"/>
      <c r="H170" s="260"/>
      <c r="I170" s="2968"/>
      <c r="J170" s="271" t="s">
        <v>103</v>
      </c>
      <c r="K170" s="114"/>
      <c r="L170" s="688"/>
      <c r="M170" s="706"/>
      <c r="N170" s="707"/>
      <c r="O170" s="707"/>
      <c r="P170" s="707"/>
      <c r="Q170" s="708">
        <v>18600</v>
      </c>
      <c r="R170" s="531">
        <v>280600</v>
      </c>
      <c r="S170" s="266" t="s">
        <v>102</v>
      </c>
      <c r="T170" s="267"/>
      <c r="U170" s="268">
        <v>1</v>
      </c>
      <c r="V170" s="256"/>
    </row>
    <row r="171" spans="1:22" s="3" customFormat="1" ht="16.5" customHeight="1" x14ac:dyDescent="0.25">
      <c r="A171" s="924"/>
      <c r="B171" s="1105"/>
      <c r="C171" s="925"/>
      <c r="D171" s="663"/>
      <c r="E171" s="2995"/>
      <c r="F171" s="278"/>
      <c r="G171" s="279"/>
      <c r="H171" s="280"/>
      <c r="I171" s="2991"/>
      <c r="J171" s="261" t="s">
        <v>36</v>
      </c>
      <c r="K171" s="665"/>
      <c r="L171" s="666"/>
      <c r="M171" s="667"/>
      <c r="N171" s="668"/>
      <c r="O171" s="668"/>
      <c r="P171" s="668"/>
      <c r="Q171" s="64">
        <f>SUM(Q169:Q170)</f>
        <v>24800</v>
      </c>
      <c r="R171" s="669">
        <f>SUM(R169:R170)</f>
        <v>330100</v>
      </c>
      <c r="S171" s="252" t="s">
        <v>117</v>
      </c>
      <c r="T171" s="274"/>
      <c r="U171" s="275"/>
      <c r="V171" s="276">
        <v>80</v>
      </c>
    </row>
    <row r="172" spans="1:22" s="3" customFormat="1" ht="37.5" customHeight="1" x14ac:dyDescent="0.25">
      <c r="A172" s="225"/>
      <c r="B172" s="1067"/>
      <c r="C172" s="657"/>
      <c r="D172" s="658" t="s">
        <v>100</v>
      </c>
      <c r="E172" s="2573" t="s">
        <v>298</v>
      </c>
      <c r="F172" s="254" t="s">
        <v>115</v>
      </c>
      <c r="G172" s="255" t="s">
        <v>26</v>
      </c>
      <c r="H172" s="270">
        <v>5</v>
      </c>
      <c r="I172" s="2968" t="s">
        <v>237</v>
      </c>
      <c r="J172" s="1120" t="s">
        <v>31</v>
      </c>
      <c r="K172" s="600"/>
      <c r="L172" s="659"/>
      <c r="M172" s="660"/>
      <c r="N172" s="1133"/>
      <c r="O172" s="1133"/>
      <c r="P172" s="661"/>
      <c r="Q172" s="709"/>
      <c r="R172" s="521">
        <v>24800</v>
      </c>
      <c r="S172" s="1089" t="s">
        <v>118</v>
      </c>
      <c r="T172" s="704"/>
      <c r="U172" s="705"/>
      <c r="V172" s="996">
        <v>1</v>
      </c>
    </row>
    <row r="173" spans="1:22" s="3" customFormat="1" ht="32.25" customHeight="1" x14ac:dyDescent="0.25">
      <c r="A173" s="225"/>
      <c r="B173" s="1067"/>
      <c r="C173" s="657"/>
      <c r="D173" s="663"/>
      <c r="E173" s="2995"/>
      <c r="F173" s="278"/>
      <c r="G173" s="279"/>
      <c r="H173" s="280"/>
      <c r="I173" s="2991"/>
      <c r="J173" s="261" t="s">
        <v>36</v>
      </c>
      <c r="K173" s="665"/>
      <c r="L173" s="666"/>
      <c r="M173" s="667"/>
      <c r="N173" s="668"/>
      <c r="O173" s="668"/>
      <c r="P173" s="668"/>
      <c r="Q173" s="64"/>
      <c r="R173" s="669">
        <f>SUM(R172:R172)</f>
        <v>24800</v>
      </c>
      <c r="S173" s="266" t="s">
        <v>102</v>
      </c>
      <c r="T173" s="267"/>
      <c r="U173" s="268"/>
      <c r="V173" s="930">
        <v>1</v>
      </c>
    </row>
    <row r="174" spans="1:22" s="3" customFormat="1" ht="40.5" customHeight="1" x14ac:dyDescent="0.2">
      <c r="A174" s="225"/>
      <c r="B174" s="1067"/>
      <c r="C174" s="310"/>
      <c r="D174" s="710" t="s">
        <v>211</v>
      </c>
      <c r="E174" s="2857" t="s">
        <v>242</v>
      </c>
      <c r="F174" s="711" t="s">
        <v>115</v>
      </c>
      <c r="G174" s="1138" t="s">
        <v>26</v>
      </c>
      <c r="H174" s="712">
        <v>5</v>
      </c>
      <c r="I174" s="3004" t="s">
        <v>237</v>
      </c>
      <c r="J174" s="271" t="s">
        <v>31</v>
      </c>
      <c r="K174" s="689">
        <v>93924</v>
      </c>
      <c r="L174" s="713">
        <v>104131</v>
      </c>
      <c r="M174" s="706"/>
      <c r="N174" s="594"/>
      <c r="O174" s="594"/>
      <c r="P174" s="691"/>
      <c r="Q174" s="692"/>
      <c r="R174" s="528"/>
      <c r="S174" s="2857"/>
      <c r="T174" s="714"/>
      <c r="U174" s="2997"/>
      <c r="V174" s="2999"/>
    </row>
    <row r="175" spans="1:22" s="3" customFormat="1" ht="40.5" customHeight="1" x14ac:dyDescent="0.25">
      <c r="A175" s="225"/>
      <c r="B175" s="1067"/>
      <c r="C175" s="310"/>
      <c r="D175" s="715"/>
      <c r="E175" s="2858"/>
      <c r="F175" s="716"/>
      <c r="G175" s="717"/>
      <c r="H175" s="718"/>
      <c r="I175" s="2920"/>
      <c r="J175" s="232" t="s">
        <v>103</v>
      </c>
      <c r="K175" s="689">
        <v>21041</v>
      </c>
      <c r="L175" s="713">
        <v>21041</v>
      </c>
      <c r="M175" s="719"/>
      <c r="N175" s="675"/>
      <c r="O175" s="675"/>
      <c r="P175" s="675"/>
      <c r="Q175" s="692"/>
      <c r="R175" s="528"/>
      <c r="S175" s="2858"/>
      <c r="T175" s="720"/>
      <c r="U175" s="2998"/>
      <c r="V175" s="3000"/>
    </row>
    <row r="176" spans="1:22" s="3" customFormat="1" ht="40.5" customHeight="1" x14ac:dyDescent="0.25">
      <c r="A176" s="225"/>
      <c r="B176" s="1067"/>
      <c r="C176" s="310"/>
      <c r="D176" s="715"/>
      <c r="E176" s="2858"/>
      <c r="F176" s="716"/>
      <c r="G176" s="717"/>
      <c r="H176" s="718"/>
      <c r="I176" s="2920"/>
      <c r="J176" s="232" t="s">
        <v>52</v>
      </c>
      <c r="K176" s="443">
        <v>3713</v>
      </c>
      <c r="L176" s="84">
        <v>3713</v>
      </c>
      <c r="M176" s="719"/>
      <c r="N176" s="675"/>
      <c r="O176" s="675"/>
      <c r="P176" s="675"/>
      <c r="Q176" s="692"/>
      <c r="R176" s="528"/>
      <c r="S176" s="243"/>
      <c r="T176" s="720"/>
      <c r="U176" s="1133"/>
      <c r="V176" s="245"/>
    </row>
    <row r="177" spans="1:22" s="3" customFormat="1" ht="23.25" customHeight="1" x14ac:dyDescent="0.25">
      <c r="A177" s="225"/>
      <c r="B177" s="1067"/>
      <c r="C177" s="310"/>
      <c r="D177" s="715"/>
      <c r="E177" s="3003"/>
      <c r="F177" s="721"/>
      <c r="G177" s="722"/>
      <c r="H177" s="723"/>
      <c r="I177" s="2967"/>
      <c r="J177" s="724" t="s">
        <v>36</v>
      </c>
      <c r="K177" s="669">
        <f>SUM(K174:K176)</f>
        <v>118678</v>
      </c>
      <c r="L177" s="725">
        <f>SUM(L174:L176)</f>
        <v>128885</v>
      </c>
      <c r="M177" s="726"/>
      <c r="N177" s="727"/>
      <c r="O177" s="727"/>
      <c r="P177" s="727"/>
      <c r="Q177" s="64"/>
      <c r="R177" s="669"/>
      <c r="S177" s="252"/>
      <c r="T177" s="562"/>
      <c r="U177" s="563"/>
      <c r="V177" s="564"/>
    </row>
    <row r="178" spans="1:22" s="3" customFormat="1" ht="51" customHeight="1" x14ac:dyDescent="0.25">
      <c r="A178" s="225"/>
      <c r="B178" s="1067"/>
      <c r="C178" s="657"/>
      <c r="D178" s="671" t="s">
        <v>214</v>
      </c>
      <c r="E178" s="2537" t="s">
        <v>243</v>
      </c>
      <c r="F178" s="264"/>
      <c r="G178" s="228" t="s">
        <v>26</v>
      </c>
      <c r="H178" s="265">
        <v>6</v>
      </c>
      <c r="I178" s="2990" t="s">
        <v>244</v>
      </c>
      <c r="J178" s="229" t="s">
        <v>31</v>
      </c>
      <c r="K178" s="163">
        <v>17377</v>
      </c>
      <c r="L178" s="412">
        <v>9824</v>
      </c>
      <c r="M178" s="615"/>
      <c r="N178" s="728"/>
      <c r="O178" s="728"/>
      <c r="P178" s="729"/>
      <c r="Q178" s="730"/>
      <c r="R178" s="731"/>
      <c r="S178" s="3001"/>
      <c r="T178" s="732"/>
      <c r="U178" s="1132"/>
      <c r="V178" s="232"/>
    </row>
    <row r="179" spans="1:22" s="3" customFormat="1" ht="16.5" customHeight="1" x14ac:dyDescent="0.25">
      <c r="A179" s="225"/>
      <c r="B179" s="1067"/>
      <c r="C179" s="657"/>
      <c r="D179" s="658"/>
      <c r="E179" s="2845"/>
      <c r="F179" s="278"/>
      <c r="G179" s="279"/>
      <c r="H179" s="280"/>
      <c r="I179" s="2991"/>
      <c r="J179" s="261" t="s">
        <v>36</v>
      </c>
      <c r="K179" s="733">
        <f>K178</f>
        <v>17377</v>
      </c>
      <c r="L179" s="666">
        <f>L178</f>
        <v>9824</v>
      </c>
      <c r="M179" s="667"/>
      <c r="N179" s="681"/>
      <c r="O179" s="681"/>
      <c r="P179" s="261"/>
      <c r="Q179" s="734"/>
      <c r="R179" s="665"/>
      <c r="S179" s="3002"/>
      <c r="T179" s="735"/>
      <c r="U179" s="563"/>
      <c r="V179" s="564"/>
    </row>
    <row r="180" spans="1:22" s="2" customFormat="1" ht="16.5" customHeight="1" thickBot="1" x14ac:dyDescent="0.3">
      <c r="A180" s="281"/>
      <c r="B180" s="1059"/>
      <c r="C180" s="736"/>
      <c r="D180" s="3011"/>
      <c r="E180" s="3012"/>
      <c r="F180" s="3012"/>
      <c r="G180" s="3012"/>
      <c r="H180" s="3012"/>
      <c r="I180" s="3013"/>
      <c r="J180" s="737" t="s">
        <v>36</v>
      </c>
      <c r="K180" s="576">
        <f t="shared" ref="K180:R180" si="26">K177+K168+K158+K179+K165+K173+K171+K161+K163</f>
        <v>176602</v>
      </c>
      <c r="L180" s="738">
        <f t="shared" si="26"/>
        <v>179256</v>
      </c>
      <c r="M180" s="576">
        <f t="shared" si="26"/>
        <v>862900</v>
      </c>
      <c r="N180" s="739">
        <f>N177+N168+N158+N179+N165+N173+N171+N161+N163</f>
        <v>73700</v>
      </c>
      <c r="O180" s="739">
        <f t="shared" si="26"/>
        <v>0</v>
      </c>
      <c r="P180" s="1135">
        <f t="shared" si="26"/>
        <v>789200</v>
      </c>
      <c r="Q180" s="576">
        <f t="shared" si="26"/>
        <v>256800</v>
      </c>
      <c r="R180" s="576">
        <f t="shared" si="26"/>
        <v>354900</v>
      </c>
      <c r="S180" s="3014"/>
      <c r="T180" s="3015"/>
      <c r="U180" s="3015"/>
      <c r="V180" s="3016"/>
    </row>
    <row r="181" spans="1:22" s="3" customFormat="1" ht="42" customHeight="1" x14ac:dyDescent="0.25">
      <c r="A181" s="213" t="s">
        <v>22</v>
      </c>
      <c r="B181" s="1058" t="s">
        <v>54</v>
      </c>
      <c r="C181" s="651" t="s">
        <v>50</v>
      </c>
      <c r="D181" s="740"/>
      <c r="E181" s="741" t="s">
        <v>245</v>
      </c>
      <c r="F181" s="742"/>
      <c r="G181" s="743"/>
      <c r="H181" s="744"/>
      <c r="I181" s="745"/>
      <c r="J181" s="642"/>
      <c r="K181" s="746"/>
      <c r="L181" s="747"/>
      <c r="M181" s="748"/>
      <c r="N181" s="749"/>
      <c r="O181" s="749"/>
      <c r="P181" s="750"/>
      <c r="Q181" s="751"/>
      <c r="R181" s="752"/>
      <c r="S181" s="753"/>
      <c r="T181" s="754"/>
      <c r="U181" s="749"/>
      <c r="V181" s="752"/>
    </row>
    <row r="182" spans="1:22" s="3" customFormat="1" ht="15.75" customHeight="1" x14ac:dyDescent="0.25">
      <c r="A182" s="225"/>
      <c r="B182" s="1067"/>
      <c r="C182" s="657"/>
      <c r="D182" s="658" t="s">
        <v>22</v>
      </c>
      <c r="E182" s="3017" t="s">
        <v>246</v>
      </c>
      <c r="F182" s="254" t="s">
        <v>247</v>
      </c>
      <c r="G182" s="755" t="s">
        <v>26</v>
      </c>
      <c r="H182" s="270">
        <v>5</v>
      </c>
      <c r="I182" s="2993" t="s">
        <v>248</v>
      </c>
      <c r="J182" s="1121" t="s">
        <v>249</v>
      </c>
      <c r="K182" s="756">
        <v>17957</v>
      </c>
      <c r="L182" s="757">
        <v>17957</v>
      </c>
      <c r="M182" s="758"/>
      <c r="N182" s="759"/>
      <c r="O182" s="759"/>
      <c r="P182" s="760"/>
      <c r="Q182" s="1121"/>
      <c r="R182" s="503"/>
      <c r="S182" s="3019"/>
      <c r="T182" s="357"/>
      <c r="U182" s="1133"/>
      <c r="V182" s="245"/>
    </row>
    <row r="183" spans="1:22" s="3" customFormat="1" ht="15.75" customHeight="1" x14ac:dyDescent="0.25">
      <c r="A183" s="225"/>
      <c r="B183" s="1067"/>
      <c r="C183" s="657"/>
      <c r="D183" s="658"/>
      <c r="E183" s="3017"/>
      <c r="F183" s="254"/>
      <c r="G183" s="755"/>
      <c r="H183" s="270"/>
      <c r="I183" s="2996"/>
      <c r="J183" s="271" t="s">
        <v>31</v>
      </c>
      <c r="K183" s="689">
        <v>24096</v>
      </c>
      <c r="L183" s="713">
        <v>25469</v>
      </c>
      <c r="M183" s="690"/>
      <c r="N183" s="115"/>
      <c r="O183" s="115"/>
      <c r="P183" s="691"/>
      <c r="Q183" s="1120"/>
      <c r="R183" s="245"/>
      <c r="S183" s="3019"/>
      <c r="T183" s="357"/>
      <c r="U183" s="1133"/>
      <c r="V183" s="245"/>
    </row>
    <row r="184" spans="1:22" s="3" customFormat="1" ht="15.75" customHeight="1" x14ac:dyDescent="0.25">
      <c r="A184" s="225"/>
      <c r="B184" s="1067"/>
      <c r="C184" s="657"/>
      <c r="D184" s="658"/>
      <c r="E184" s="3017"/>
      <c r="F184" s="254"/>
      <c r="G184" s="755"/>
      <c r="H184" s="270"/>
      <c r="I184" s="761"/>
      <c r="J184" s="1120" t="s">
        <v>103</v>
      </c>
      <c r="K184" s="689">
        <v>127260</v>
      </c>
      <c r="L184" s="713">
        <v>127260</v>
      </c>
      <c r="M184" s="762"/>
      <c r="N184" s="763"/>
      <c r="O184" s="763"/>
      <c r="P184" s="763"/>
      <c r="Q184" s="271"/>
      <c r="R184" s="256"/>
      <c r="S184" s="3019"/>
      <c r="T184" s="357"/>
      <c r="U184" s="1133"/>
      <c r="V184" s="245"/>
    </row>
    <row r="185" spans="1:22" s="3" customFormat="1" ht="15.75" customHeight="1" x14ac:dyDescent="0.25">
      <c r="A185" s="225"/>
      <c r="B185" s="1067"/>
      <c r="C185" s="657"/>
      <c r="D185" s="663"/>
      <c r="E185" s="3018"/>
      <c r="F185" s="764"/>
      <c r="G185" s="765"/>
      <c r="H185" s="766"/>
      <c r="I185" s="767"/>
      <c r="J185" s="734" t="s">
        <v>36</v>
      </c>
      <c r="K185" s="699">
        <f>SUM(K182:K184)</f>
        <v>169313</v>
      </c>
      <c r="L185" s="696">
        <f>SUM(L182:L184)</f>
        <v>170686</v>
      </c>
      <c r="M185" s="667"/>
      <c r="N185" s="668"/>
      <c r="O185" s="668"/>
      <c r="P185" s="668"/>
      <c r="Q185" s="768"/>
      <c r="R185" s="769"/>
      <c r="S185" s="2787"/>
      <c r="T185" s="438"/>
      <c r="U185" s="597"/>
      <c r="V185" s="503"/>
    </row>
    <row r="186" spans="1:22" s="3" customFormat="1" ht="15.75" customHeight="1" x14ac:dyDescent="0.25">
      <c r="A186" s="225"/>
      <c r="B186" s="1067"/>
      <c r="C186" s="657"/>
      <c r="D186" s="658" t="s">
        <v>50</v>
      </c>
      <c r="E186" s="3017" t="s">
        <v>250</v>
      </c>
      <c r="F186" s="770" t="s">
        <v>247</v>
      </c>
      <c r="G186" s="255" t="s">
        <v>26</v>
      </c>
      <c r="H186" s="771">
        <v>5</v>
      </c>
      <c r="I186" s="2993" t="s">
        <v>248</v>
      </c>
      <c r="J186" s="1120" t="s">
        <v>249</v>
      </c>
      <c r="K186" s="531">
        <v>21837</v>
      </c>
      <c r="L186" s="713">
        <v>21837</v>
      </c>
      <c r="M186" s="600"/>
      <c r="N186" s="763"/>
      <c r="O186" s="763"/>
      <c r="P186" s="763"/>
      <c r="Q186" s="1121"/>
      <c r="R186" s="503"/>
      <c r="S186" s="3019"/>
      <c r="T186" s="357"/>
      <c r="U186" s="1133"/>
      <c r="V186" s="245"/>
    </row>
    <row r="187" spans="1:22" s="3" customFormat="1" ht="15.75" customHeight="1" x14ac:dyDescent="0.25">
      <c r="A187" s="225"/>
      <c r="B187" s="1067"/>
      <c r="C187" s="657"/>
      <c r="D187" s="658"/>
      <c r="E187" s="3017"/>
      <c r="F187" s="770"/>
      <c r="G187" s="255"/>
      <c r="H187" s="771"/>
      <c r="I187" s="2996"/>
      <c r="J187" s="271" t="s">
        <v>31</v>
      </c>
      <c r="K187" s="772">
        <v>22967</v>
      </c>
      <c r="L187" s="757">
        <v>25010</v>
      </c>
      <c r="M187" s="114"/>
      <c r="N187" s="691"/>
      <c r="O187" s="691"/>
      <c r="P187" s="691"/>
      <c r="Q187" s="1120"/>
      <c r="R187" s="245"/>
      <c r="S187" s="3019"/>
      <c r="T187" s="357"/>
      <c r="U187" s="1133"/>
      <c r="V187" s="245"/>
    </row>
    <row r="188" spans="1:22" s="3" customFormat="1" ht="15.75" customHeight="1" x14ac:dyDescent="0.25">
      <c r="A188" s="225"/>
      <c r="B188" s="1067"/>
      <c r="C188" s="657"/>
      <c r="D188" s="658"/>
      <c r="E188" s="3017"/>
      <c r="F188" s="770"/>
      <c r="G188" s="255"/>
      <c r="H188" s="771"/>
      <c r="I188" s="773"/>
      <c r="J188" s="1121" t="s">
        <v>103</v>
      </c>
      <c r="K188" s="772">
        <v>145361</v>
      </c>
      <c r="L188" s="757">
        <v>145361</v>
      </c>
      <c r="M188" s="676"/>
      <c r="N188" s="760"/>
      <c r="O188" s="760"/>
      <c r="P188" s="760"/>
      <c r="Q188" s="271"/>
      <c r="R188" s="256"/>
      <c r="S188" s="3019"/>
      <c r="T188" s="357"/>
      <c r="U188" s="1133"/>
      <c r="V188" s="245"/>
    </row>
    <row r="189" spans="1:22" s="3" customFormat="1" ht="15.75" customHeight="1" x14ac:dyDescent="0.25">
      <c r="A189" s="225"/>
      <c r="B189" s="1067"/>
      <c r="C189" s="657"/>
      <c r="D189" s="658"/>
      <c r="E189" s="3017"/>
      <c r="F189" s="770"/>
      <c r="G189" s="255"/>
      <c r="H189" s="771"/>
      <c r="I189" s="773"/>
      <c r="J189" s="774" t="s">
        <v>36</v>
      </c>
      <c r="K189" s="775">
        <f>SUM(K186:K188)</f>
        <v>190165</v>
      </c>
      <c r="L189" s="776">
        <f>SUM(L186:L188)</f>
        <v>192208</v>
      </c>
      <c r="M189" s="777"/>
      <c r="N189" s="778"/>
      <c r="O189" s="778"/>
      <c r="P189" s="698"/>
      <c r="Q189" s="779"/>
      <c r="R189" s="780"/>
      <c r="S189" s="3019"/>
      <c r="T189" s="357"/>
      <c r="U189" s="1133"/>
      <c r="V189" s="245"/>
    </row>
    <row r="190" spans="1:22" s="3" customFormat="1" ht="18.75" customHeight="1" x14ac:dyDescent="0.25">
      <c r="A190" s="225"/>
      <c r="B190" s="1067"/>
      <c r="C190" s="657"/>
      <c r="D190" s="671" t="s">
        <v>54</v>
      </c>
      <c r="E190" s="2537" t="s">
        <v>251</v>
      </c>
      <c r="F190" s="711" t="s">
        <v>247</v>
      </c>
      <c r="G190" s="228" t="s">
        <v>26</v>
      </c>
      <c r="H190" s="781">
        <v>5</v>
      </c>
      <c r="I190" s="2993" t="s">
        <v>248</v>
      </c>
      <c r="J190" s="782" t="s">
        <v>31</v>
      </c>
      <c r="K190" s="531">
        <v>23256</v>
      </c>
      <c r="L190" s="573">
        <v>23256</v>
      </c>
      <c r="M190" s="231"/>
      <c r="N190" s="703"/>
      <c r="O190" s="703"/>
      <c r="P190" s="675"/>
      <c r="Q190" s="271"/>
      <c r="R190" s="256"/>
      <c r="S190" s="507"/>
      <c r="T190" s="783"/>
      <c r="U190" s="1132"/>
      <c r="V190" s="232"/>
    </row>
    <row r="191" spans="1:22" s="3" customFormat="1" ht="18.75" customHeight="1" x14ac:dyDescent="0.25">
      <c r="A191" s="225"/>
      <c r="B191" s="1067"/>
      <c r="C191" s="657"/>
      <c r="D191" s="658"/>
      <c r="E191" s="2538"/>
      <c r="F191" s="770"/>
      <c r="G191" s="255"/>
      <c r="H191" s="771"/>
      <c r="I191" s="2996"/>
      <c r="J191" s="784" t="s">
        <v>103</v>
      </c>
      <c r="K191" s="785">
        <v>98036</v>
      </c>
      <c r="L191" s="713">
        <v>98036</v>
      </c>
      <c r="M191" s="45"/>
      <c r="N191" s="675"/>
      <c r="O191" s="675"/>
      <c r="P191" s="675"/>
      <c r="Q191" s="1120"/>
      <c r="R191" s="245"/>
      <c r="S191" s="31"/>
      <c r="T191" s="357"/>
      <c r="U191" s="1133"/>
      <c r="V191" s="245"/>
    </row>
    <row r="192" spans="1:22" s="3" customFormat="1" ht="15.75" customHeight="1" x14ac:dyDescent="0.25">
      <c r="A192" s="225"/>
      <c r="B192" s="1067"/>
      <c r="C192" s="657"/>
      <c r="D192" s="658"/>
      <c r="E192" s="2845"/>
      <c r="F192" s="786"/>
      <c r="G192" s="787"/>
      <c r="H192" s="788"/>
      <c r="I192" s="767"/>
      <c r="J192" s="789" t="s">
        <v>36</v>
      </c>
      <c r="K192" s="669">
        <f>SUM(K190:K191)</f>
        <v>121292</v>
      </c>
      <c r="L192" s="666">
        <f>SUM(L190:L191)</f>
        <v>121292</v>
      </c>
      <c r="M192" s="665"/>
      <c r="N192" s="668"/>
      <c r="O192" s="668"/>
      <c r="P192" s="668"/>
      <c r="Q192" s="64"/>
      <c r="R192" s="724"/>
      <c r="S192" s="670"/>
      <c r="T192" s="438"/>
      <c r="U192" s="597"/>
      <c r="V192" s="503"/>
    </row>
    <row r="193" spans="1:27" s="131" customFormat="1" ht="15.75" customHeight="1" thickBot="1" x14ac:dyDescent="0.3">
      <c r="A193" s="281"/>
      <c r="B193" s="1059"/>
      <c r="C193" s="790"/>
      <c r="D193" s="3005"/>
      <c r="E193" s="3006"/>
      <c r="F193" s="575"/>
      <c r="G193" s="791"/>
      <c r="H193" s="575"/>
      <c r="I193" s="792"/>
      <c r="J193" s="793" t="s">
        <v>36</v>
      </c>
      <c r="K193" s="576">
        <f>+K192+K189+K185</f>
        <v>480770</v>
      </c>
      <c r="L193" s="738">
        <f>+L192+L189+L185</f>
        <v>484186</v>
      </c>
      <c r="M193" s="576"/>
      <c r="N193" s="739"/>
      <c r="O193" s="1135"/>
      <c r="P193" s="738"/>
      <c r="Q193" s="576"/>
      <c r="R193" s="576"/>
      <c r="S193" s="3007"/>
      <c r="T193" s="3008"/>
      <c r="U193" s="3008"/>
      <c r="V193" s="3009"/>
    </row>
    <row r="194" spans="1:27" s="2" customFormat="1" ht="16.5" customHeight="1" thickBot="1" x14ac:dyDescent="0.3">
      <c r="A194" s="7" t="s">
        <v>22</v>
      </c>
      <c r="B194" s="282" t="s">
        <v>54</v>
      </c>
      <c r="C194" s="3010" t="s">
        <v>62</v>
      </c>
      <c r="D194" s="2541"/>
      <c r="E194" s="2541"/>
      <c r="F194" s="2541"/>
      <c r="G194" s="2541"/>
      <c r="H194" s="2541"/>
      <c r="I194" s="2541"/>
      <c r="J194" s="2563"/>
      <c r="K194" s="794">
        <f>K180+K193</f>
        <v>657372</v>
      </c>
      <c r="L194" s="795">
        <f>L180+L193</f>
        <v>663442</v>
      </c>
      <c r="M194" s="794">
        <f t="shared" ref="M194:R194" si="27">M180+M193</f>
        <v>862900</v>
      </c>
      <c r="N194" s="8">
        <f t="shared" si="27"/>
        <v>73700</v>
      </c>
      <c r="O194" s="796">
        <f t="shared" si="27"/>
        <v>0</v>
      </c>
      <c r="P194" s="480">
        <f t="shared" si="27"/>
        <v>789200</v>
      </c>
      <c r="Q194" s="794">
        <f t="shared" si="27"/>
        <v>256800</v>
      </c>
      <c r="R194" s="794">
        <f t="shared" si="27"/>
        <v>354900</v>
      </c>
      <c r="S194" s="2542"/>
      <c r="T194" s="2543"/>
      <c r="U194" s="2543"/>
      <c r="V194" s="2544"/>
    </row>
    <row r="195" spans="1:27" s="1" customFormat="1" ht="16.5" customHeight="1" thickBot="1" x14ac:dyDescent="0.25">
      <c r="A195" s="7" t="s">
        <v>22</v>
      </c>
      <c r="B195" s="282" t="s">
        <v>56</v>
      </c>
      <c r="C195" s="3020" t="s">
        <v>119</v>
      </c>
      <c r="D195" s="2565"/>
      <c r="E195" s="2565"/>
      <c r="F195" s="2565"/>
      <c r="G195" s="2565"/>
      <c r="H195" s="2565"/>
      <c r="I195" s="2565"/>
      <c r="J195" s="2565"/>
      <c r="K195" s="2565"/>
      <c r="L195" s="2565"/>
      <c r="M195" s="2565"/>
      <c r="N195" s="2565"/>
      <c r="O195" s="2565"/>
      <c r="P195" s="2565"/>
      <c r="Q195" s="2565"/>
      <c r="R195" s="2565"/>
      <c r="S195" s="2565"/>
      <c r="T195" s="2565"/>
      <c r="U195" s="2565"/>
      <c r="V195" s="2566"/>
    </row>
    <row r="196" spans="1:27" s="1" customFormat="1" ht="16.5" customHeight="1" x14ac:dyDescent="0.2">
      <c r="A196" s="213" t="s">
        <v>22</v>
      </c>
      <c r="B196" s="284" t="s">
        <v>56</v>
      </c>
      <c r="C196" s="285" t="s">
        <v>22</v>
      </c>
      <c r="D196" s="797"/>
      <c r="E196" s="286" t="s">
        <v>120</v>
      </c>
      <c r="F196" s="287"/>
      <c r="G196" s="288"/>
      <c r="H196" s="289"/>
      <c r="I196" s="106"/>
      <c r="J196" s="290"/>
      <c r="K196" s="153"/>
      <c r="L196" s="653"/>
      <c r="M196" s="654"/>
      <c r="N196" s="489"/>
      <c r="O196" s="489"/>
      <c r="P196" s="798"/>
      <c r="Q196" s="290"/>
      <c r="R196" s="219"/>
      <c r="S196" s="291"/>
      <c r="T196" s="78"/>
      <c r="U196" s="1072"/>
      <c r="V196" s="79"/>
    </row>
    <row r="197" spans="1:27" s="1" customFormat="1" ht="16.5" customHeight="1" x14ac:dyDescent="0.2">
      <c r="A197" s="1066"/>
      <c r="B197" s="1067"/>
      <c r="C197" s="1117"/>
      <c r="D197" s="799" t="s">
        <v>22</v>
      </c>
      <c r="E197" s="2523" t="s">
        <v>121</v>
      </c>
      <c r="F197" s="3021"/>
      <c r="G197" s="1128" t="s">
        <v>97</v>
      </c>
      <c r="H197" s="187">
        <v>5</v>
      </c>
      <c r="I197" s="2920" t="s">
        <v>248</v>
      </c>
      <c r="J197" s="229" t="s">
        <v>31</v>
      </c>
      <c r="K197" s="45"/>
      <c r="L197" s="673"/>
      <c r="M197" s="526">
        <v>236800</v>
      </c>
      <c r="N197" s="527"/>
      <c r="O197" s="532"/>
      <c r="P197" s="713">
        <v>236800</v>
      </c>
      <c r="Q197" s="800">
        <v>355200</v>
      </c>
      <c r="R197" s="801">
        <v>118400</v>
      </c>
      <c r="S197" s="2786" t="s">
        <v>122</v>
      </c>
      <c r="T197" s="292">
        <v>75</v>
      </c>
      <c r="U197" s="293">
        <v>100</v>
      </c>
      <c r="V197" s="294"/>
    </row>
    <row r="198" spans="1:27" s="1" customFormat="1" ht="16.5" customHeight="1" x14ac:dyDescent="0.2">
      <c r="A198" s="1066"/>
      <c r="B198" s="1067"/>
      <c r="C198" s="1117"/>
      <c r="D198" s="802"/>
      <c r="E198" s="2524"/>
      <c r="F198" s="3021"/>
      <c r="G198" s="1128"/>
      <c r="H198" s="295"/>
      <c r="I198" s="2920"/>
      <c r="J198" s="229" t="s">
        <v>103</v>
      </c>
      <c r="K198" s="45"/>
      <c r="L198" s="673"/>
      <c r="M198" s="403">
        <v>1341700</v>
      </c>
      <c r="N198" s="391"/>
      <c r="O198" s="803"/>
      <c r="P198" s="419">
        <v>1341700</v>
      </c>
      <c r="Q198" s="422">
        <v>2012600</v>
      </c>
      <c r="R198" s="643">
        <v>670900</v>
      </c>
      <c r="S198" s="3019"/>
      <c r="T198" s="298"/>
      <c r="U198" s="299"/>
      <c r="V198" s="300"/>
    </row>
    <row r="199" spans="1:27" s="1" customFormat="1" ht="16.5" customHeight="1" x14ac:dyDescent="0.2">
      <c r="A199" s="1066"/>
      <c r="B199" s="1067"/>
      <c r="C199" s="1117"/>
      <c r="D199" s="802"/>
      <c r="E199" s="2524"/>
      <c r="F199" s="3021"/>
      <c r="G199" s="1128"/>
      <c r="H199" s="295"/>
      <c r="I199" s="441"/>
      <c r="J199" s="229" t="s">
        <v>176</v>
      </c>
      <c r="K199" s="45">
        <v>48164</v>
      </c>
      <c r="L199" s="673">
        <f>15553+32611</f>
        <v>48164</v>
      </c>
      <c r="M199" s="30"/>
      <c r="N199" s="1083"/>
      <c r="O199" s="804"/>
      <c r="P199" s="1116"/>
      <c r="Q199" s="22"/>
      <c r="R199" s="1116"/>
      <c r="S199" s="1136"/>
      <c r="T199" s="298"/>
      <c r="U199" s="299"/>
      <c r="V199" s="300"/>
    </row>
    <row r="200" spans="1:27" s="1" customFormat="1" ht="15" customHeight="1" x14ac:dyDescent="0.2">
      <c r="A200" s="225"/>
      <c r="B200" s="301"/>
      <c r="C200" s="302"/>
      <c r="D200" s="799" t="s">
        <v>50</v>
      </c>
      <c r="E200" s="33" t="s">
        <v>252</v>
      </c>
      <c r="F200" s="246"/>
      <c r="G200" s="126"/>
      <c r="H200" s="289">
        <v>1</v>
      </c>
      <c r="I200" s="33" t="s">
        <v>253</v>
      </c>
      <c r="J200" s="271" t="s">
        <v>31</v>
      </c>
      <c r="K200" s="531">
        <v>115848</v>
      </c>
      <c r="L200" s="713">
        <v>115848</v>
      </c>
      <c r="M200" s="114"/>
      <c r="N200" s="115"/>
      <c r="O200" s="115"/>
      <c r="P200" s="116"/>
      <c r="Q200" s="271"/>
      <c r="R200" s="256"/>
      <c r="S200" s="2786"/>
      <c r="T200" s="292"/>
      <c r="U200" s="293"/>
      <c r="V200" s="294"/>
    </row>
    <row r="201" spans="1:27" s="1" customFormat="1" ht="15" customHeight="1" x14ac:dyDescent="0.2">
      <c r="A201" s="225"/>
      <c r="B201" s="301"/>
      <c r="C201" s="302"/>
      <c r="D201" s="805"/>
      <c r="E201" s="441"/>
      <c r="F201" s="246"/>
      <c r="G201" s="126"/>
      <c r="H201" s="295"/>
      <c r="I201" s="441"/>
      <c r="J201" s="1121" t="s">
        <v>176</v>
      </c>
      <c r="K201" s="785">
        <v>94138</v>
      </c>
      <c r="L201" s="757">
        <v>94138</v>
      </c>
      <c r="M201" s="244"/>
      <c r="N201" s="594"/>
      <c r="O201" s="594"/>
      <c r="P201" s="245"/>
      <c r="Q201" s="1120"/>
      <c r="R201" s="245"/>
      <c r="S201" s="3019"/>
      <c r="T201" s="298"/>
      <c r="U201" s="299"/>
      <c r="V201" s="300"/>
    </row>
    <row r="202" spans="1:27" s="1" customFormat="1" ht="15" customHeight="1" thickBot="1" x14ac:dyDescent="0.25">
      <c r="A202" s="225"/>
      <c r="B202" s="301"/>
      <c r="C202" s="302"/>
      <c r="D202" s="805"/>
      <c r="E202" s="441"/>
      <c r="F202" s="246"/>
      <c r="G202" s="126"/>
      <c r="H202" s="295"/>
      <c r="I202" s="441"/>
      <c r="J202" s="303" t="s">
        <v>36</v>
      </c>
      <c r="K202" s="397">
        <f>SUM(K197:K201)</f>
        <v>258150</v>
      </c>
      <c r="L202" s="398">
        <f>SUM(L197:L201)</f>
        <v>258150</v>
      </c>
      <c r="M202" s="397">
        <f>SUM(M197:M201)</f>
        <v>1578500</v>
      </c>
      <c r="N202" s="399"/>
      <c r="O202" s="399"/>
      <c r="P202" s="567">
        <f t="shared" ref="P202:R202" si="28">SUM(P197:P201)</f>
        <v>1578500</v>
      </c>
      <c r="Q202" s="36">
        <f t="shared" si="28"/>
        <v>2367800</v>
      </c>
      <c r="R202" s="36">
        <f t="shared" si="28"/>
        <v>789300</v>
      </c>
      <c r="S202" s="2787"/>
      <c r="T202" s="304"/>
      <c r="U202" s="305"/>
      <c r="V202" s="306"/>
    </row>
    <row r="203" spans="1:27" s="1" customFormat="1" ht="53.25" customHeight="1" x14ac:dyDescent="0.2">
      <c r="A203" s="213" t="s">
        <v>22</v>
      </c>
      <c r="B203" s="1058" t="s">
        <v>56</v>
      </c>
      <c r="C203" s="307" t="s">
        <v>50</v>
      </c>
      <c r="D203" s="627"/>
      <c r="E203" s="806" t="s">
        <v>123</v>
      </c>
      <c r="F203" s="308"/>
      <c r="G203" s="309"/>
      <c r="H203" s="927" t="s">
        <v>27</v>
      </c>
      <c r="I203" s="2859" t="s">
        <v>254</v>
      </c>
      <c r="J203" s="332"/>
      <c r="K203" s="807"/>
      <c r="L203" s="474"/>
      <c r="M203" s="808"/>
      <c r="N203" s="549"/>
      <c r="O203" s="549"/>
      <c r="P203" s="809"/>
      <c r="Q203" s="642"/>
      <c r="R203" s="752"/>
      <c r="S203" s="509"/>
      <c r="T203" s="334"/>
      <c r="U203" s="16"/>
      <c r="V203" s="335"/>
    </row>
    <row r="204" spans="1:27" s="1" customFormat="1" ht="20.25" customHeight="1" x14ac:dyDescent="0.2">
      <c r="A204" s="225"/>
      <c r="B204" s="1067"/>
      <c r="C204" s="310"/>
      <c r="D204" s="810"/>
      <c r="E204" s="2620" t="s">
        <v>255</v>
      </c>
      <c r="F204" s="246"/>
      <c r="G204" s="1138" t="s">
        <v>22</v>
      </c>
      <c r="H204" s="1129"/>
      <c r="I204" s="3022"/>
      <c r="J204" s="43" t="s">
        <v>68</v>
      </c>
      <c r="K204" s="811">
        <v>37651</v>
      </c>
      <c r="L204" s="729">
        <v>839898</v>
      </c>
      <c r="M204" s="163"/>
      <c r="N204" s="164"/>
      <c r="O204" s="164"/>
      <c r="P204" s="165"/>
      <c r="Q204" s="271"/>
      <c r="R204" s="271"/>
      <c r="S204" s="812"/>
      <c r="T204" s="1082"/>
      <c r="U204" s="1083"/>
      <c r="V204" s="1085"/>
      <c r="Y204" s="251"/>
    </row>
    <row r="205" spans="1:27" s="1" customFormat="1" ht="20.25" customHeight="1" thickBot="1" x14ac:dyDescent="0.25">
      <c r="A205" s="225"/>
      <c r="B205" s="1067"/>
      <c r="C205" s="310"/>
      <c r="D205" s="601"/>
      <c r="E205" s="2621"/>
      <c r="F205" s="246"/>
      <c r="G205" s="1139"/>
      <c r="H205" s="926"/>
      <c r="I205" s="1137"/>
      <c r="J205" s="22" t="s">
        <v>178</v>
      </c>
      <c r="K205" s="621">
        <v>5000</v>
      </c>
      <c r="L205" s="3025">
        <v>269965</v>
      </c>
      <c r="M205" s="20"/>
      <c r="N205" s="47"/>
      <c r="O205" s="47"/>
      <c r="P205" s="48"/>
      <c r="Q205" s="1120"/>
      <c r="R205" s="1120"/>
      <c r="S205" s="813"/>
      <c r="T205" s="320"/>
      <c r="U205" s="40"/>
      <c r="V205" s="84"/>
      <c r="Y205" s="251"/>
      <c r="AA205" s="251"/>
    </row>
    <row r="206" spans="1:27" s="1" customFormat="1" ht="25.5" customHeight="1" x14ac:dyDescent="0.2">
      <c r="A206" s="225"/>
      <c r="B206" s="1067"/>
      <c r="C206" s="310"/>
      <c r="D206" s="601"/>
      <c r="E206" s="1065" t="s">
        <v>124</v>
      </c>
      <c r="F206" s="3023" t="s">
        <v>125</v>
      </c>
      <c r="G206" s="1128" t="s">
        <v>97</v>
      </c>
      <c r="H206" s="926"/>
      <c r="I206" s="1044"/>
      <c r="J206" s="332" t="s">
        <v>68</v>
      </c>
      <c r="K206" s="814">
        <v>327270</v>
      </c>
      <c r="L206" s="3026"/>
      <c r="M206" s="808">
        <v>265000</v>
      </c>
      <c r="N206" s="549">
        <v>265000</v>
      </c>
      <c r="O206" s="549"/>
      <c r="P206" s="809"/>
      <c r="Q206" s="642">
        <v>265000</v>
      </c>
      <c r="R206" s="642">
        <v>265000</v>
      </c>
      <c r="S206" s="815" t="s">
        <v>126</v>
      </c>
      <c r="T206" s="816">
        <v>30</v>
      </c>
      <c r="U206" s="817">
        <v>30</v>
      </c>
      <c r="V206" s="818">
        <v>29</v>
      </c>
    </row>
    <row r="207" spans="1:27" s="1" customFormat="1" ht="25.5" customHeight="1" x14ac:dyDescent="0.2">
      <c r="A207" s="225"/>
      <c r="B207" s="1067"/>
      <c r="C207" s="310"/>
      <c r="D207" s="810"/>
      <c r="E207" s="1050"/>
      <c r="F207" s="3024"/>
      <c r="G207" s="1139"/>
      <c r="H207" s="926"/>
      <c r="I207" s="1044"/>
      <c r="J207" s="35" t="s">
        <v>178</v>
      </c>
      <c r="K207" s="465">
        <v>231810</v>
      </c>
      <c r="L207" s="3026"/>
      <c r="M207" s="1077"/>
      <c r="N207" s="1054"/>
      <c r="O207" s="1054"/>
      <c r="P207" s="1079"/>
      <c r="Q207" s="1121"/>
      <c r="R207" s="1121"/>
      <c r="S207" s="819"/>
      <c r="T207" s="66"/>
      <c r="U207" s="67"/>
      <c r="V207" s="68"/>
    </row>
    <row r="208" spans="1:27" s="1" customFormat="1" ht="25.5" customHeight="1" x14ac:dyDescent="0.2">
      <c r="A208" s="225"/>
      <c r="B208" s="1067"/>
      <c r="C208" s="310"/>
      <c r="D208" s="601"/>
      <c r="E208" s="2548" t="s">
        <v>127</v>
      </c>
      <c r="F208" s="246"/>
      <c r="G208" s="1128" t="s">
        <v>97</v>
      </c>
      <c r="H208" s="1070"/>
      <c r="I208" s="1044"/>
      <c r="J208" s="35" t="s">
        <v>68</v>
      </c>
      <c r="K208" s="820">
        <v>260658</v>
      </c>
      <c r="L208" s="934"/>
      <c r="M208" s="465">
        <v>274900</v>
      </c>
      <c r="N208" s="821">
        <f>M208-P208</f>
        <v>216900</v>
      </c>
      <c r="O208" s="821"/>
      <c r="P208" s="822">
        <v>58000</v>
      </c>
      <c r="Q208" s="823">
        <v>274900</v>
      </c>
      <c r="R208" s="823">
        <v>274900</v>
      </c>
      <c r="S208" s="2550" t="s">
        <v>277</v>
      </c>
      <c r="T208" s="313">
        <v>110</v>
      </c>
      <c r="U208" s="314">
        <v>120</v>
      </c>
      <c r="V208" s="315">
        <v>130</v>
      </c>
    </row>
    <row r="209" spans="1:44" s="1" customFormat="1" ht="40.5" customHeight="1" thickBot="1" x14ac:dyDescent="0.25">
      <c r="A209" s="225"/>
      <c r="B209" s="1067"/>
      <c r="C209" s="310"/>
      <c r="D209" s="601"/>
      <c r="E209" s="2621"/>
      <c r="F209" s="318"/>
      <c r="G209" s="1139"/>
      <c r="H209" s="926"/>
      <c r="I209" s="1044"/>
      <c r="J209" s="22" t="s">
        <v>178</v>
      </c>
      <c r="K209" s="571">
        <v>28155</v>
      </c>
      <c r="L209" s="934"/>
      <c r="M209" s="824"/>
      <c r="N209" s="825"/>
      <c r="O209" s="825"/>
      <c r="P209" s="826"/>
      <c r="Q209" s="229"/>
      <c r="R209" s="229"/>
      <c r="S209" s="2550"/>
      <c r="T209" s="320"/>
      <c r="U209" s="40"/>
      <c r="V209" s="84"/>
    </row>
    <row r="210" spans="1:44" s="1" customFormat="1" ht="36" customHeight="1" x14ac:dyDescent="0.2">
      <c r="A210" s="225"/>
      <c r="B210" s="1067"/>
      <c r="C210" s="310"/>
      <c r="D210" s="601"/>
      <c r="E210" s="2620" t="s">
        <v>128</v>
      </c>
      <c r="F210" s="318"/>
      <c r="G210" s="3030" t="s">
        <v>97</v>
      </c>
      <c r="H210" s="926"/>
      <c r="I210" s="1044"/>
      <c r="J210" s="332" t="s">
        <v>68</v>
      </c>
      <c r="K210" s="814">
        <v>11585</v>
      </c>
      <c r="L210" s="934"/>
      <c r="M210" s="808">
        <v>12000</v>
      </c>
      <c r="N210" s="549">
        <v>12000</v>
      </c>
      <c r="O210" s="549"/>
      <c r="P210" s="809"/>
      <c r="Q210" s="642">
        <v>12000</v>
      </c>
      <c r="R210" s="642">
        <v>12000</v>
      </c>
      <c r="S210" s="3032" t="s">
        <v>278</v>
      </c>
      <c r="T210" s="816">
        <v>50</v>
      </c>
      <c r="U210" s="817">
        <v>50</v>
      </c>
      <c r="V210" s="818">
        <v>40</v>
      </c>
    </row>
    <row r="211" spans="1:44" s="1" customFormat="1" ht="20.25" customHeight="1" thickBot="1" x14ac:dyDescent="0.25">
      <c r="A211" s="225"/>
      <c r="B211" s="1067"/>
      <c r="C211" s="310"/>
      <c r="D211" s="601"/>
      <c r="E211" s="2621"/>
      <c r="F211" s="318"/>
      <c r="G211" s="3031"/>
      <c r="H211" s="926"/>
      <c r="I211" s="1044"/>
      <c r="J211" s="442" t="s">
        <v>178</v>
      </c>
      <c r="K211" s="144">
        <v>5000</v>
      </c>
      <c r="L211" s="934"/>
      <c r="M211" s="827"/>
      <c r="N211" s="828"/>
      <c r="O211" s="828"/>
      <c r="P211" s="829"/>
      <c r="Q211" s="830"/>
      <c r="R211" s="830"/>
      <c r="S211" s="2551"/>
      <c r="T211" s="96"/>
      <c r="U211" s="1115"/>
      <c r="V211" s="97"/>
    </row>
    <row r="212" spans="1:44" s="1" customFormat="1" ht="39.75" customHeight="1" thickBot="1" x14ac:dyDescent="0.25">
      <c r="A212" s="225"/>
      <c r="B212" s="1067"/>
      <c r="C212" s="321"/>
      <c r="D212" s="601"/>
      <c r="E212" s="322" t="s">
        <v>129</v>
      </c>
      <c r="F212" s="318"/>
      <c r="G212" s="831" t="s">
        <v>97</v>
      </c>
      <c r="H212" s="926"/>
      <c r="I212" s="1044"/>
      <c r="J212" s="28" t="s">
        <v>68</v>
      </c>
      <c r="K212" s="832">
        <v>202734</v>
      </c>
      <c r="L212" s="935"/>
      <c r="M212" s="20">
        <v>195000</v>
      </c>
      <c r="N212" s="47">
        <v>195000</v>
      </c>
      <c r="O212" s="47"/>
      <c r="P212" s="48"/>
      <c r="Q212" s="1120">
        <v>195000</v>
      </c>
      <c r="R212" s="1120">
        <v>195000</v>
      </c>
      <c r="S212" s="172" t="s">
        <v>130</v>
      </c>
      <c r="T212" s="313">
        <v>85</v>
      </c>
      <c r="U212" s="314">
        <v>86</v>
      </c>
      <c r="V212" s="315">
        <v>87</v>
      </c>
      <c r="Z212" s="251"/>
    </row>
    <row r="213" spans="1:44" s="1" customFormat="1" ht="41.25" customHeight="1" thickBot="1" x14ac:dyDescent="0.25">
      <c r="A213" s="225"/>
      <c r="B213" s="1067"/>
      <c r="C213" s="321"/>
      <c r="D213" s="601"/>
      <c r="E213" s="1049" t="s">
        <v>131</v>
      </c>
      <c r="F213" s="318"/>
      <c r="G213" s="1138" t="s">
        <v>97</v>
      </c>
      <c r="H213" s="1070"/>
      <c r="I213" s="1044"/>
      <c r="J213" s="13" t="s">
        <v>52</v>
      </c>
      <c r="K213" s="641">
        <v>5503</v>
      </c>
      <c r="L213" s="2854">
        <v>5503</v>
      </c>
      <c r="M213" s="1076">
        <v>5600</v>
      </c>
      <c r="N213" s="1072">
        <v>5600</v>
      </c>
      <c r="O213" s="1072"/>
      <c r="P213" s="1073"/>
      <c r="Q213" s="1076">
        <v>5600</v>
      </c>
      <c r="R213" s="13">
        <v>5600</v>
      </c>
      <c r="S213" s="833" t="s">
        <v>265</v>
      </c>
      <c r="T213" s="834">
        <v>12</v>
      </c>
      <c r="U213" s="835">
        <v>12</v>
      </c>
      <c r="V213" s="836">
        <v>12</v>
      </c>
    </row>
    <row r="214" spans="1:44" s="1" customFormat="1" ht="54" customHeight="1" x14ac:dyDescent="0.2">
      <c r="A214" s="225"/>
      <c r="B214" s="1067"/>
      <c r="C214" s="321"/>
      <c r="D214" s="601"/>
      <c r="E214" s="2620" t="s">
        <v>132</v>
      </c>
      <c r="F214" s="318"/>
      <c r="G214" s="1138" t="s">
        <v>22</v>
      </c>
      <c r="H214" s="926"/>
      <c r="I214" s="1044"/>
      <c r="J214" s="13" t="s">
        <v>68</v>
      </c>
      <c r="K214" s="641"/>
      <c r="L214" s="2856"/>
      <c r="M214" s="1062">
        <v>120000</v>
      </c>
      <c r="N214" s="210">
        <v>120000</v>
      </c>
      <c r="O214" s="210"/>
      <c r="P214" s="211"/>
      <c r="Q214" s="290">
        <v>120000</v>
      </c>
      <c r="R214" s="290">
        <v>120000</v>
      </c>
      <c r="S214" s="3033" t="s">
        <v>133</v>
      </c>
      <c r="T214" s="816">
        <v>100</v>
      </c>
      <c r="U214" s="817">
        <v>100</v>
      </c>
      <c r="V214" s="818">
        <v>100</v>
      </c>
      <c r="X214" s="251"/>
    </row>
    <row r="215" spans="1:44" s="1" customFormat="1" ht="13.5" customHeight="1" thickBot="1" x14ac:dyDescent="0.25">
      <c r="A215" s="324"/>
      <c r="B215" s="1059"/>
      <c r="C215" s="325"/>
      <c r="D215" s="605"/>
      <c r="E215" s="2549"/>
      <c r="F215" s="326"/>
      <c r="G215" s="1109"/>
      <c r="H215" s="1081"/>
      <c r="I215" s="1045"/>
      <c r="J215" s="80" t="s">
        <v>36</v>
      </c>
      <c r="K215" s="458">
        <f>SUM(K204:K214)</f>
        <v>1115366</v>
      </c>
      <c r="L215" s="456">
        <f>SUM(L204:L214)</f>
        <v>1115366</v>
      </c>
      <c r="M215" s="455">
        <f>SUM(M204:M214)</f>
        <v>872500</v>
      </c>
      <c r="N215" s="459">
        <f>SUM(N204:N214)</f>
        <v>814500</v>
      </c>
      <c r="O215" s="459">
        <f t="shared" ref="O215:R215" si="29">SUM(O204:O214)</f>
        <v>0</v>
      </c>
      <c r="P215" s="478">
        <f t="shared" si="29"/>
        <v>58000</v>
      </c>
      <c r="Q215" s="80">
        <f>SUM(Q204:Q214)</f>
        <v>872500</v>
      </c>
      <c r="R215" s="478">
        <f t="shared" si="29"/>
        <v>872500</v>
      </c>
      <c r="S215" s="2977"/>
      <c r="T215" s="328"/>
      <c r="U215" s="329"/>
      <c r="V215" s="330"/>
      <c r="X215" s="251"/>
    </row>
    <row r="216" spans="1:44" s="1" customFormat="1" ht="56.25" customHeight="1" x14ac:dyDescent="0.2">
      <c r="A216" s="213" t="s">
        <v>22</v>
      </c>
      <c r="B216" s="1058" t="s">
        <v>56</v>
      </c>
      <c r="C216" s="3027" t="s">
        <v>54</v>
      </c>
      <c r="D216" s="837"/>
      <c r="E216" s="286" t="s">
        <v>134</v>
      </c>
      <c r="F216" s="331"/>
      <c r="G216" s="1108" t="s">
        <v>97</v>
      </c>
      <c r="H216" s="1122"/>
      <c r="I216" s="1100"/>
      <c r="J216" s="332"/>
      <c r="K216" s="473"/>
      <c r="L216" s="474"/>
      <c r="M216" s="808"/>
      <c r="N216" s="549"/>
      <c r="O216" s="549"/>
      <c r="P216" s="809"/>
      <c r="Q216" s="642"/>
      <c r="R216" s="642"/>
      <c r="S216" s="333"/>
      <c r="T216" s="334"/>
      <c r="U216" s="16"/>
      <c r="V216" s="335"/>
    </row>
    <row r="217" spans="1:44" s="1" customFormat="1" ht="16.5" customHeight="1" x14ac:dyDescent="0.2">
      <c r="A217" s="336"/>
      <c r="B217" s="1067"/>
      <c r="C217" s="3028"/>
      <c r="D217" s="838"/>
      <c r="E217" s="2624" t="s">
        <v>135</v>
      </c>
      <c r="F217" s="337"/>
      <c r="G217" s="2973"/>
      <c r="H217" s="265" t="s">
        <v>136</v>
      </c>
      <c r="I217" s="2990" t="s">
        <v>253</v>
      </c>
      <c r="J217" s="22" t="s">
        <v>52</v>
      </c>
      <c r="K217" s="413">
        <v>179275</v>
      </c>
      <c r="L217" s="1097">
        <v>179275</v>
      </c>
      <c r="M217" s="30">
        <v>400000</v>
      </c>
      <c r="N217" s="1083"/>
      <c r="O217" s="1114"/>
      <c r="P217" s="503">
        <v>400000</v>
      </c>
      <c r="Q217" s="28">
        <v>400000</v>
      </c>
      <c r="R217" s="28">
        <v>400000</v>
      </c>
      <c r="S217" s="128" t="s">
        <v>279</v>
      </c>
      <c r="T217" s="339">
        <v>8</v>
      </c>
      <c r="U217" s="340">
        <v>8</v>
      </c>
      <c r="V217" s="1098">
        <v>8</v>
      </c>
    </row>
    <row r="218" spans="1:44" s="1" customFormat="1" ht="16.5" customHeight="1" x14ac:dyDescent="0.2">
      <c r="A218" s="336"/>
      <c r="B218" s="1067"/>
      <c r="C218" s="3028"/>
      <c r="D218" s="838"/>
      <c r="E218" s="2624"/>
      <c r="F218" s="337"/>
      <c r="G218" s="2973"/>
      <c r="H218" s="270"/>
      <c r="I218" s="2968"/>
      <c r="J218" s="22" t="s">
        <v>28</v>
      </c>
      <c r="K218" s="413"/>
      <c r="L218" s="1097">
        <v>405468</v>
      </c>
      <c r="M218" s="30"/>
      <c r="N218" s="1114"/>
      <c r="O218" s="1114"/>
      <c r="P218" s="245"/>
      <c r="Q218" s="121"/>
      <c r="R218" s="43"/>
      <c r="S218" s="128"/>
      <c r="T218" s="339"/>
      <c r="U218" s="340"/>
      <c r="V218" s="1098"/>
    </row>
    <row r="219" spans="1:44" s="1" customFormat="1" ht="16.5" customHeight="1" thickBot="1" x14ac:dyDescent="0.25">
      <c r="A219" s="324"/>
      <c r="B219" s="1059"/>
      <c r="C219" s="3029"/>
      <c r="D219" s="839"/>
      <c r="E219" s="2625"/>
      <c r="F219" s="341"/>
      <c r="G219" s="2917"/>
      <c r="H219" s="342"/>
      <c r="I219" s="2964"/>
      <c r="J219" s="80" t="s">
        <v>36</v>
      </c>
      <c r="K219" s="455">
        <f>SUM(K217:K217)</f>
        <v>179275</v>
      </c>
      <c r="L219" s="456">
        <f>SUM(L217:L218)</f>
        <v>584743</v>
      </c>
      <c r="M219" s="455">
        <f t="shared" ref="M219:P219" si="30">SUM(M217:M217)</f>
        <v>400000</v>
      </c>
      <c r="N219" s="459"/>
      <c r="O219" s="459"/>
      <c r="P219" s="478">
        <f t="shared" si="30"/>
        <v>400000</v>
      </c>
      <c r="Q219" s="457">
        <f>SUM(Q217)</f>
        <v>400000</v>
      </c>
      <c r="R219" s="457">
        <f>SUM(R217)</f>
        <v>400000</v>
      </c>
      <c r="S219" s="82"/>
      <c r="T219" s="328"/>
      <c r="U219" s="329"/>
      <c r="V219" s="330"/>
    </row>
    <row r="220" spans="1:44" s="2" customFormat="1" ht="16.5" customHeight="1" thickBot="1" x14ac:dyDescent="0.3">
      <c r="A220" s="7" t="s">
        <v>22</v>
      </c>
      <c r="B220" s="8" t="s">
        <v>56</v>
      </c>
      <c r="C220" s="2541" t="s">
        <v>62</v>
      </c>
      <c r="D220" s="2541"/>
      <c r="E220" s="2541"/>
      <c r="F220" s="2541"/>
      <c r="G220" s="2541"/>
      <c r="H220" s="2541"/>
      <c r="I220" s="2541"/>
      <c r="J220" s="2541"/>
      <c r="K220" s="840">
        <f>K219+K215+K202</f>
        <v>1552791</v>
      </c>
      <c r="L220" s="841">
        <f>L219+L215+L202</f>
        <v>1958259</v>
      </c>
      <c r="M220" s="840">
        <f t="shared" ref="M220:R220" si="31">M219+M215+M202</f>
        <v>2851000</v>
      </c>
      <c r="N220" s="842">
        <f t="shared" si="31"/>
        <v>814500</v>
      </c>
      <c r="O220" s="842">
        <f t="shared" si="31"/>
        <v>0</v>
      </c>
      <c r="P220" s="843">
        <f t="shared" si="31"/>
        <v>2036500</v>
      </c>
      <c r="Q220" s="840">
        <f t="shared" si="31"/>
        <v>3640300</v>
      </c>
      <c r="R220" s="840">
        <f t="shared" si="31"/>
        <v>2061800</v>
      </c>
      <c r="S220" s="2542"/>
      <c r="T220" s="2543"/>
      <c r="U220" s="2543"/>
      <c r="V220" s="2544"/>
      <c r="AB220" s="3"/>
    </row>
    <row r="221" spans="1:44" s="1" customFormat="1" ht="16.5" customHeight="1" thickBot="1" x14ac:dyDescent="0.25">
      <c r="A221" s="1057" t="s">
        <v>22</v>
      </c>
      <c r="B221" s="344"/>
      <c r="C221" s="3040" t="s">
        <v>137</v>
      </c>
      <c r="D221" s="3040"/>
      <c r="E221" s="3040"/>
      <c r="F221" s="3040"/>
      <c r="G221" s="3040"/>
      <c r="H221" s="3040"/>
      <c r="I221" s="3040"/>
      <c r="J221" s="3040"/>
      <c r="K221" s="99">
        <f t="shared" ref="K221:R221" si="32">K220+K194+K153+K51</f>
        <v>31181376</v>
      </c>
      <c r="L221" s="844">
        <f t="shared" si="32"/>
        <v>30829516</v>
      </c>
      <c r="M221" s="99">
        <f t="shared" si="32"/>
        <v>32324000</v>
      </c>
      <c r="N221" s="845">
        <f t="shared" si="32"/>
        <v>29404200</v>
      </c>
      <c r="O221" s="845">
        <f t="shared" si="32"/>
        <v>3306868</v>
      </c>
      <c r="P221" s="846">
        <f t="shared" si="32"/>
        <v>2919800</v>
      </c>
      <c r="Q221" s="99">
        <f t="shared" si="32"/>
        <v>32373100</v>
      </c>
      <c r="R221" s="99">
        <f t="shared" si="32"/>
        <v>31346300</v>
      </c>
      <c r="S221" s="3041"/>
      <c r="T221" s="3042"/>
      <c r="U221" s="3042"/>
      <c r="V221" s="3043"/>
    </row>
    <row r="222" spans="1:44" s="2" customFormat="1" ht="16.5" customHeight="1" thickBot="1" x14ac:dyDescent="0.3">
      <c r="A222" s="346" t="s">
        <v>138</v>
      </c>
      <c r="B222" s="3044" t="s">
        <v>139</v>
      </c>
      <c r="C222" s="3045"/>
      <c r="D222" s="3045"/>
      <c r="E222" s="3045"/>
      <c r="F222" s="3045"/>
      <c r="G222" s="3045"/>
      <c r="H222" s="3045"/>
      <c r="I222" s="3045"/>
      <c r="J222" s="3045"/>
      <c r="K222" s="847">
        <f>K221</f>
        <v>31181376</v>
      </c>
      <c r="L222" s="848">
        <f>L221</f>
        <v>30829516</v>
      </c>
      <c r="M222" s="847">
        <f t="shared" ref="M222:R222" si="33">M221</f>
        <v>32324000</v>
      </c>
      <c r="N222" s="849">
        <f t="shared" si="33"/>
        <v>29404200</v>
      </c>
      <c r="O222" s="849">
        <f t="shared" si="33"/>
        <v>3306868</v>
      </c>
      <c r="P222" s="850">
        <f t="shared" si="33"/>
        <v>2919800</v>
      </c>
      <c r="Q222" s="847">
        <f t="shared" si="33"/>
        <v>32373100</v>
      </c>
      <c r="R222" s="847">
        <f t="shared" si="33"/>
        <v>31346300</v>
      </c>
      <c r="S222" s="3046"/>
      <c r="T222" s="3047"/>
      <c r="U222" s="3047"/>
      <c r="V222" s="3048"/>
      <c r="W222" s="167"/>
    </row>
    <row r="223" spans="1:44" s="350" customFormat="1" ht="26.25" customHeight="1" x14ac:dyDescent="0.25">
      <c r="A223" s="3049" t="s">
        <v>140</v>
      </c>
      <c r="B223" s="3049"/>
      <c r="C223" s="3049"/>
      <c r="D223" s="3049"/>
      <c r="E223" s="3049"/>
      <c r="F223" s="3049"/>
      <c r="G223" s="3049"/>
      <c r="H223" s="3049"/>
      <c r="I223" s="3049"/>
      <c r="J223" s="3049"/>
      <c r="K223" s="3049"/>
      <c r="L223" s="3049"/>
      <c r="M223" s="3049"/>
      <c r="N223" s="3049"/>
      <c r="O223" s="3049"/>
      <c r="P223" s="3049"/>
      <c r="Q223" s="3049"/>
      <c r="R223" s="3049"/>
      <c r="S223" s="3049"/>
      <c r="T223" s="3049"/>
      <c r="U223" s="3049"/>
      <c r="V223" s="3049"/>
      <c r="W223" s="348"/>
      <c r="X223" s="349"/>
      <c r="Y223" s="349"/>
      <c r="Z223" s="349"/>
      <c r="AA223" s="349"/>
      <c r="AB223" s="349"/>
      <c r="AC223" s="349"/>
      <c r="AD223" s="349"/>
      <c r="AE223" s="349"/>
      <c r="AF223" s="349"/>
      <c r="AG223" s="349"/>
      <c r="AH223" s="349"/>
      <c r="AI223" s="349"/>
      <c r="AJ223" s="349"/>
      <c r="AK223" s="349"/>
      <c r="AL223" s="349"/>
      <c r="AM223" s="349"/>
      <c r="AN223" s="349"/>
      <c r="AO223" s="349"/>
      <c r="AP223" s="349"/>
      <c r="AQ223" s="349"/>
      <c r="AR223" s="349"/>
    </row>
    <row r="224" spans="1:44" s="350" customFormat="1" ht="16.5" customHeight="1" x14ac:dyDescent="0.25">
      <c r="A224" s="2643" t="s">
        <v>256</v>
      </c>
      <c r="B224" s="2643"/>
      <c r="C224" s="2643"/>
      <c r="D224" s="2643"/>
      <c r="E224" s="2643"/>
      <c r="F224" s="2643"/>
      <c r="G224" s="2643"/>
      <c r="H224" s="2643"/>
      <c r="I224" s="2643"/>
      <c r="J224" s="2643"/>
      <c r="K224" s="2643"/>
      <c r="L224" s="2643"/>
      <c r="M224" s="2643"/>
      <c r="N224" s="2643"/>
      <c r="O224" s="2643"/>
      <c r="P224" s="2643"/>
      <c r="Q224" s="2643"/>
      <c r="R224" s="2643"/>
      <c r="S224" s="2643"/>
      <c r="T224" s="2643"/>
      <c r="U224" s="2643"/>
      <c r="V224" s="851"/>
      <c r="W224" s="851"/>
      <c r="X224" s="349"/>
      <c r="Y224" s="349"/>
      <c r="Z224" s="349"/>
      <c r="AA224" s="349"/>
      <c r="AB224" s="349"/>
      <c r="AC224" s="349"/>
      <c r="AD224" s="349"/>
      <c r="AE224" s="349"/>
      <c r="AF224" s="349"/>
      <c r="AG224" s="349"/>
      <c r="AH224" s="349"/>
      <c r="AI224" s="349"/>
      <c r="AJ224" s="349"/>
      <c r="AK224" s="349"/>
      <c r="AL224" s="349"/>
      <c r="AM224" s="349"/>
      <c r="AN224" s="349"/>
      <c r="AO224" s="349"/>
      <c r="AP224" s="349"/>
      <c r="AQ224" s="349"/>
      <c r="AR224" s="349"/>
    </row>
    <row r="225" spans="1:44" s="350" customFormat="1" ht="16.5" customHeight="1" x14ac:dyDescent="0.25">
      <c r="A225" s="2643" t="s">
        <v>304</v>
      </c>
      <c r="B225" s="2643"/>
      <c r="C225" s="2643"/>
      <c r="D225" s="2643"/>
      <c r="E225" s="2643"/>
      <c r="F225" s="2643"/>
      <c r="G225" s="2643"/>
      <c r="H225" s="2643"/>
      <c r="I225" s="2643"/>
      <c r="J225" s="2643"/>
      <c r="K225" s="2643"/>
      <c r="L225" s="2643"/>
      <c r="M225" s="2643"/>
      <c r="N225" s="2643"/>
      <c r="O225" s="2643"/>
      <c r="P225" s="2643"/>
      <c r="Q225" s="2643"/>
      <c r="R225" s="2643"/>
      <c r="S225" s="2643"/>
      <c r="T225" s="2643"/>
      <c r="U225" s="2643"/>
      <c r="V225" s="1140"/>
      <c r="W225" s="1140"/>
      <c r="X225" s="349"/>
      <c r="Y225" s="349"/>
      <c r="Z225" s="349"/>
      <c r="AA225" s="349"/>
      <c r="AB225" s="349"/>
      <c r="AC225" s="349"/>
      <c r="AD225" s="349"/>
      <c r="AE225" s="349"/>
      <c r="AF225" s="349"/>
      <c r="AG225" s="349"/>
      <c r="AH225" s="349"/>
      <c r="AI225" s="349"/>
      <c r="AJ225" s="349"/>
      <c r="AK225" s="349"/>
      <c r="AL225" s="349"/>
      <c r="AM225" s="349"/>
      <c r="AN225" s="349"/>
      <c r="AO225" s="349"/>
      <c r="AP225" s="349"/>
      <c r="AQ225" s="349"/>
      <c r="AR225" s="349"/>
    </row>
    <row r="226" spans="1:44" s="251" customFormat="1" ht="16.5" customHeight="1" thickBot="1" x14ac:dyDescent="0.25">
      <c r="B226" s="1093"/>
      <c r="C226" s="351"/>
      <c r="D226" s="852"/>
      <c r="E226" s="3063" t="s">
        <v>141</v>
      </c>
      <c r="F226" s="3063"/>
      <c r="G226" s="3063"/>
      <c r="H226" s="3063"/>
      <c r="I226" s="3063"/>
      <c r="J226" s="3063"/>
      <c r="K226" s="3063"/>
      <c r="L226" s="3063"/>
      <c r="M226" s="3063"/>
      <c r="N226" s="3063"/>
      <c r="O226" s="3063"/>
      <c r="P226" s="3063"/>
      <c r="Q226" s="3063"/>
      <c r="R226" s="3063"/>
      <c r="S226" s="352"/>
      <c r="T226" s="352"/>
      <c r="U226" s="352"/>
      <c r="V226" s="352"/>
    </row>
    <row r="227" spans="1:44" s="141" customFormat="1" ht="64.5" customHeight="1" thickBot="1" x14ac:dyDescent="0.3">
      <c r="A227" s="353"/>
      <c r="B227" s="1094"/>
      <c r="C227" s="3034" t="s">
        <v>142</v>
      </c>
      <c r="D227" s="3035"/>
      <c r="E227" s="3035"/>
      <c r="F227" s="3035"/>
      <c r="G227" s="3035"/>
      <c r="H227" s="3035"/>
      <c r="I227" s="3035"/>
      <c r="J227" s="3036"/>
      <c r="K227" s="372" t="s">
        <v>155</v>
      </c>
      <c r="L227" s="373" t="s">
        <v>156</v>
      </c>
      <c r="M227" s="853" t="s">
        <v>257</v>
      </c>
      <c r="N227" s="854"/>
      <c r="O227" s="854"/>
      <c r="P227" s="855"/>
      <c r="Q227" s="856" t="s">
        <v>258</v>
      </c>
      <c r="R227" s="856" t="s">
        <v>259</v>
      </c>
      <c r="S227" s="1094"/>
      <c r="T227" s="2522"/>
      <c r="U227" s="2522"/>
      <c r="V227" s="2522"/>
    </row>
    <row r="228" spans="1:44" s="2" customFormat="1" ht="16.5" customHeight="1" thickBot="1" x14ac:dyDescent="0.3">
      <c r="A228" s="354"/>
      <c r="B228" s="355"/>
      <c r="C228" s="3037" t="s">
        <v>144</v>
      </c>
      <c r="D228" s="3038"/>
      <c r="E228" s="3038"/>
      <c r="F228" s="3038"/>
      <c r="G228" s="3038"/>
      <c r="H228" s="3038"/>
      <c r="I228" s="3038"/>
      <c r="J228" s="3039"/>
      <c r="K228" s="857">
        <f>SUM(K229:K234)</f>
        <v>16461299</v>
      </c>
      <c r="L228" s="858">
        <f>SUM(L229:L234)</f>
        <v>16100531</v>
      </c>
      <c r="M228" s="859">
        <f>SUM(M229:P234)</f>
        <v>15640400</v>
      </c>
      <c r="N228" s="860"/>
      <c r="O228" s="860"/>
      <c r="P228" s="861"/>
      <c r="Q228" s="862">
        <f>SUM(Q229:Q233)</f>
        <v>15010300</v>
      </c>
      <c r="R228" s="863">
        <f>SUM(R229:R233)</f>
        <v>14648700</v>
      </c>
      <c r="S228" s="1092"/>
      <c r="T228" s="2487"/>
      <c r="U228" s="2487"/>
      <c r="V228" s="2487"/>
    </row>
    <row r="229" spans="1:44" s="2" customFormat="1" ht="16.5" customHeight="1" x14ac:dyDescent="0.25">
      <c r="A229" s="354"/>
      <c r="B229" s="357"/>
      <c r="C229" s="3054" t="s">
        <v>145</v>
      </c>
      <c r="D229" s="3055"/>
      <c r="E229" s="3055"/>
      <c r="F229" s="3055"/>
      <c r="G229" s="3055"/>
      <c r="H229" s="3055"/>
      <c r="I229" s="3055"/>
      <c r="J229" s="3056"/>
      <c r="K229" s="864">
        <f>SUMIF(J13:J217,"sb",K13:K217)</f>
        <v>10432866</v>
      </c>
      <c r="L229" s="865">
        <f>SUMIF(J13:J218,"sb",L13:L218)</f>
        <v>9847290</v>
      </c>
      <c r="M229" s="866">
        <f>SUMIF(J13:J217,"sb",M13:M217)</f>
        <v>9769400</v>
      </c>
      <c r="N229" s="867"/>
      <c r="O229" s="867"/>
      <c r="P229" s="868"/>
      <c r="Q229" s="869">
        <f>SUMIF(J13:J217,"sb",Q13:Q217)</f>
        <v>9189700</v>
      </c>
      <c r="R229" s="1123">
        <f>SUMIF(J13:J217,"sb",R13:R217)</f>
        <v>8828400</v>
      </c>
      <c r="S229" s="1091"/>
      <c r="T229" s="2495"/>
      <c r="U229" s="2495"/>
      <c r="V229" s="2495"/>
    </row>
    <row r="230" spans="1:44" s="2" customFormat="1" ht="16.5" customHeight="1" x14ac:dyDescent="0.25">
      <c r="A230" s="354"/>
      <c r="B230" s="357"/>
      <c r="C230" s="2502" t="s">
        <v>146</v>
      </c>
      <c r="D230" s="2503"/>
      <c r="E230" s="2503"/>
      <c r="F230" s="2503"/>
      <c r="G230" s="2503"/>
      <c r="H230" s="2503"/>
      <c r="I230" s="2503"/>
      <c r="J230" s="2504"/>
      <c r="K230" s="870">
        <f>SUMIF(J13:J217,"sb(sp)",K13:K217)</f>
        <v>1329211</v>
      </c>
      <c r="L230" s="871">
        <f>SUMIF(J13:J218,"sb(sp)",L13:L218)</f>
        <v>1384091</v>
      </c>
      <c r="M230" s="872">
        <f>SUMIF(J13:J215,"sb(sp)",M13:M215)</f>
        <v>1447600</v>
      </c>
      <c r="N230" s="873"/>
      <c r="O230" s="873"/>
      <c r="P230" s="874"/>
      <c r="Q230" s="875">
        <f>SUMIF(J13:J217,"sb(sp)",Q13:Q217)</f>
        <v>1441600</v>
      </c>
      <c r="R230" s="876">
        <f>SUMIF(J13:J217,"sb(sp)",R13:R217)</f>
        <v>1441300</v>
      </c>
      <c r="S230" s="1091"/>
      <c r="T230" s="2495"/>
      <c r="U230" s="2495"/>
      <c r="V230" s="2495"/>
    </row>
    <row r="231" spans="1:44" s="2" customFormat="1" ht="16.5" customHeight="1" x14ac:dyDescent="0.25">
      <c r="A231" s="354"/>
      <c r="B231" s="357"/>
      <c r="C231" s="2502" t="s">
        <v>260</v>
      </c>
      <c r="D231" s="2503"/>
      <c r="E231" s="2503"/>
      <c r="F231" s="2503"/>
      <c r="G231" s="2503"/>
      <c r="H231" s="2503"/>
      <c r="I231" s="2503"/>
      <c r="J231" s="2504"/>
      <c r="K231" s="870">
        <f>SUMIF(J13:J217,"sb(spl)",K13:K217)</f>
        <v>331101</v>
      </c>
      <c r="L231" s="871">
        <f>SUMIF(J13:J218,"sb(spl)",L13:L218)</f>
        <v>322891</v>
      </c>
      <c r="M231" s="872"/>
      <c r="N231" s="873"/>
      <c r="O231" s="873"/>
      <c r="P231" s="874"/>
      <c r="Q231" s="875"/>
      <c r="R231" s="876"/>
      <c r="S231" s="1091"/>
      <c r="T231" s="1091"/>
      <c r="U231" s="1091"/>
      <c r="V231" s="1091"/>
    </row>
    <row r="232" spans="1:44" s="2" customFormat="1" ht="16.5" customHeight="1" x14ac:dyDescent="0.25">
      <c r="A232" s="354"/>
      <c r="B232" s="357"/>
      <c r="C232" s="2502" t="s">
        <v>147</v>
      </c>
      <c r="D232" s="2503"/>
      <c r="E232" s="2503"/>
      <c r="F232" s="2503"/>
      <c r="G232" s="2503"/>
      <c r="H232" s="2503"/>
      <c r="I232" s="2503"/>
      <c r="J232" s="2504"/>
      <c r="K232" s="870">
        <f>SUMIF(J13:J217,"sb(vb)",K13:K217)</f>
        <v>4180046</v>
      </c>
      <c r="L232" s="871">
        <f>SUMIF(J13:J218,"sb(vb)",L13:L218)</f>
        <v>4358184</v>
      </c>
      <c r="M232" s="872">
        <f>SUMIF(J13:J217,"sb(vb)",M13:M217)</f>
        <v>4423400</v>
      </c>
      <c r="N232" s="873"/>
      <c r="O232" s="873"/>
      <c r="P232" s="874"/>
      <c r="Q232" s="875">
        <f>SUMIF(J13:J217,"sb(vb)",Q13:Q217)</f>
        <v>4379000</v>
      </c>
      <c r="R232" s="875">
        <f>SUMIF(J13:J217,"sb(vb)",R13:R217)</f>
        <v>4379000</v>
      </c>
      <c r="S232" s="1091"/>
      <c r="T232" s="2495"/>
      <c r="U232" s="2495"/>
      <c r="V232" s="2495"/>
    </row>
    <row r="233" spans="1:44" s="2" customFormat="1" ht="16.5" customHeight="1" x14ac:dyDescent="0.25">
      <c r="A233" s="354"/>
      <c r="B233" s="357"/>
      <c r="C233" s="2699" t="s">
        <v>261</v>
      </c>
      <c r="D233" s="3062"/>
      <c r="E233" s="3062"/>
      <c r="F233" s="3062"/>
      <c r="G233" s="3062"/>
      <c r="H233" s="3062"/>
      <c r="I233" s="3062"/>
      <c r="J233" s="2546"/>
      <c r="K233" s="824">
        <f>SUMIF(J13:J217,"sb(p)",K13:K217)</f>
        <v>39794</v>
      </c>
      <c r="L233" s="877">
        <f>SUMIF(J13:J218,"sb(p)",L13:L218)</f>
        <v>39794</v>
      </c>
      <c r="M233" s="878">
        <f>SUMIF(J13:J217,"sb(p)",M13:M217)</f>
        <v>0</v>
      </c>
      <c r="N233" s="879"/>
      <c r="O233" s="879"/>
      <c r="P233" s="880"/>
      <c r="Q233" s="881">
        <f>SUMIF(J13:J215,J182,Q13:Q215)</f>
        <v>0</v>
      </c>
      <c r="R233" s="709">
        <f>SUMIF(J13:J217,#REF!,R13:R217)</f>
        <v>0</v>
      </c>
      <c r="S233" s="1091"/>
      <c r="T233" s="2495"/>
      <c r="U233" s="2495"/>
      <c r="V233" s="2495"/>
    </row>
    <row r="234" spans="1:44" s="2" customFormat="1" ht="16.5" customHeight="1" thickBot="1" x14ac:dyDescent="0.3">
      <c r="A234" s="354"/>
      <c r="B234" s="357"/>
      <c r="C234" s="3057" t="s">
        <v>262</v>
      </c>
      <c r="D234" s="3058"/>
      <c r="E234" s="3058"/>
      <c r="F234" s="3058"/>
      <c r="G234" s="3058"/>
      <c r="H234" s="3058"/>
      <c r="I234" s="3058"/>
      <c r="J234" s="3059"/>
      <c r="K234" s="882">
        <f>SUMIF(J13:J217,"sb(l)",K13:K217)</f>
        <v>148281</v>
      </c>
      <c r="L234" s="883">
        <f>SUMIF(J13:J218,"sb(l)",L13:L218)</f>
        <v>148281</v>
      </c>
      <c r="M234" s="884">
        <f>SUMIF(J13:J217,"sb(l)",M13:M217)</f>
        <v>0</v>
      </c>
      <c r="N234" s="885"/>
      <c r="O234" s="885"/>
      <c r="P234" s="886"/>
      <c r="Q234" s="887"/>
      <c r="R234" s="888"/>
      <c r="S234" s="1091"/>
      <c r="T234" s="1091"/>
      <c r="U234" s="1091"/>
      <c r="V234" s="1091"/>
    </row>
    <row r="235" spans="1:44" s="2" customFormat="1" ht="16.5" customHeight="1" thickBot="1" x14ac:dyDescent="0.3">
      <c r="A235" s="354"/>
      <c r="B235" s="355"/>
      <c r="C235" s="3037" t="s">
        <v>148</v>
      </c>
      <c r="D235" s="3038"/>
      <c r="E235" s="3038"/>
      <c r="F235" s="3038"/>
      <c r="G235" s="3038"/>
      <c r="H235" s="3038"/>
      <c r="I235" s="3038"/>
      <c r="J235" s="3039"/>
      <c r="K235" s="857">
        <f>SUM(K236:K238)</f>
        <v>14720077</v>
      </c>
      <c r="L235" s="858">
        <f>SUM(L236:L238)</f>
        <v>14728985</v>
      </c>
      <c r="M235" s="859">
        <f>SUM(M236:P238)</f>
        <v>16683600</v>
      </c>
      <c r="N235" s="860"/>
      <c r="O235" s="860"/>
      <c r="P235" s="861"/>
      <c r="Q235" s="862">
        <f>SUM(Q236:Q238)</f>
        <v>17362800</v>
      </c>
      <c r="R235" s="863">
        <f>R236+R237+R238</f>
        <v>16697600</v>
      </c>
      <c r="S235" s="1092"/>
      <c r="T235" s="2487"/>
      <c r="U235" s="2487"/>
      <c r="V235" s="2487"/>
    </row>
    <row r="236" spans="1:44" s="2" customFormat="1" ht="16.5" customHeight="1" x14ac:dyDescent="0.25">
      <c r="A236" s="354"/>
      <c r="B236" s="357"/>
      <c r="C236" s="2858" t="s">
        <v>149</v>
      </c>
      <c r="D236" s="3060"/>
      <c r="E236" s="3060"/>
      <c r="F236" s="3060"/>
      <c r="G236" s="3060"/>
      <c r="H236" s="3060"/>
      <c r="I236" s="3060"/>
      <c r="J236" s="3061"/>
      <c r="K236" s="372">
        <f>SUMIF(J13:J217,"es",K13:K217)</f>
        <v>694062</v>
      </c>
      <c r="L236" s="373">
        <f>SUMIF(J13:J218,"es",L13:L218)</f>
        <v>694062</v>
      </c>
      <c r="M236" s="866">
        <f>SUMIF(J13:J217,"es",M13:M217)</f>
        <v>1341700</v>
      </c>
      <c r="N236" s="867"/>
      <c r="O236" s="867"/>
      <c r="P236" s="868"/>
      <c r="Q236" s="889">
        <f>SUMIF(J13:J215,"es",Q13:Q215)</f>
        <v>2031200</v>
      </c>
      <c r="R236" s="1127">
        <f>SUMIF(J13:J215,"es",R13:R215)</f>
        <v>1376500</v>
      </c>
      <c r="S236" s="1091"/>
      <c r="T236" s="2495"/>
      <c r="U236" s="2495"/>
      <c r="V236" s="2495"/>
    </row>
    <row r="237" spans="1:44" s="2" customFormat="1" ht="16.5" customHeight="1" x14ac:dyDescent="0.25">
      <c r="A237" s="354"/>
      <c r="B237" s="357"/>
      <c r="C237" s="2502" t="s">
        <v>150</v>
      </c>
      <c r="D237" s="2503"/>
      <c r="E237" s="2503"/>
      <c r="F237" s="2503"/>
      <c r="G237" s="2503"/>
      <c r="H237" s="2503"/>
      <c r="I237" s="2503"/>
      <c r="J237" s="2504"/>
      <c r="K237" s="870">
        <f>SUMIF(J13:J217,"lrvb",K13:K217)</f>
        <v>14000499</v>
      </c>
      <c r="L237" s="871">
        <f>SUMIF(J13:J218,"lrvb",L13:L218)</f>
        <v>14009407</v>
      </c>
      <c r="M237" s="872">
        <f>SUMIF(J13:J217,"lrvb",M13:M217)</f>
        <v>15340400</v>
      </c>
      <c r="N237" s="873"/>
      <c r="O237" s="873"/>
      <c r="P237" s="874"/>
      <c r="Q237" s="875">
        <f>SUMIF(J13:J217,"lrvb",Q13:Q217)</f>
        <v>15330000</v>
      </c>
      <c r="R237" s="875">
        <f>SUMIF(J13:J217,"lrvb",R13:R217)</f>
        <v>15319500</v>
      </c>
      <c r="S237" s="361"/>
      <c r="T237" s="2495"/>
      <c r="U237" s="2495"/>
      <c r="V237" s="2495"/>
    </row>
    <row r="238" spans="1:44" s="2" customFormat="1" ht="16.5" customHeight="1" thickBot="1" x14ac:dyDescent="0.3">
      <c r="A238" s="354"/>
      <c r="B238" s="357"/>
      <c r="C238" s="3054" t="s">
        <v>151</v>
      </c>
      <c r="D238" s="3055"/>
      <c r="E238" s="3055"/>
      <c r="F238" s="3055"/>
      <c r="G238" s="3055"/>
      <c r="H238" s="3055"/>
      <c r="I238" s="3055"/>
      <c r="J238" s="3056"/>
      <c r="K238" s="890">
        <f>SUMIF(J13:J217,"kt",K13:K217)</f>
        <v>25516</v>
      </c>
      <c r="L238" s="891">
        <f>SUMIF(J13:J218,"kt",L13:L218)</f>
        <v>25516</v>
      </c>
      <c r="M238" s="892">
        <f>SUMIF(J13:J217,"kt",M13:M217)</f>
        <v>1500</v>
      </c>
      <c r="N238" s="893"/>
      <c r="O238" s="893"/>
      <c r="P238" s="894"/>
      <c r="Q238" s="889">
        <f>SUMIF(J13:J215,"kt",Q13:Q215)</f>
        <v>1600</v>
      </c>
      <c r="R238" s="1127">
        <f>SUMIF(J13:J215,"kt",R13:R215)</f>
        <v>1600</v>
      </c>
      <c r="S238" s="361"/>
      <c r="T238" s="2495"/>
      <c r="U238" s="2495"/>
      <c r="V238" s="2495"/>
    </row>
    <row r="239" spans="1:44" s="2" customFormat="1" ht="16.5" customHeight="1" thickBot="1" x14ac:dyDescent="0.3">
      <c r="A239" s="354"/>
      <c r="B239" s="355"/>
      <c r="C239" s="3051" t="s">
        <v>152</v>
      </c>
      <c r="D239" s="3052"/>
      <c r="E239" s="3052"/>
      <c r="F239" s="3052"/>
      <c r="G239" s="3052"/>
      <c r="H239" s="3052"/>
      <c r="I239" s="3052"/>
      <c r="J239" s="3053"/>
      <c r="K239" s="895">
        <f>K235+K228</f>
        <v>31181376</v>
      </c>
      <c r="L239" s="896">
        <f>L235+L228</f>
        <v>30829516</v>
      </c>
      <c r="M239" s="897">
        <f>M235+M228</f>
        <v>32324000</v>
      </c>
      <c r="N239" s="898"/>
      <c r="O239" s="898"/>
      <c r="P239" s="899"/>
      <c r="Q239" s="900">
        <f>Q228+Q235</f>
        <v>32373100</v>
      </c>
      <c r="R239" s="901">
        <f>R228+R235</f>
        <v>31346300</v>
      </c>
      <c r="S239" s="364"/>
      <c r="T239" s="2487"/>
      <c r="U239" s="2487"/>
      <c r="V239" s="2487"/>
    </row>
    <row r="240" spans="1:44" s="1" customFormat="1" ht="16.5" customHeight="1" x14ac:dyDescent="0.2">
      <c r="B240" s="365"/>
      <c r="C240" s="366"/>
      <c r="D240" s="366"/>
      <c r="E240" s="367"/>
      <c r="F240" s="367"/>
      <c r="G240" s="368"/>
      <c r="H240" s="369"/>
      <c r="I240" s="902"/>
      <c r="J240" s="370"/>
      <c r="K240" s="1168">
        <f>K222-K239</f>
        <v>0</v>
      </c>
      <c r="L240" s="1168">
        <f>L222-L239</f>
        <v>0</v>
      </c>
      <c r="M240" s="1169">
        <f>M239-M222</f>
        <v>0</v>
      </c>
      <c r="N240" s="1168"/>
      <c r="O240" s="1168"/>
      <c r="P240" s="1168"/>
      <c r="Q240" s="1168">
        <f>Q222-Q239</f>
        <v>0</v>
      </c>
      <c r="R240" s="1168">
        <f>R222-R239</f>
        <v>0</v>
      </c>
      <c r="S240" s="371"/>
      <c r="T240" s="370"/>
      <c r="U240" s="370"/>
    </row>
  </sheetData>
  <mergeCells count="256">
    <mergeCell ref="S1:V1"/>
    <mergeCell ref="S94:S97"/>
    <mergeCell ref="C239:J239"/>
    <mergeCell ref="T239:V239"/>
    <mergeCell ref="C237:J237"/>
    <mergeCell ref="T237:V237"/>
    <mergeCell ref="C238:J238"/>
    <mergeCell ref="T238:V238"/>
    <mergeCell ref="C234:J234"/>
    <mergeCell ref="C235:J235"/>
    <mergeCell ref="T235:V235"/>
    <mergeCell ref="C236:J236"/>
    <mergeCell ref="T236:V236"/>
    <mergeCell ref="C231:J231"/>
    <mergeCell ref="C232:J232"/>
    <mergeCell ref="T232:V232"/>
    <mergeCell ref="C233:J233"/>
    <mergeCell ref="T233:V233"/>
    <mergeCell ref="C229:J229"/>
    <mergeCell ref="T229:V229"/>
    <mergeCell ref="C230:J230"/>
    <mergeCell ref="T230:V230"/>
    <mergeCell ref="A225:U225"/>
    <mergeCell ref="E226:R226"/>
    <mergeCell ref="C227:J227"/>
    <mergeCell ref="T227:V227"/>
    <mergeCell ref="C228:J228"/>
    <mergeCell ref="T228:V228"/>
    <mergeCell ref="C221:J221"/>
    <mergeCell ref="S221:V221"/>
    <mergeCell ref="B222:J222"/>
    <mergeCell ref="S222:V222"/>
    <mergeCell ref="A223:V223"/>
    <mergeCell ref="A224:U224"/>
    <mergeCell ref="C216:C219"/>
    <mergeCell ref="E217:E219"/>
    <mergeCell ref="G217:G219"/>
    <mergeCell ref="I217:I219"/>
    <mergeCell ref="C220:J220"/>
    <mergeCell ref="S220:V220"/>
    <mergeCell ref="S208:S209"/>
    <mergeCell ref="E210:E211"/>
    <mergeCell ref="G210:G211"/>
    <mergeCell ref="S210:S211"/>
    <mergeCell ref="L213:L214"/>
    <mergeCell ref="E214:E215"/>
    <mergeCell ref="S214:S215"/>
    <mergeCell ref="C195:V195"/>
    <mergeCell ref="E197:E199"/>
    <mergeCell ref="F197:F199"/>
    <mergeCell ref="I197:I198"/>
    <mergeCell ref="S200:S202"/>
    <mergeCell ref="I203:I204"/>
    <mergeCell ref="E204:E205"/>
    <mergeCell ref="F206:F207"/>
    <mergeCell ref="E208:E209"/>
    <mergeCell ref="S197:S198"/>
    <mergeCell ref="L205:L207"/>
    <mergeCell ref="E190:E192"/>
    <mergeCell ref="I190:I191"/>
    <mergeCell ref="D193:E193"/>
    <mergeCell ref="S193:V193"/>
    <mergeCell ref="C194:J194"/>
    <mergeCell ref="S194:V194"/>
    <mergeCell ref="D180:I180"/>
    <mergeCell ref="S180:V180"/>
    <mergeCell ref="E182:E185"/>
    <mergeCell ref="I182:I183"/>
    <mergeCell ref="S182:S185"/>
    <mergeCell ref="E186:E189"/>
    <mergeCell ref="I186:I187"/>
    <mergeCell ref="S186:S189"/>
    <mergeCell ref="S174:S175"/>
    <mergeCell ref="U174:U175"/>
    <mergeCell ref="V174:V175"/>
    <mergeCell ref="E178:E179"/>
    <mergeCell ref="I178:I179"/>
    <mergeCell ref="S178:S179"/>
    <mergeCell ref="E169:E171"/>
    <mergeCell ref="I169:I171"/>
    <mergeCell ref="E172:E173"/>
    <mergeCell ref="I172:I173"/>
    <mergeCell ref="E174:E177"/>
    <mergeCell ref="I174:I177"/>
    <mergeCell ref="E162:E163"/>
    <mergeCell ref="H162:H163"/>
    <mergeCell ref="I162:I163"/>
    <mergeCell ref="E164:E165"/>
    <mergeCell ref="I164:I165"/>
    <mergeCell ref="E166:E168"/>
    <mergeCell ref="I166:I168"/>
    <mergeCell ref="C153:J153"/>
    <mergeCell ref="S153:V153"/>
    <mergeCell ref="C154:V154"/>
    <mergeCell ref="E156:E158"/>
    <mergeCell ref="I156:I158"/>
    <mergeCell ref="E159:E161"/>
    <mergeCell ref="I159:I161"/>
    <mergeCell ref="U149:U150"/>
    <mergeCell ref="V149:V150"/>
    <mergeCell ref="E151:E152"/>
    <mergeCell ref="F151:F152"/>
    <mergeCell ref="G151:G152"/>
    <mergeCell ref="H151:H152"/>
    <mergeCell ref="I151:I152"/>
    <mergeCell ref="T146:T147"/>
    <mergeCell ref="U146:U147"/>
    <mergeCell ref="V146:V147"/>
    <mergeCell ref="E148:E150"/>
    <mergeCell ref="F148:F150"/>
    <mergeCell ref="G148:G150"/>
    <mergeCell ref="H148:H150"/>
    <mergeCell ref="I148:I150"/>
    <mergeCell ref="S149:S150"/>
    <mergeCell ref="T149:T150"/>
    <mergeCell ref="E145:E147"/>
    <mergeCell ref="F145:F147"/>
    <mergeCell ref="G145:G147"/>
    <mergeCell ref="H145:H147"/>
    <mergeCell ref="I145:I147"/>
    <mergeCell ref="S146:S147"/>
    <mergeCell ref="E143:E144"/>
    <mergeCell ref="H143:H144"/>
    <mergeCell ref="I143:I144"/>
    <mergeCell ref="E125:E126"/>
    <mergeCell ref="S125:S126"/>
    <mergeCell ref="I127:I128"/>
    <mergeCell ref="S127:S128"/>
    <mergeCell ref="A131:A132"/>
    <mergeCell ref="B131:B132"/>
    <mergeCell ref="I131:I135"/>
    <mergeCell ref="S139:S140"/>
    <mergeCell ref="F124:F126"/>
    <mergeCell ref="G124:G126"/>
    <mergeCell ref="H124:H126"/>
    <mergeCell ref="I124:I126"/>
    <mergeCell ref="E131:E133"/>
    <mergeCell ref="E134:E135"/>
    <mergeCell ref="S131:S133"/>
    <mergeCell ref="S134:S135"/>
    <mergeCell ref="A115:A116"/>
    <mergeCell ref="B115:B116"/>
    <mergeCell ref="C115:C116"/>
    <mergeCell ref="E115:E116"/>
    <mergeCell ref="F115:F116"/>
    <mergeCell ref="G115:G116"/>
    <mergeCell ref="E106:E107"/>
    <mergeCell ref="E108:E111"/>
    <mergeCell ref="S108:S109"/>
    <mergeCell ref="S110:S111"/>
    <mergeCell ref="S112:S113"/>
    <mergeCell ref="I114:J114"/>
    <mergeCell ref="S114:V114"/>
    <mergeCell ref="H115:H116"/>
    <mergeCell ref="I115:I116"/>
    <mergeCell ref="S115:S116"/>
    <mergeCell ref="D99:D105"/>
    <mergeCell ref="E99:E105"/>
    <mergeCell ref="S100:S101"/>
    <mergeCell ref="S102:S103"/>
    <mergeCell ref="S104:S105"/>
    <mergeCell ref="C51:J51"/>
    <mergeCell ref="S51:V51"/>
    <mergeCell ref="C52:V52"/>
    <mergeCell ref="D54:D61"/>
    <mergeCell ref="E67:E68"/>
    <mergeCell ref="S67:S68"/>
    <mergeCell ref="E85:E86"/>
    <mergeCell ref="E93:E94"/>
    <mergeCell ref="S84:S86"/>
    <mergeCell ref="S91:S92"/>
    <mergeCell ref="A49:A50"/>
    <mergeCell ref="B49:B50"/>
    <mergeCell ref="E49:E50"/>
    <mergeCell ref="I49:I50"/>
    <mergeCell ref="T45:T46"/>
    <mergeCell ref="U45:U46"/>
    <mergeCell ref="V45:V46"/>
    <mergeCell ref="A47:A48"/>
    <mergeCell ref="B47:B48"/>
    <mergeCell ref="C47:C48"/>
    <mergeCell ref="E47:E48"/>
    <mergeCell ref="I47:I48"/>
    <mergeCell ref="S47:S48"/>
    <mergeCell ref="T47:T48"/>
    <mergeCell ref="E45:E46"/>
    <mergeCell ref="I45:I46"/>
    <mergeCell ref="S45:S46"/>
    <mergeCell ref="I35:I36"/>
    <mergeCell ref="S35:S36"/>
    <mergeCell ref="S39:S40"/>
    <mergeCell ref="I42:J42"/>
    <mergeCell ref="S41:S42"/>
    <mergeCell ref="U47:U48"/>
    <mergeCell ref="T41:T42"/>
    <mergeCell ref="U41:U42"/>
    <mergeCell ref="V41:V42"/>
    <mergeCell ref="I43:I44"/>
    <mergeCell ref="V47:V48"/>
    <mergeCell ref="A43:A44"/>
    <mergeCell ref="B43:B44"/>
    <mergeCell ref="C43:C44"/>
    <mergeCell ref="E43:E44"/>
    <mergeCell ref="F43:F44"/>
    <mergeCell ref="A35:A36"/>
    <mergeCell ref="B35:B36"/>
    <mergeCell ref="G43:G44"/>
    <mergeCell ref="H43:H44"/>
    <mergeCell ref="E35:E38"/>
    <mergeCell ref="V29:V30"/>
    <mergeCell ref="E31:E32"/>
    <mergeCell ref="I31:I32"/>
    <mergeCell ref="S31:S32"/>
    <mergeCell ref="A33:A34"/>
    <mergeCell ref="B33:B34"/>
    <mergeCell ref="E33:E34"/>
    <mergeCell ref="I33:I34"/>
    <mergeCell ref="S27:S28"/>
    <mergeCell ref="E29:E30"/>
    <mergeCell ref="I29:I30"/>
    <mergeCell ref="S29:S30"/>
    <mergeCell ref="T29:T30"/>
    <mergeCell ref="U29:U30"/>
    <mergeCell ref="A2:V2"/>
    <mergeCell ref="A3:V3"/>
    <mergeCell ref="A4:V4"/>
    <mergeCell ref="A5:V5"/>
    <mergeCell ref="A6:A8"/>
    <mergeCell ref="B6:B8"/>
    <mergeCell ref="C6:C8"/>
    <mergeCell ref="E6:E8"/>
    <mergeCell ref="F6:F8"/>
    <mergeCell ref="G6:G8"/>
    <mergeCell ref="S6:V6"/>
    <mergeCell ref="K7:K8"/>
    <mergeCell ref="L7:L8"/>
    <mergeCell ref="M7:M8"/>
    <mergeCell ref="N7:O7"/>
    <mergeCell ref="P7:P8"/>
    <mergeCell ref="H6:H8"/>
    <mergeCell ref="I6:I8"/>
    <mergeCell ref="J6:J8"/>
    <mergeCell ref="M6:P6"/>
    <mergeCell ref="Q6:Q8"/>
    <mergeCell ref="I13:I19"/>
    <mergeCell ref="E14:E15"/>
    <mergeCell ref="L14:L16"/>
    <mergeCell ref="L17:L19"/>
    <mergeCell ref="S19:S20"/>
    <mergeCell ref="S7:S8"/>
    <mergeCell ref="T7:V7"/>
    <mergeCell ref="A9:V9"/>
    <mergeCell ref="A10:V10"/>
    <mergeCell ref="B11:V11"/>
    <mergeCell ref="C12:V12"/>
    <mergeCell ref="R6:R8"/>
  </mergeCells>
  <pageMargins left="0" right="0" top="0.35433070866141736" bottom="0" header="0.31496062992125984" footer="0.31496062992125984"/>
  <pageSetup paperSize="9" scale="76" orientation="landscape" r:id="rId1"/>
  <rowBreaks count="9" manualBreakCount="9">
    <brk id="21" max="21" man="1"/>
    <brk id="34" max="21" man="1"/>
    <brk id="61" max="21" man="1"/>
    <brk id="117" max="21" man="1"/>
    <brk id="128" max="21" man="1"/>
    <brk id="147" max="21" man="1"/>
    <brk id="171" max="21" man="1"/>
    <brk id="194" max="21" man="1"/>
    <brk id="215" max="2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zoomScaleNormal="100" zoomScaleSheetLayoutView="70" workbookViewId="0"/>
  </sheetViews>
  <sheetFormatPr defaultColWidth="9.140625" defaultRowHeight="15" x14ac:dyDescent="0.25"/>
  <cols>
    <col min="1" max="1" width="3.28515625" style="1043" customWidth="1"/>
    <col min="2" max="2" width="3.28515625" style="1205" customWidth="1"/>
    <col min="3" max="3" width="3.28515625" style="1043" customWidth="1"/>
    <col min="4" max="4" width="25.28515625" style="1043" customWidth="1"/>
    <col min="5" max="5" width="4.7109375" style="1043" customWidth="1"/>
    <col min="6" max="6" width="3.140625" style="1043" customWidth="1"/>
    <col min="7" max="7" width="8" style="1043" customWidth="1"/>
    <col min="8" max="8" width="10.140625" style="1043" customWidth="1"/>
    <col min="9" max="9" width="9.7109375" style="1043" customWidth="1"/>
    <col min="10" max="10" width="8.42578125" style="1043" customWidth="1"/>
    <col min="11" max="11" width="9.85546875" style="1043" customWidth="1"/>
    <col min="12" max="12" width="9.42578125" style="1043" customWidth="1"/>
    <col min="13" max="13" width="8.42578125" style="1043" customWidth="1"/>
    <col min="14" max="14" width="9.42578125" style="1043" customWidth="1"/>
    <col min="15" max="15" width="9.85546875" style="1043" customWidth="1"/>
    <col min="16" max="16" width="8.42578125" style="1043" customWidth="1"/>
    <col min="17" max="17" width="24.28515625" style="1043" customWidth="1"/>
    <col min="18" max="18" width="6.7109375" style="1043" customWidth="1"/>
    <col min="19" max="20" width="5.7109375" style="1043" customWidth="1"/>
    <col min="21" max="21" width="44.140625" style="1043" customWidth="1"/>
    <col min="22" max="16384" width="9.140625" style="1043"/>
  </cols>
  <sheetData>
    <row r="1" spans="1:26" ht="27.75" customHeight="1" x14ac:dyDescent="0.25">
      <c r="Q1" s="3092" t="s">
        <v>306</v>
      </c>
      <c r="R1" s="3092"/>
      <c r="S1" s="3092"/>
      <c r="T1" s="3092"/>
      <c r="U1" s="3092"/>
    </row>
    <row r="2" spans="1:26" s="1033" customFormat="1" ht="16.5" customHeight="1" x14ac:dyDescent="0.25">
      <c r="A2" s="2877" t="s">
        <v>0</v>
      </c>
      <c r="B2" s="2877"/>
      <c r="C2" s="2877"/>
      <c r="D2" s="2877"/>
      <c r="E2" s="2877"/>
      <c r="F2" s="2877"/>
      <c r="G2" s="2877"/>
      <c r="H2" s="2877"/>
      <c r="I2" s="2877"/>
      <c r="J2" s="2877"/>
      <c r="K2" s="2877"/>
      <c r="L2" s="2877"/>
      <c r="M2" s="2877"/>
      <c r="N2" s="2877"/>
      <c r="O2" s="2877"/>
      <c r="P2" s="2877"/>
      <c r="Q2" s="2877"/>
      <c r="R2" s="2877"/>
      <c r="S2" s="2877"/>
      <c r="T2" s="2877"/>
      <c r="U2" s="2877"/>
    </row>
    <row r="3" spans="1:26" s="1034" customFormat="1" ht="16.5" customHeight="1" x14ac:dyDescent="0.25">
      <c r="A3" s="3103" t="s">
        <v>1</v>
      </c>
      <c r="B3" s="3103"/>
      <c r="C3" s="3103"/>
      <c r="D3" s="3103"/>
      <c r="E3" s="3103"/>
      <c r="F3" s="3103"/>
      <c r="G3" s="3103"/>
      <c r="H3" s="3103"/>
      <c r="I3" s="3103"/>
      <c r="J3" s="3103"/>
      <c r="K3" s="3103"/>
      <c r="L3" s="3103"/>
      <c r="M3" s="3103"/>
      <c r="N3" s="3103"/>
      <c r="O3" s="3103"/>
      <c r="P3" s="3103"/>
      <c r="Q3" s="3103"/>
      <c r="R3" s="3103"/>
      <c r="S3" s="3103"/>
      <c r="T3" s="3103"/>
      <c r="U3" s="3103"/>
    </row>
    <row r="4" spans="1:26" s="1034" customFormat="1" ht="16.5" customHeight="1" x14ac:dyDescent="0.25">
      <c r="A4" s="3104" t="s">
        <v>2</v>
      </c>
      <c r="B4" s="3104"/>
      <c r="C4" s="3104"/>
      <c r="D4" s="3104"/>
      <c r="E4" s="3104"/>
      <c r="F4" s="3104"/>
      <c r="G4" s="3104"/>
      <c r="H4" s="3104"/>
      <c r="I4" s="3104"/>
      <c r="J4" s="3104"/>
      <c r="K4" s="3104"/>
      <c r="L4" s="3104"/>
      <c r="M4" s="3104"/>
      <c r="N4" s="3104"/>
      <c r="O4" s="3104"/>
      <c r="P4" s="3104"/>
      <c r="Q4" s="3104"/>
      <c r="R4" s="3104"/>
      <c r="S4" s="3104"/>
      <c r="T4" s="3104"/>
      <c r="U4" s="3104"/>
    </row>
    <row r="5" spans="1:26" s="2" customFormat="1" ht="21" customHeight="1" thickBot="1" x14ac:dyDescent="0.25">
      <c r="A5" s="2726" t="s">
        <v>3</v>
      </c>
      <c r="B5" s="2726"/>
      <c r="C5" s="2726"/>
      <c r="D5" s="2726"/>
      <c r="E5" s="2726"/>
      <c r="F5" s="2726"/>
      <c r="G5" s="2726"/>
      <c r="H5" s="2726"/>
      <c r="I5" s="2726"/>
      <c r="J5" s="2726"/>
      <c r="K5" s="2726"/>
      <c r="L5" s="2726"/>
      <c r="M5" s="2726"/>
      <c r="N5" s="2726"/>
      <c r="O5" s="2726"/>
      <c r="P5" s="2726"/>
      <c r="Q5" s="2726"/>
      <c r="R5" s="2726"/>
      <c r="S5" s="2726"/>
      <c r="T5" s="2726"/>
      <c r="U5" s="2726"/>
    </row>
    <row r="6" spans="1:26" s="3" customFormat="1" ht="18.75" customHeight="1" thickBot="1" x14ac:dyDescent="0.3">
      <c r="A6" s="2744" t="s">
        <v>4</v>
      </c>
      <c r="B6" s="2747" t="s">
        <v>5</v>
      </c>
      <c r="C6" s="2750" t="s">
        <v>6</v>
      </c>
      <c r="D6" s="2730" t="s">
        <v>7</v>
      </c>
      <c r="E6" s="2753" t="s">
        <v>8</v>
      </c>
      <c r="F6" s="2756" t="s">
        <v>10</v>
      </c>
      <c r="G6" s="2759" t="s">
        <v>11</v>
      </c>
      <c r="H6" s="3080" t="s">
        <v>12</v>
      </c>
      <c r="I6" s="3083" t="s">
        <v>308</v>
      </c>
      <c r="J6" s="3086" t="s">
        <v>309</v>
      </c>
      <c r="K6" s="3089" t="s">
        <v>343</v>
      </c>
      <c r="L6" s="3083" t="s">
        <v>344</v>
      </c>
      <c r="M6" s="3086" t="s">
        <v>309</v>
      </c>
      <c r="N6" s="3089" t="s">
        <v>346</v>
      </c>
      <c r="O6" s="3083" t="s">
        <v>345</v>
      </c>
      <c r="P6" s="3086" t="s">
        <v>309</v>
      </c>
      <c r="Q6" s="2884" t="s">
        <v>15</v>
      </c>
      <c r="R6" s="2885"/>
      <c r="S6" s="2885"/>
      <c r="T6" s="2886"/>
      <c r="U6" s="3077" t="s">
        <v>326</v>
      </c>
    </row>
    <row r="7" spans="1:26" s="3" customFormat="1" ht="16.5" customHeight="1" x14ac:dyDescent="0.25">
      <c r="A7" s="2745"/>
      <c r="B7" s="2748"/>
      <c r="C7" s="2751"/>
      <c r="D7" s="2731"/>
      <c r="E7" s="2754"/>
      <c r="F7" s="2757"/>
      <c r="G7" s="2733"/>
      <c r="H7" s="3081"/>
      <c r="I7" s="3084"/>
      <c r="J7" s="3087"/>
      <c r="K7" s="3090"/>
      <c r="L7" s="3084"/>
      <c r="M7" s="3087"/>
      <c r="N7" s="3090"/>
      <c r="O7" s="3084"/>
      <c r="P7" s="3087"/>
      <c r="Q7" s="2859" t="s">
        <v>7</v>
      </c>
      <c r="R7" s="2860" t="s">
        <v>16</v>
      </c>
      <c r="S7" s="2861"/>
      <c r="T7" s="2862"/>
      <c r="U7" s="3078"/>
    </row>
    <row r="8" spans="1:26" s="3" customFormat="1" ht="103.5" customHeight="1" thickBot="1" x14ac:dyDescent="0.3">
      <c r="A8" s="2746"/>
      <c r="B8" s="2749"/>
      <c r="C8" s="2752"/>
      <c r="D8" s="2732"/>
      <c r="E8" s="2755"/>
      <c r="F8" s="2758"/>
      <c r="G8" s="2734"/>
      <c r="H8" s="3082"/>
      <c r="I8" s="3085"/>
      <c r="J8" s="3088"/>
      <c r="K8" s="3091"/>
      <c r="L8" s="3085"/>
      <c r="M8" s="3088"/>
      <c r="N8" s="3091"/>
      <c r="O8" s="3085"/>
      <c r="P8" s="3088"/>
      <c r="Q8" s="2741"/>
      <c r="R8" s="4" t="s">
        <v>17</v>
      </c>
      <c r="S8" s="4" t="s">
        <v>18</v>
      </c>
      <c r="T8" s="5" t="s">
        <v>19</v>
      </c>
      <c r="U8" s="3079"/>
    </row>
    <row r="9" spans="1:26" s="2" customFormat="1" ht="14.25" customHeight="1" x14ac:dyDescent="0.25">
      <c r="A9" s="2863" t="s">
        <v>20</v>
      </c>
      <c r="B9" s="2864"/>
      <c r="C9" s="2864"/>
      <c r="D9" s="2864"/>
      <c r="E9" s="2864"/>
      <c r="F9" s="2864"/>
      <c r="G9" s="2864"/>
      <c r="H9" s="2864"/>
      <c r="I9" s="2864"/>
      <c r="J9" s="2864"/>
      <c r="K9" s="2864"/>
      <c r="L9" s="2864"/>
      <c r="M9" s="2864"/>
      <c r="N9" s="2864"/>
      <c r="O9" s="2864"/>
      <c r="P9" s="2864"/>
      <c r="Q9" s="2864"/>
      <c r="R9" s="2864"/>
      <c r="S9" s="2864"/>
      <c r="T9" s="2864"/>
      <c r="U9" s="2865"/>
    </row>
    <row r="10" spans="1:26" s="2" customFormat="1" ht="16.5" customHeight="1" thickBot="1" x14ac:dyDescent="0.3">
      <c r="A10" s="2866" t="s">
        <v>21</v>
      </c>
      <c r="B10" s="2867"/>
      <c r="C10" s="2867"/>
      <c r="D10" s="2867"/>
      <c r="E10" s="2867"/>
      <c r="F10" s="2867"/>
      <c r="G10" s="2867"/>
      <c r="H10" s="2867"/>
      <c r="I10" s="2867"/>
      <c r="J10" s="2867"/>
      <c r="K10" s="2867"/>
      <c r="L10" s="2867"/>
      <c r="M10" s="2867"/>
      <c r="N10" s="2867"/>
      <c r="O10" s="2867"/>
      <c r="P10" s="2867"/>
      <c r="Q10" s="2867"/>
      <c r="R10" s="2867"/>
      <c r="S10" s="2867"/>
      <c r="T10" s="2867"/>
      <c r="U10" s="2868"/>
      <c r="Z10" s="3"/>
    </row>
    <row r="11" spans="1:26" s="3" customFormat="1" ht="16.5" customHeight="1" thickBot="1" x14ac:dyDescent="0.3">
      <c r="A11" s="6" t="s">
        <v>22</v>
      </c>
      <c r="B11" s="2869" t="s">
        <v>23</v>
      </c>
      <c r="C11" s="2869"/>
      <c r="D11" s="2869"/>
      <c r="E11" s="2869"/>
      <c r="F11" s="2869"/>
      <c r="G11" s="2869"/>
      <c r="H11" s="2869"/>
      <c r="I11" s="2869"/>
      <c r="J11" s="2869"/>
      <c r="K11" s="2869"/>
      <c r="L11" s="2869"/>
      <c r="M11" s="2869"/>
      <c r="N11" s="2869"/>
      <c r="O11" s="2869"/>
      <c r="P11" s="2869"/>
      <c r="Q11" s="2869"/>
      <c r="R11" s="2869"/>
      <c r="S11" s="2869"/>
      <c r="T11" s="2869"/>
      <c r="U11" s="2870"/>
    </row>
    <row r="12" spans="1:26" s="3" customFormat="1" ht="16.5" customHeight="1" thickBot="1" x14ac:dyDescent="0.3">
      <c r="A12" s="7" t="s">
        <v>22</v>
      </c>
      <c r="B12" s="8" t="s">
        <v>22</v>
      </c>
      <c r="C12" s="2871" t="s">
        <v>24</v>
      </c>
      <c r="D12" s="2871"/>
      <c r="E12" s="2871"/>
      <c r="F12" s="2871"/>
      <c r="G12" s="2872"/>
      <c r="H12" s="2872"/>
      <c r="I12" s="2872"/>
      <c r="J12" s="2872"/>
      <c r="K12" s="2872"/>
      <c r="L12" s="2872"/>
      <c r="M12" s="2872"/>
      <c r="N12" s="2872"/>
      <c r="O12" s="2872"/>
      <c r="P12" s="2872"/>
      <c r="Q12" s="2872"/>
      <c r="R12" s="2872"/>
      <c r="S12" s="2872"/>
      <c r="T12" s="2872"/>
      <c r="U12" s="2873"/>
    </row>
    <row r="13" spans="1:26" s="3" customFormat="1" ht="81.75" customHeight="1" x14ac:dyDescent="0.25">
      <c r="A13" s="1146" t="s">
        <v>22</v>
      </c>
      <c r="B13" s="9" t="s">
        <v>22</v>
      </c>
      <c r="C13" s="10" t="s">
        <v>22</v>
      </c>
      <c r="D13" s="11" t="s">
        <v>25</v>
      </c>
      <c r="E13" s="138"/>
      <c r="F13" s="1336" t="s">
        <v>27</v>
      </c>
      <c r="G13" s="1337" t="s">
        <v>28</v>
      </c>
      <c r="H13" s="1431">
        <f>1155.6+2.1-420+6.1</f>
        <v>743.79999999999984</v>
      </c>
      <c r="I13" s="1662">
        <v>727</v>
      </c>
      <c r="J13" s="1663">
        <f>I13-H13</f>
        <v>-16.799999999999841</v>
      </c>
      <c r="K13" s="14">
        <v>1209.7</v>
      </c>
      <c r="L13" s="1540">
        <v>1209.7</v>
      </c>
      <c r="M13" s="1525"/>
      <c r="N13" s="14">
        <v>1209.7</v>
      </c>
      <c r="O13" s="1540">
        <v>1209.7</v>
      </c>
      <c r="P13" s="1538"/>
      <c r="Q13" s="936" t="s">
        <v>267</v>
      </c>
      <c r="R13" s="15">
        <v>5</v>
      </c>
      <c r="S13" s="16">
        <v>5</v>
      </c>
      <c r="T13" s="1304">
        <v>5</v>
      </c>
      <c r="U13" s="1294" t="s">
        <v>367</v>
      </c>
    </row>
    <row r="14" spans="1:26" s="3" customFormat="1" ht="42" customHeight="1" x14ac:dyDescent="0.25">
      <c r="A14" s="1144"/>
      <c r="B14" s="18"/>
      <c r="C14" s="19"/>
      <c r="D14" s="2537" t="s">
        <v>30</v>
      </c>
      <c r="E14" s="1277"/>
      <c r="F14" s="1338"/>
      <c r="G14" s="1339" t="s">
        <v>31</v>
      </c>
      <c r="H14" s="1432">
        <f>4309.8-128.4</f>
        <v>4181.4000000000005</v>
      </c>
      <c r="I14" s="1467">
        <f>4181.4-25.5</f>
        <v>4155.8999999999996</v>
      </c>
      <c r="J14" s="1343">
        <f>I14-H14</f>
        <v>-25.500000000000909</v>
      </c>
      <c r="K14" s="71">
        <f>4313.4-3.5</f>
        <v>4309.8999999999996</v>
      </c>
      <c r="L14" s="1478">
        <f>4313.4-3.5</f>
        <v>4309.8999999999996</v>
      </c>
      <c r="M14" s="1539"/>
      <c r="N14" s="71">
        <f>4313.5-3.5</f>
        <v>4310</v>
      </c>
      <c r="O14" s="1478">
        <f>4313.5-3.5</f>
        <v>4310</v>
      </c>
      <c r="P14" s="1415"/>
      <c r="Q14" s="24" t="s">
        <v>266</v>
      </c>
      <c r="R14" s="1664" t="s">
        <v>353</v>
      </c>
      <c r="S14" s="1250">
        <v>196</v>
      </c>
      <c r="T14" s="1305">
        <v>196</v>
      </c>
      <c r="U14" s="2548" t="s">
        <v>356</v>
      </c>
    </row>
    <row r="15" spans="1:26" s="3" customFormat="1" ht="54" customHeight="1" x14ac:dyDescent="0.25">
      <c r="A15" s="1144"/>
      <c r="B15" s="18"/>
      <c r="C15" s="19"/>
      <c r="D15" s="2538"/>
      <c r="E15" s="1277"/>
      <c r="F15" s="1338"/>
      <c r="G15" s="1340"/>
      <c r="H15" s="1433"/>
      <c r="I15" s="1468"/>
      <c r="J15" s="1421"/>
      <c r="K15" s="1354"/>
      <c r="L15" s="1468"/>
      <c r="M15" s="1421"/>
      <c r="N15" s="1354"/>
      <c r="O15" s="1468"/>
      <c r="P15" s="1341"/>
      <c r="Q15" s="507" t="s">
        <v>270</v>
      </c>
      <c r="R15" s="1665" t="s">
        <v>354</v>
      </c>
      <c r="S15" s="1321">
        <v>65</v>
      </c>
      <c r="T15" s="544">
        <v>70</v>
      </c>
      <c r="U15" s="2548"/>
    </row>
    <row r="16" spans="1:26" s="3" customFormat="1" ht="30" customHeight="1" x14ac:dyDescent="0.25">
      <c r="A16" s="1144"/>
      <c r="B16" s="18"/>
      <c r="C16" s="19"/>
      <c r="D16" s="2538"/>
      <c r="E16" s="1277"/>
      <c r="F16" s="1338"/>
      <c r="G16" s="1340"/>
      <c r="H16" s="1433"/>
      <c r="I16" s="1468"/>
      <c r="J16" s="1421"/>
      <c r="K16" s="1354"/>
      <c r="L16" s="1468"/>
      <c r="M16" s="1421"/>
      <c r="N16" s="1354"/>
      <c r="O16" s="1468"/>
      <c r="P16" s="1341"/>
      <c r="Q16" s="33" t="s">
        <v>33</v>
      </c>
      <c r="R16" s="30">
        <v>3500</v>
      </c>
      <c r="S16" s="1321">
        <v>3500</v>
      </c>
      <c r="T16" s="544">
        <v>3500</v>
      </c>
      <c r="U16" s="2548"/>
    </row>
    <row r="17" spans="1:25" s="3" customFormat="1" ht="42.75" customHeight="1" x14ac:dyDescent="0.25">
      <c r="A17" s="1225"/>
      <c r="B17" s="18"/>
      <c r="C17" s="19"/>
      <c r="D17" s="31"/>
      <c r="E17" s="20"/>
      <c r="F17" s="937"/>
      <c r="G17" s="28"/>
      <c r="H17" s="1434"/>
      <c r="I17" s="1469"/>
      <c r="J17" s="120"/>
      <c r="K17" s="29"/>
      <c r="L17" s="1470"/>
      <c r="M17" s="120"/>
      <c r="N17" s="29"/>
      <c r="O17" s="1470"/>
      <c r="P17" s="32"/>
      <c r="Q17" s="34" t="s">
        <v>34</v>
      </c>
      <c r="R17" s="1276" t="s">
        <v>355</v>
      </c>
      <c r="S17" s="976">
        <v>16280</v>
      </c>
      <c r="T17" s="1342">
        <v>16280</v>
      </c>
      <c r="U17" s="1344"/>
    </row>
    <row r="18" spans="1:25" s="3" customFormat="1" ht="38.25" customHeight="1" x14ac:dyDescent="0.25">
      <c r="A18" s="1225"/>
      <c r="B18" s="18"/>
      <c r="C18" s="19"/>
      <c r="D18" s="31"/>
      <c r="E18" s="20"/>
      <c r="F18" s="937"/>
      <c r="G18" s="35"/>
      <c r="H18" s="1435"/>
      <c r="I18" s="1470"/>
      <c r="J18" s="120"/>
      <c r="K18" s="29"/>
      <c r="L18" s="1470"/>
      <c r="M18" s="120"/>
      <c r="N18" s="29"/>
      <c r="O18" s="1470"/>
      <c r="P18" s="32"/>
      <c r="Q18" s="3019" t="s">
        <v>35</v>
      </c>
      <c r="R18" s="39">
        <v>95</v>
      </c>
      <c r="S18" s="1250">
        <v>104</v>
      </c>
      <c r="T18" s="544">
        <v>114</v>
      </c>
      <c r="U18" s="28"/>
    </row>
    <row r="19" spans="1:25" s="3" customFormat="1" ht="17.25" customHeight="1" x14ac:dyDescent="0.25">
      <c r="A19" s="1730"/>
      <c r="B19" s="1731"/>
      <c r="C19" s="1190"/>
      <c r="D19" s="1229"/>
      <c r="E19" s="1231"/>
      <c r="F19" s="939"/>
      <c r="G19" s="50" t="s">
        <v>36</v>
      </c>
      <c r="H19" s="51">
        <f>SUM(H13:H18)</f>
        <v>4925.2000000000007</v>
      </c>
      <c r="I19" s="1471">
        <f>SUM(I13:I18)</f>
        <v>4882.8999999999996</v>
      </c>
      <c r="J19" s="1574">
        <f t="shared" ref="J19" si="0">SUM(J13:J18)</f>
        <v>-42.30000000000075</v>
      </c>
      <c r="K19" s="1527">
        <f>SUM(K13:K18)</f>
        <v>5519.5999999999995</v>
      </c>
      <c r="L19" s="1471">
        <f>SUM(L13:L18)</f>
        <v>5519.5999999999995</v>
      </c>
      <c r="M19" s="1574"/>
      <c r="N19" s="1527">
        <f>SUM(N13:N18)</f>
        <v>5519.7</v>
      </c>
      <c r="O19" s="1471">
        <f>SUM(O13:O18)</f>
        <v>5519.7</v>
      </c>
      <c r="P19" s="1532"/>
      <c r="Q19" s="2787"/>
      <c r="R19" s="416"/>
      <c r="S19" s="67"/>
      <c r="T19" s="415"/>
      <c r="U19" s="35"/>
    </row>
    <row r="20" spans="1:25" s="3" customFormat="1" ht="55.5" customHeight="1" x14ac:dyDescent="0.25">
      <c r="A20" s="1753"/>
      <c r="B20" s="1754"/>
      <c r="C20" s="19"/>
      <c r="D20" s="2524" t="s">
        <v>37</v>
      </c>
      <c r="E20" s="3064" t="s">
        <v>319</v>
      </c>
      <c r="F20" s="937" t="s">
        <v>27</v>
      </c>
      <c r="G20" s="35" t="s">
        <v>28</v>
      </c>
      <c r="H20" s="1359">
        <v>1627.8</v>
      </c>
      <c r="I20" s="1751">
        <f>1627.8+425.1</f>
        <v>2052.9</v>
      </c>
      <c r="J20" s="1752">
        <f>I20-H20</f>
        <v>425.10000000000014</v>
      </c>
      <c r="K20" s="61">
        <v>1627.8</v>
      </c>
      <c r="L20" s="1476">
        <v>1627.8</v>
      </c>
      <c r="M20" s="127"/>
      <c r="N20" s="61">
        <v>1627.8</v>
      </c>
      <c r="O20" s="1476">
        <v>1627.8</v>
      </c>
      <c r="P20" s="1533"/>
      <c r="Q20" s="2548" t="s">
        <v>38</v>
      </c>
      <c r="R20" s="1666" t="s">
        <v>357</v>
      </c>
      <c r="S20" s="46">
        <v>640</v>
      </c>
      <c r="T20" s="1306">
        <v>640</v>
      </c>
      <c r="U20" s="2523" t="s">
        <v>369</v>
      </c>
    </row>
    <row r="21" spans="1:25" s="3" customFormat="1" ht="15" customHeight="1" x14ac:dyDescent="0.25">
      <c r="A21" s="1753"/>
      <c r="B21" s="1754"/>
      <c r="C21" s="19"/>
      <c r="D21" s="2525"/>
      <c r="E21" s="3065"/>
      <c r="F21" s="937"/>
      <c r="G21" s="36" t="s">
        <v>36</v>
      </c>
      <c r="H21" s="38">
        <f t="shared" ref="H21:I21" si="1">SUM(H20:H20)</f>
        <v>1627.8</v>
      </c>
      <c r="I21" s="1473">
        <f t="shared" si="1"/>
        <v>2052.9</v>
      </c>
      <c r="J21" s="134">
        <f t="shared" ref="J21" si="2">SUM(J20:J20)</f>
        <v>425.10000000000014</v>
      </c>
      <c r="K21" s="37">
        <f>SUM(K20:K20)</f>
        <v>1627.8</v>
      </c>
      <c r="L21" s="1473">
        <f>SUM(L20:L20)</f>
        <v>1627.8</v>
      </c>
      <c r="M21" s="1534"/>
      <c r="N21" s="37">
        <f>SUM(N20:N20)</f>
        <v>1627.8</v>
      </c>
      <c r="O21" s="1473">
        <f>SUM(O20:O20)</f>
        <v>1627.8</v>
      </c>
      <c r="P21" s="1426"/>
      <c r="Q21" s="2621"/>
      <c r="R21" s="20"/>
      <c r="S21" s="47"/>
      <c r="T21" s="91"/>
      <c r="U21" s="2525"/>
    </row>
    <row r="22" spans="1:25" s="3" customFormat="1" ht="52.5" customHeight="1" x14ac:dyDescent="0.25">
      <c r="A22" s="1766"/>
      <c r="B22" s="1784"/>
      <c r="C22" s="19"/>
      <c r="D22" s="2537" t="s">
        <v>39</v>
      </c>
      <c r="E22" s="1772"/>
      <c r="F22" s="938" t="s">
        <v>27</v>
      </c>
      <c r="G22" s="43" t="s">
        <v>28</v>
      </c>
      <c r="H22" s="1436">
        <v>214.5</v>
      </c>
      <c r="I22" s="1656">
        <f>214.5+2.9</f>
        <v>217.4</v>
      </c>
      <c r="J22" s="1654">
        <f>I22-H22</f>
        <v>2.9000000000000057</v>
      </c>
      <c r="K22" s="44">
        <v>214.5</v>
      </c>
      <c r="L22" s="1511">
        <v>214.5</v>
      </c>
      <c r="M22" s="1742"/>
      <c r="N22" s="44">
        <v>214.5</v>
      </c>
      <c r="O22" s="1511">
        <v>214.5</v>
      </c>
      <c r="P22" s="1415"/>
      <c r="Q22" s="2620" t="s">
        <v>40</v>
      </c>
      <c r="R22" s="3073">
        <v>23</v>
      </c>
      <c r="S22" s="2913">
        <v>23</v>
      </c>
      <c r="T22" s="3071">
        <v>23</v>
      </c>
      <c r="U22" s="2620" t="s">
        <v>370</v>
      </c>
    </row>
    <row r="23" spans="1:25" s="3" customFormat="1" ht="16.5" customHeight="1" x14ac:dyDescent="0.25">
      <c r="A23" s="1766"/>
      <c r="B23" s="1784"/>
      <c r="C23" s="1190"/>
      <c r="D23" s="2845"/>
      <c r="E23" s="1773"/>
      <c r="F23" s="939"/>
      <c r="G23" s="50" t="s">
        <v>36</v>
      </c>
      <c r="H23" s="51">
        <f>H22</f>
        <v>214.5</v>
      </c>
      <c r="I23" s="1471">
        <f>I22</f>
        <v>217.4</v>
      </c>
      <c r="J23" s="1574">
        <f>+J22</f>
        <v>2.9000000000000057</v>
      </c>
      <c r="K23" s="1527">
        <f>+K22</f>
        <v>214.5</v>
      </c>
      <c r="L23" s="1471">
        <f>+L22</f>
        <v>214.5</v>
      </c>
      <c r="M23" s="1743"/>
      <c r="N23" s="1527">
        <f>+N22</f>
        <v>214.5</v>
      </c>
      <c r="O23" s="1471">
        <f>+O22</f>
        <v>214.5</v>
      </c>
      <c r="P23" s="1532"/>
      <c r="Q23" s="2621"/>
      <c r="R23" s="3074"/>
      <c r="S23" s="2704"/>
      <c r="T23" s="3072"/>
      <c r="U23" s="2621"/>
    </row>
    <row r="24" spans="1:25" s="3" customFormat="1" ht="42.75" customHeight="1" x14ac:dyDescent="0.25">
      <c r="A24" s="1766"/>
      <c r="B24" s="1784"/>
      <c r="C24" s="19"/>
      <c r="D24" s="2523" t="s">
        <v>41</v>
      </c>
      <c r="E24" s="3066" t="s">
        <v>311</v>
      </c>
      <c r="F24" s="938" t="s">
        <v>27</v>
      </c>
      <c r="G24" s="43" t="s">
        <v>28</v>
      </c>
      <c r="H24" s="1437">
        <v>566.29999999999995</v>
      </c>
      <c r="I24" s="1667">
        <v>471</v>
      </c>
      <c r="J24" s="1668">
        <f>I24-H24</f>
        <v>-95.299999999999955</v>
      </c>
      <c r="K24" s="61">
        <v>589.70000000000005</v>
      </c>
      <c r="L24" s="1476">
        <v>589.70000000000005</v>
      </c>
      <c r="M24" s="112"/>
      <c r="N24" s="61">
        <v>589.70000000000005</v>
      </c>
      <c r="O24" s="1476">
        <v>589.70000000000005</v>
      </c>
      <c r="P24" s="1529"/>
      <c r="Q24" s="2523" t="s">
        <v>42</v>
      </c>
      <c r="R24" s="1740" t="s">
        <v>358</v>
      </c>
      <c r="S24" s="524" t="s">
        <v>43</v>
      </c>
      <c r="T24" s="1741" t="s">
        <v>43</v>
      </c>
      <c r="U24" s="3069" t="s">
        <v>372</v>
      </c>
    </row>
    <row r="25" spans="1:25" s="3" customFormat="1" ht="26.25" customHeight="1" x14ac:dyDescent="0.25">
      <c r="A25" s="1781"/>
      <c r="B25" s="905"/>
      <c r="C25" s="1206"/>
      <c r="D25" s="2525"/>
      <c r="E25" s="2673"/>
      <c r="F25" s="939"/>
      <c r="G25" s="50" t="s">
        <v>36</v>
      </c>
      <c r="H25" s="51">
        <f>H24</f>
        <v>566.29999999999995</v>
      </c>
      <c r="I25" s="1471">
        <f>I24</f>
        <v>471</v>
      </c>
      <c r="J25" s="1574">
        <f>+J24</f>
        <v>-95.299999999999955</v>
      </c>
      <c r="K25" s="1527">
        <f>+K24</f>
        <v>589.70000000000005</v>
      </c>
      <c r="L25" s="1471">
        <f>+L24</f>
        <v>589.70000000000005</v>
      </c>
      <c r="M25" s="1797"/>
      <c r="N25" s="1527">
        <f>+N24</f>
        <v>589.70000000000005</v>
      </c>
      <c r="O25" s="1471">
        <f>+O24</f>
        <v>589.70000000000005</v>
      </c>
      <c r="P25" s="1798"/>
      <c r="Q25" s="2525"/>
      <c r="R25" s="1799" t="s">
        <v>368</v>
      </c>
      <c r="S25" s="53" t="s">
        <v>44</v>
      </c>
      <c r="T25" s="1800" t="s">
        <v>44</v>
      </c>
      <c r="U25" s="3070"/>
    </row>
    <row r="26" spans="1:25" s="3" customFormat="1" ht="39" customHeight="1" x14ac:dyDescent="0.25">
      <c r="A26" s="3125"/>
      <c r="B26" s="3126"/>
      <c r="C26" s="1814"/>
      <c r="D26" s="2523" t="s">
        <v>45</v>
      </c>
      <c r="E26" s="3066" t="s">
        <v>311</v>
      </c>
      <c r="F26" s="1762">
        <v>3</v>
      </c>
      <c r="G26" s="1779" t="s">
        <v>31</v>
      </c>
      <c r="H26" s="1437">
        <v>129.19999999999999</v>
      </c>
      <c r="I26" s="1476">
        <v>129.19999999999999</v>
      </c>
      <c r="J26" s="1575"/>
      <c r="K26" s="61">
        <v>129.19999999999999</v>
      </c>
      <c r="L26" s="1476">
        <v>129.19999999999999</v>
      </c>
      <c r="M26" s="1600"/>
      <c r="N26" s="61">
        <v>129.19999999999999</v>
      </c>
      <c r="O26" s="1476">
        <v>129.19999999999999</v>
      </c>
      <c r="P26" s="1416"/>
      <c r="Q26" s="1759" t="s">
        <v>271</v>
      </c>
      <c r="R26" s="30">
        <v>2100</v>
      </c>
      <c r="S26" s="1764">
        <v>2100</v>
      </c>
      <c r="T26" s="544">
        <v>2100</v>
      </c>
      <c r="U26" s="22"/>
    </row>
    <row r="27" spans="1:25" s="3" customFormat="1" ht="15" customHeight="1" x14ac:dyDescent="0.25">
      <c r="A27" s="2908"/>
      <c r="B27" s="2599"/>
      <c r="C27" s="1785"/>
      <c r="D27" s="2524"/>
      <c r="E27" s="2673"/>
      <c r="F27" s="1763"/>
      <c r="G27" s="303" t="s">
        <v>36</v>
      </c>
      <c r="H27" s="38">
        <f>H26</f>
        <v>129.19999999999999</v>
      </c>
      <c r="I27" s="1473">
        <f>I26</f>
        <v>129.19999999999999</v>
      </c>
      <c r="J27" s="134">
        <f t="shared" ref="J27" si="3">+J26</f>
        <v>0</v>
      </c>
      <c r="K27" s="1527">
        <f>+K26</f>
        <v>129.19999999999999</v>
      </c>
      <c r="L27" s="1471">
        <f>+L26</f>
        <v>129.19999999999999</v>
      </c>
      <c r="M27" s="1744"/>
      <c r="N27" s="1527">
        <f>+N26</f>
        <v>129.19999999999999</v>
      </c>
      <c r="O27" s="1471">
        <f>+O26</f>
        <v>129.19999999999999</v>
      </c>
      <c r="P27" s="1532"/>
      <c r="Q27" s="128"/>
      <c r="R27" s="39"/>
      <c r="S27" s="67"/>
      <c r="T27" s="540"/>
      <c r="U27" s="28"/>
    </row>
    <row r="28" spans="1:25" s="2" customFormat="1" ht="32.25" customHeight="1" x14ac:dyDescent="0.25">
      <c r="A28" s="2908"/>
      <c r="B28" s="2599"/>
      <c r="C28" s="1785"/>
      <c r="D28" s="2523" t="s">
        <v>352</v>
      </c>
      <c r="E28" s="2887" t="s">
        <v>323</v>
      </c>
      <c r="F28" s="3110" t="s">
        <v>27</v>
      </c>
      <c r="G28" s="22" t="s">
        <v>31</v>
      </c>
      <c r="H28" s="1438">
        <v>31.6</v>
      </c>
      <c r="I28" s="1477">
        <v>31.6</v>
      </c>
      <c r="J28" s="1207"/>
      <c r="K28" s="70"/>
      <c r="L28" s="1504"/>
      <c r="M28" s="1601"/>
      <c r="N28" s="70"/>
      <c r="O28" s="1504"/>
      <c r="P28" s="161"/>
      <c r="Q28" s="2620" t="s">
        <v>47</v>
      </c>
      <c r="R28" s="30"/>
      <c r="S28" s="1764"/>
      <c r="T28" s="1305"/>
      <c r="U28" s="2620" t="s">
        <v>375</v>
      </c>
    </row>
    <row r="29" spans="1:25" s="2" customFormat="1" ht="32.25" customHeight="1" x14ac:dyDescent="0.25">
      <c r="A29" s="2908"/>
      <c r="B29" s="2599"/>
      <c r="C29" s="1785"/>
      <c r="D29" s="2524"/>
      <c r="E29" s="3122"/>
      <c r="F29" s="2584"/>
      <c r="G29" s="22" t="s">
        <v>28</v>
      </c>
      <c r="H29" s="1439">
        <v>216.5</v>
      </c>
      <c r="I29" s="1555">
        <f>216.5+34.7</f>
        <v>251.2</v>
      </c>
      <c r="J29" s="1410">
        <f>I29-H29</f>
        <v>34.699999999999989</v>
      </c>
      <c r="K29" s="71">
        <v>102.2</v>
      </c>
      <c r="L29" s="1555">
        <v>251.2</v>
      </c>
      <c r="M29" s="1745">
        <f>L29-K29</f>
        <v>149</v>
      </c>
      <c r="N29" s="71">
        <v>102.2</v>
      </c>
      <c r="O29" s="1555">
        <v>251.2</v>
      </c>
      <c r="P29" s="1710">
        <f>O29-N29</f>
        <v>149</v>
      </c>
      <c r="Q29" s="2548"/>
      <c r="R29" s="1672" t="s">
        <v>359</v>
      </c>
      <c r="S29" s="1673" t="s">
        <v>360</v>
      </c>
      <c r="T29" s="1750" t="s">
        <v>360</v>
      </c>
      <c r="U29" s="2548"/>
      <c r="V29" s="3"/>
      <c r="X29" s="3"/>
    </row>
    <row r="30" spans="1:25" s="2" customFormat="1" ht="32.25" customHeight="1" x14ac:dyDescent="0.25">
      <c r="A30" s="1766"/>
      <c r="B30" s="1767"/>
      <c r="C30" s="1785"/>
      <c r="D30" s="2524"/>
      <c r="E30" s="3122"/>
      <c r="F30" s="2584"/>
      <c r="G30" s="1236" t="s">
        <v>334</v>
      </c>
      <c r="H30" s="1437">
        <v>97.8</v>
      </c>
      <c r="I30" s="1667">
        <v>98.7</v>
      </c>
      <c r="J30" s="1668">
        <f>I30-H30</f>
        <v>0.90000000000000568</v>
      </c>
      <c r="K30" s="61"/>
      <c r="L30" s="1476"/>
      <c r="M30" s="1746"/>
      <c r="N30" s="338"/>
      <c r="O30" s="1477"/>
      <c r="P30" s="168"/>
      <c r="Q30" s="1760" t="s">
        <v>48</v>
      </c>
      <c r="R30" s="1669" t="s">
        <v>361</v>
      </c>
      <c r="S30" s="1670" t="s">
        <v>361</v>
      </c>
      <c r="T30" s="1671" t="s">
        <v>361</v>
      </c>
      <c r="U30" s="2548"/>
      <c r="W30" s="3"/>
      <c r="X30" s="3"/>
      <c r="Y30" s="3"/>
    </row>
    <row r="31" spans="1:25" s="2" customFormat="1" ht="32.25" customHeight="1" x14ac:dyDescent="0.25">
      <c r="A31" s="1766"/>
      <c r="B31" s="1767"/>
      <c r="C31" s="1785"/>
      <c r="D31" s="2524"/>
      <c r="E31" s="3122"/>
      <c r="F31" s="2584"/>
      <c r="G31" s="1674"/>
      <c r="H31" s="1438"/>
      <c r="I31" s="1675"/>
      <c r="J31" s="1676"/>
      <c r="K31" s="338"/>
      <c r="L31" s="1477"/>
      <c r="M31" s="1600"/>
      <c r="N31" s="61"/>
      <c r="O31" s="1476"/>
      <c r="P31" s="1680"/>
      <c r="Q31" s="1760" t="s">
        <v>268</v>
      </c>
      <c r="R31" s="1672" t="s">
        <v>362</v>
      </c>
      <c r="S31" s="1673" t="s">
        <v>363</v>
      </c>
      <c r="T31" s="1683" t="s">
        <v>363</v>
      </c>
      <c r="U31" s="2548"/>
      <c r="W31" s="3"/>
      <c r="X31" s="3"/>
      <c r="Y31" s="3"/>
    </row>
    <row r="32" spans="1:25" s="2" customFormat="1" ht="15.75" customHeight="1" x14ac:dyDescent="0.25">
      <c r="A32" s="1766"/>
      <c r="B32" s="1767"/>
      <c r="C32" s="1785"/>
      <c r="D32" s="2524"/>
      <c r="E32" s="3122"/>
      <c r="F32" s="2584"/>
      <c r="G32" s="36" t="s">
        <v>36</v>
      </c>
      <c r="H32" s="38">
        <f>SUM(H28:H30)</f>
        <v>345.9</v>
      </c>
      <c r="I32" s="1473">
        <f>SUM(I28:I30)</f>
        <v>381.5</v>
      </c>
      <c r="J32" s="134">
        <f t="shared" ref="J32" si="4">SUM(J28:J30)</f>
        <v>35.599999999999994</v>
      </c>
      <c r="K32" s="37">
        <f t="shared" ref="K32:P32" si="5">SUM(K28:K30)</f>
        <v>102.2</v>
      </c>
      <c r="L32" s="1473">
        <f t="shared" si="5"/>
        <v>251.2</v>
      </c>
      <c r="M32" s="1534">
        <f t="shared" si="5"/>
        <v>149</v>
      </c>
      <c r="N32" s="1677">
        <f t="shared" si="5"/>
        <v>102.2</v>
      </c>
      <c r="O32" s="1678">
        <f t="shared" si="5"/>
        <v>251.2</v>
      </c>
      <c r="P32" s="1679">
        <f t="shared" si="5"/>
        <v>149</v>
      </c>
      <c r="Q32" s="1790" t="s">
        <v>364</v>
      </c>
      <c r="R32" s="1666">
        <v>40</v>
      </c>
      <c r="S32" s="1681">
        <v>40</v>
      </c>
      <c r="T32" s="1682">
        <v>40</v>
      </c>
      <c r="U32" s="2548"/>
    </row>
    <row r="33" spans="1:24" s="2" customFormat="1" ht="15.75" customHeight="1" thickBot="1" x14ac:dyDescent="0.3">
      <c r="A33" s="1770"/>
      <c r="B33" s="1771"/>
      <c r="C33" s="1786"/>
      <c r="D33" s="2539" t="s">
        <v>49</v>
      </c>
      <c r="E33" s="2540"/>
      <c r="F33" s="2540"/>
      <c r="G33" s="2831"/>
      <c r="H33" s="81">
        <f t="shared" ref="H33:P33" si="6">H32+H27+H25+H23+H21+H19</f>
        <v>7808.9000000000005</v>
      </c>
      <c r="I33" s="1479">
        <f t="shared" si="6"/>
        <v>8134.9</v>
      </c>
      <c r="J33" s="327">
        <f t="shared" si="6"/>
        <v>325.99999999999943</v>
      </c>
      <c r="K33" s="75">
        <f t="shared" si="6"/>
        <v>8182.9999999999991</v>
      </c>
      <c r="L33" s="1479">
        <f t="shared" si="6"/>
        <v>8332</v>
      </c>
      <c r="M33" s="1747">
        <f t="shared" si="6"/>
        <v>149</v>
      </c>
      <c r="N33" s="1748">
        <f t="shared" si="6"/>
        <v>8183.0999999999995</v>
      </c>
      <c r="O33" s="1589">
        <f t="shared" si="6"/>
        <v>8332.0999999999985</v>
      </c>
      <c r="P33" s="1749">
        <f t="shared" si="6"/>
        <v>149</v>
      </c>
      <c r="Q33" s="1815"/>
      <c r="R33" s="1816"/>
      <c r="S33" s="1817"/>
      <c r="T33" s="1818"/>
      <c r="U33" s="2549"/>
      <c r="W33" s="3"/>
    </row>
    <row r="34" spans="1:24" s="3" customFormat="1" ht="61.5" customHeight="1" x14ac:dyDescent="0.25">
      <c r="A34" s="2914" t="s">
        <v>22</v>
      </c>
      <c r="B34" s="2598" t="s">
        <v>22</v>
      </c>
      <c r="C34" s="2674" t="s">
        <v>50</v>
      </c>
      <c r="D34" s="2600" t="s">
        <v>51</v>
      </c>
      <c r="E34" s="2676"/>
      <c r="F34" s="2678" t="s">
        <v>27</v>
      </c>
      <c r="G34" s="13" t="s">
        <v>52</v>
      </c>
      <c r="H34" s="76">
        <v>11910.9</v>
      </c>
      <c r="I34" s="1480">
        <v>11910.9</v>
      </c>
      <c r="J34" s="127"/>
      <c r="K34" s="69">
        <v>11910.9</v>
      </c>
      <c r="L34" s="1506">
        <v>11910.9</v>
      </c>
      <c r="M34" s="1533"/>
      <c r="N34" s="69">
        <v>11910.9</v>
      </c>
      <c r="O34" s="1506">
        <v>11910.9</v>
      </c>
      <c r="P34" s="168"/>
      <c r="Q34" s="77" t="s">
        <v>53</v>
      </c>
      <c r="R34" s="1249">
        <v>6460</v>
      </c>
      <c r="S34" s="1248">
        <v>6419</v>
      </c>
      <c r="T34" s="548">
        <v>6419</v>
      </c>
      <c r="U34" s="1296"/>
    </row>
    <row r="35" spans="1:24" s="3" customFormat="1" ht="16.5" customHeight="1" thickBot="1" x14ac:dyDescent="0.3">
      <c r="A35" s="2915"/>
      <c r="B35" s="2649"/>
      <c r="C35" s="2675"/>
      <c r="D35" s="2601"/>
      <c r="E35" s="2677"/>
      <c r="F35" s="2679"/>
      <c r="G35" s="80" t="s">
        <v>36</v>
      </c>
      <c r="H35" s="81">
        <f>H34</f>
        <v>11910.9</v>
      </c>
      <c r="I35" s="1479">
        <f>I34</f>
        <v>11910.9</v>
      </c>
      <c r="J35" s="327">
        <f>+J34</f>
        <v>0</v>
      </c>
      <c r="K35" s="75">
        <f>+K34</f>
        <v>11910.9</v>
      </c>
      <c r="L35" s="1479">
        <f>+L34</f>
        <v>11910.9</v>
      </c>
      <c r="M35" s="1417"/>
      <c r="N35" s="75">
        <f>+N34</f>
        <v>11910.9</v>
      </c>
      <c r="O35" s="1479">
        <f>+O34</f>
        <v>11910.9</v>
      </c>
      <c r="P35" s="1535"/>
      <c r="Q35" s="82"/>
      <c r="R35" s="443"/>
      <c r="S35" s="40"/>
      <c r="T35" s="542"/>
      <c r="U35" s="28"/>
    </row>
    <row r="36" spans="1:24" s="3" customFormat="1" ht="18.75" customHeight="1" x14ac:dyDescent="0.25">
      <c r="A36" s="1146" t="s">
        <v>22</v>
      </c>
      <c r="B36" s="9" t="s">
        <v>22</v>
      </c>
      <c r="C36" s="1154" t="s">
        <v>54</v>
      </c>
      <c r="D36" s="2600" t="s">
        <v>55</v>
      </c>
      <c r="E36" s="1208"/>
      <c r="F36" s="606" t="s">
        <v>27</v>
      </c>
      <c r="G36" s="1161" t="s">
        <v>52</v>
      </c>
      <c r="H36" s="86">
        <v>2305.5</v>
      </c>
      <c r="I36" s="1481">
        <v>2305.5</v>
      </c>
      <c r="J36" s="1576"/>
      <c r="K36" s="1528">
        <v>2305.5</v>
      </c>
      <c r="L36" s="1541">
        <v>2305.5</v>
      </c>
      <c r="M36" s="1429"/>
      <c r="N36" s="1528">
        <v>2305.5</v>
      </c>
      <c r="O36" s="1541">
        <v>2305.5</v>
      </c>
      <c r="P36" s="1537"/>
      <c r="Q36" s="2682" t="s">
        <v>53</v>
      </c>
      <c r="R36" s="2933">
        <v>5015</v>
      </c>
      <c r="S36" s="2935">
        <v>5016</v>
      </c>
      <c r="T36" s="3075">
        <v>5017</v>
      </c>
      <c r="U36" s="3123"/>
    </row>
    <row r="37" spans="1:24" s="3" customFormat="1" ht="16.5" customHeight="1" thickBot="1" x14ac:dyDescent="0.3">
      <c r="A37" s="1151"/>
      <c r="B37" s="87"/>
      <c r="C37" s="1155"/>
      <c r="D37" s="2601"/>
      <c r="E37" s="88"/>
      <c r="F37" s="1157"/>
      <c r="G37" s="80" t="s">
        <v>36</v>
      </c>
      <c r="H37" s="81">
        <f>H36</f>
        <v>2305.5</v>
      </c>
      <c r="I37" s="1479">
        <f>I36</f>
        <v>2305.5</v>
      </c>
      <c r="J37" s="327">
        <f t="shared" ref="J37" si="7">+J36</f>
        <v>0</v>
      </c>
      <c r="K37" s="75">
        <f>+K36</f>
        <v>2305.5</v>
      </c>
      <c r="L37" s="1479">
        <f>+L36</f>
        <v>2305.5</v>
      </c>
      <c r="M37" s="1535"/>
      <c r="N37" s="75">
        <f>+N36</f>
        <v>2305.5</v>
      </c>
      <c r="O37" s="1479">
        <f>+O36</f>
        <v>2305.5</v>
      </c>
      <c r="P37" s="1419"/>
      <c r="Q37" s="2683"/>
      <c r="R37" s="2934"/>
      <c r="S37" s="2936"/>
      <c r="T37" s="3076"/>
      <c r="U37" s="3124"/>
    </row>
    <row r="38" spans="1:24" s="2" customFormat="1" ht="25.5" customHeight="1" x14ac:dyDescent="0.25">
      <c r="A38" s="2914" t="s">
        <v>22</v>
      </c>
      <c r="B38" s="2598" t="s">
        <v>22</v>
      </c>
      <c r="C38" s="2650" t="s">
        <v>56</v>
      </c>
      <c r="D38" s="2600" t="s">
        <v>57</v>
      </c>
      <c r="E38" s="1208"/>
      <c r="F38" s="1150" t="s">
        <v>27</v>
      </c>
      <c r="G38" s="90" t="s">
        <v>31</v>
      </c>
      <c r="H38" s="86">
        <v>146.1</v>
      </c>
      <c r="I38" s="1481">
        <v>146.1</v>
      </c>
      <c r="J38" s="1181"/>
      <c r="K38" s="971">
        <v>146.1</v>
      </c>
      <c r="L38" s="1481">
        <v>146.1</v>
      </c>
      <c r="M38" s="1578"/>
      <c r="N38" s="971">
        <v>146.1</v>
      </c>
      <c r="O38" s="1481">
        <v>146.1</v>
      </c>
      <c r="P38" s="1578"/>
      <c r="Q38" s="2939" t="s">
        <v>58</v>
      </c>
      <c r="R38" s="2792">
        <v>154</v>
      </c>
      <c r="S38" s="2794">
        <v>155</v>
      </c>
      <c r="T38" s="3156">
        <v>156</v>
      </c>
      <c r="U38" s="3150"/>
    </row>
    <row r="39" spans="1:24" s="3" customFormat="1" ht="16.5" customHeight="1" thickBot="1" x14ac:dyDescent="0.3">
      <c r="A39" s="2915"/>
      <c r="B39" s="2649"/>
      <c r="C39" s="2652"/>
      <c r="D39" s="2601"/>
      <c r="E39" s="88"/>
      <c r="F39" s="1157"/>
      <c r="G39" s="80" t="s">
        <v>36</v>
      </c>
      <c r="H39" s="81">
        <f>H38</f>
        <v>146.1</v>
      </c>
      <c r="I39" s="1479">
        <f>I38</f>
        <v>146.1</v>
      </c>
      <c r="J39" s="327">
        <f t="shared" ref="J39" si="8">+J38</f>
        <v>0</v>
      </c>
      <c r="K39" s="75">
        <f>+K38</f>
        <v>146.1</v>
      </c>
      <c r="L39" s="1479">
        <f>+L38</f>
        <v>146.1</v>
      </c>
      <c r="M39" s="1417"/>
      <c r="N39" s="75">
        <f>+N38</f>
        <v>146.1</v>
      </c>
      <c r="O39" s="1479">
        <f>+O38</f>
        <v>146.1</v>
      </c>
      <c r="P39" s="1419"/>
      <c r="Q39" s="2549"/>
      <c r="R39" s="2793"/>
      <c r="S39" s="2795"/>
      <c r="T39" s="3157"/>
      <c r="U39" s="3151"/>
    </row>
    <row r="40" spans="1:24" s="2" customFormat="1" ht="16.5" customHeight="1" thickBot="1" x14ac:dyDescent="0.3">
      <c r="A40" s="7" t="s">
        <v>22</v>
      </c>
      <c r="B40" s="8" t="s">
        <v>22</v>
      </c>
      <c r="C40" s="2658" t="s">
        <v>62</v>
      </c>
      <c r="D40" s="2659"/>
      <c r="E40" s="2659"/>
      <c r="F40" s="2659"/>
      <c r="G40" s="2660"/>
      <c r="H40" s="98">
        <f>H39+H37+H35+H33</f>
        <v>22171.4</v>
      </c>
      <c r="I40" s="1482">
        <f>I39+I37+I35+I33</f>
        <v>22497.4</v>
      </c>
      <c r="J40" s="1444">
        <f>J39+J37+J35+J33</f>
        <v>325.99999999999943</v>
      </c>
      <c r="K40" s="212">
        <f>K39+K37+K35+K33</f>
        <v>22545.5</v>
      </c>
      <c r="L40" s="1482">
        <f>L39+L37+L35+L33</f>
        <v>22694.5</v>
      </c>
      <c r="M40" s="1430"/>
      <c r="N40" s="1444">
        <f>N39+N37+N33+N35</f>
        <v>22545.599999999999</v>
      </c>
      <c r="O40" s="1482">
        <f>O39+O37+O33+O35</f>
        <v>22694.6</v>
      </c>
      <c r="P40" s="1482">
        <f>P39+P37+P33+P35</f>
        <v>149</v>
      </c>
      <c r="Q40" s="2542"/>
      <c r="R40" s="2543"/>
      <c r="S40" s="2543"/>
      <c r="T40" s="2543"/>
      <c r="U40" s="2544"/>
      <c r="X40" s="3"/>
    </row>
    <row r="41" spans="1:24" s="2" customFormat="1" ht="16.5" customHeight="1" thickBot="1" x14ac:dyDescent="0.3">
      <c r="A41" s="99" t="s">
        <v>22</v>
      </c>
      <c r="B41" s="8" t="s">
        <v>50</v>
      </c>
      <c r="C41" s="2565" t="s">
        <v>63</v>
      </c>
      <c r="D41" s="2565"/>
      <c r="E41" s="2565"/>
      <c r="F41" s="2565"/>
      <c r="G41" s="2565"/>
      <c r="H41" s="2565"/>
      <c r="I41" s="2565"/>
      <c r="J41" s="2565"/>
      <c r="K41" s="2565"/>
      <c r="L41" s="2565"/>
      <c r="M41" s="2565"/>
      <c r="N41" s="2565"/>
      <c r="O41" s="2565"/>
      <c r="P41" s="2565"/>
      <c r="Q41" s="2565"/>
      <c r="R41" s="2565"/>
      <c r="S41" s="2565"/>
      <c r="T41" s="2565"/>
      <c r="U41" s="2566"/>
    </row>
    <row r="42" spans="1:24" s="3" customFormat="1" ht="29.25" customHeight="1" x14ac:dyDescent="0.25">
      <c r="A42" s="1768" t="s">
        <v>22</v>
      </c>
      <c r="B42" s="1769" t="s">
        <v>50</v>
      </c>
      <c r="C42" s="100" t="s">
        <v>22</v>
      </c>
      <c r="D42" s="101" t="s">
        <v>64</v>
      </c>
      <c r="E42" s="2671" t="s">
        <v>320</v>
      </c>
      <c r="F42" s="1691">
        <v>3</v>
      </c>
      <c r="G42" s="104" t="s">
        <v>31</v>
      </c>
      <c r="H42" s="1692">
        <v>3178.5</v>
      </c>
      <c r="I42" s="1466">
        <v>3178.5</v>
      </c>
      <c r="J42" s="105">
        <f>I42-H42</f>
        <v>0</v>
      </c>
      <c r="K42" s="137">
        <v>3038.1</v>
      </c>
      <c r="L42" s="1466">
        <v>3038.1</v>
      </c>
      <c r="M42" s="1424"/>
      <c r="N42" s="137">
        <v>3051.1</v>
      </c>
      <c r="O42" s="1466">
        <v>3051.1</v>
      </c>
      <c r="P42" s="1424"/>
      <c r="Q42" s="1566" t="s">
        <v>65</v>
      </c>
      <c r="R42" s="107">
        <f>R43+R44</f>
        <v>1338</v>
      </c>
      <c r="S42" s="108">
        <f t="shared" ref="S42:T42" si="9">S43+S44</f>
        <v>1338</v>
      </c>
      <c r="T42" s="109">
        <f t="shared" si="9"/>
        <v>1338</v>
      </c>
      <c r="U42" s="2600" t="s">
        <v>373</v>
      </c>
    </row>
    <row r="43" spans="1:24" s="3" customFormat="1" ht="28.5" customHeight="1" x14ac:dyDescent="0.25">
      <c r="A43" s="1766"/>
      <c r="B43" s="1767"/>
      <c r="C43" s="1765"/>
      <c r="D43" s="169" t="s">
        <v>66</v>
      </c>
      <c r="E43" s="2672"/>
      <c r="F43" s="111"/>
      <c r="G43" s="22" t="s">
        <v>28</v>
      </c>
      <c r="H43" s="1693">
        <v>372.1</v>
      </c>
      <c r="I43" s="1484">
        <v>372.1</v>
      </c>
      <c r="J43" s="1542"/>
      <c r="K43" s="338">
        <v>365.4</v>
      </c>
      <c r="L43" s="1477">
        <v>365.4</v>
      </c>
      <c r="M43" s="1416"/>
      <c r="N43" s="338">
        <v>365.4</v>
      </c>
      <c r="O43" s="1477">
        <v>365.4</v>
      </c>
      <c r="P43" s="1416"/>
      <c r="Q43" s="1567" t="s">
        <v>272</v>
      </c>
      <c r="R43" s="114">
        <v>707</v>
      </c>
      <c r="S43" s="115">
        <v>707</v>
      </c>
      <c r="T43" s="116">
        <v>707</v>
      </c>
      <c r="U43" s="2524"/>
    </row>
    <row r="44" spans="1:24" s="3" customFormat="1" ht="16.5" customHeight="1" x14ac:dyDescent="0.25">
      <c r="A44" s="1766"/>
      <c r="B44" s="1767"/>
      <c r="C44" s="1785"/>
      <c r="D44" s="2524" t="s">
        <v>67</v>
      </c>
      <c r="E44" s="2672"/>
      <c r="F44" s="111"/>
      <c r="G44" s="1703" t="s">
        <v>28</v>
      </c>
      <c r="H44" s="1694">
        <v>0</v>
      </c>
      <c r="I44" s="1687">
        <v>16.899999999999999</v>
      </c>
      <c r="J44" s="1704">
        <f>I44-H44</f>
        <v>16.899999999999999</v>
      </c>
      <c r="K44" s="1708"/>
      <c r="L44" s="1688"/>
      <c r="M44" s="1709"/>
      <c r="N44" s="1708"/>
      <c r="O44" s="1688"/>
      <c r="P44" s="1579"/>
      <c r="Q44" s="3152" t="s">
        <v>273</v>
      </c>
      <c r="R44" s="3159" t="s">
        <v>69</v>
      </c>
      <c r="S44" s="3161" t="s">
        <v>69</v>
      </c>
      <c r="T44" s="3163" t="s">
        <v>69</v>
      </c>
      <c r="U44" s="2524"/>
    </row>
    <row r="45" spans="1:24" s="3" customFormat="1" ht="16.5" customHeight="1" x14ac:dyDescent="0.25">
      <c r="A45" s="1766"/>
      <c r="B45" s="1767"/>
      <c r="C45" s="1785"/>
      <c r="D45" s="2524"/>
      <c r="E45" s="2672"/>
      <c r="F45" s="111"/>
      <c r="G45" s="43" t="s">
        <v>68</v>
      </c>
      <c r="H45" s="1695">
        <v>580.70000000000005</v>
      </c>
      <c r="I45" s="1689">
        <v>620</v>
      </c>
      <c r="J45" s="1705">
        <f>I45-H45</f>
        <v>39.299999999999955</v>
      </c>
      <c r="K45" s="1436">
        <v>574.70000000000005</v>
      </c>
      <c r="L45" s="1474">
        <v>574.70000000000005</v>
      </c>
      <c r="M45" s="1579"/>
      <c r="N45" s="1436">
        <v>574.4</v>
      </c>
      <c r="O45" s="1474">
        <v>574.4</v>
      </c>
      <c r="P45" s="1709"/>
      <c r="Q45" s="3153"/>
      <c r="R45" s="3160"/>
      <c r="S45" s="3162"/>
      <c r="T45" s="3164"/>
      <c r="U45" s="2524"/>
    </row>
    <row r="46" spans="1:24" s="1414" customFormat="1" ht="42.75" customHeight="1" x14ac:dyDescent="0.25">
      <c r="A46" s="1407"/>
      <c r="B46" s="1408"/>
      <c r="C46" s="1409"/>
      <c r="D46" s="1790" t="s">
        <v>377</v>
      </c>
      <c r="E46" s="2672"/>
      <c r="F46" s="1686"/>
      <c r="G46" s="43" t="s">
        <v>52</v>
      </c>
      <c r="H46" s="1696">
        <v>198.1</v>
      </c>
      <c r="I46" s="1690">
        <f>198.1+12</f>
        <v>210.1</v>
      </c>
      <c r="J46" s="1706">
        <f>I46-H46</f>
        <v>12</v>
      </c>
      <c r="K46" s="296">
        <f>198.1</f>
        <v>198.1</v>
      </c>
      <c r="L46" s="1656">
        <f>198.1+36</f>
        <v>234.1</v>
      </c>
      <c r="M46" s="1710">
        <f>L46-K46</f>
        <v>36</v>
      </c>
      <c r="N46" s="296">
        <f>187.6</f>
        <v>187.6</v>
      </c>
      <c r="O46" s="1511">
        <f>187.6+35</f>
        <v>222.6</v>
      </c>
      <c r="P46" s="1710">
        <f>O46-N46</f>
        <v>35</v>
      </c>
      <c r="Q46" s="1568" t="s">
        <v>342</v>
      </c>
      <c r="R46" s="1411" t="s">
        <v>26</v>
      </c>
      <c r="S46" s="1412" t="s">
        <v>234</v>
      </c>
      <c r="T46" s="1413" t="s">
        <v>234</v>
      </c>
      <c r="U46" s="2524"/>
    </row>
    <row r="47" spans="1:24" s="3" customFormat="1" ht="16.5" customHeight="1" x14ac:dyDescent="0.25">
      <c r="A47" s="1766"/>
      <c r="B47" s="1767"/>
      <c r="C47" s="1785"/>
      <c r="D47" s="2523" t="s">
        <v>70</v>
      </c>
      <c r="E47" s="2672"/>
      <c r="F47" s="111"/>
      <c r="G47" s="43" t="s">
        <v>71</v>
      </c>
      <c r="H47" s="1697">
        <v>1.5</v>
      </c>
      <c r="I47" s="1483">
        <v>1.5</v>
      </c>
      <c r="J47" s="1707"/>
      <c r="K47" s="1437">
        <v>1.6</v>
      </c>
      <c r="L47" s="1476">
        <v>1.6</v>
      </c>
      <c r="M47" s="1529"/>
      <c r="N47" s="1437">
        <v>1.6</v>
      </c>
      <c r="O47" s="1476">
        <v>1.6</v>
      </c>
      <c r="P47" s="1529"/>
      <c r="Q47" s="2647" t="s">
        <v>72</v>
      </c>
      <c r="R47" s="3099" t="s">
        <v>336</v>
      </c>
      <c r="S47" s="2913" t="s">
        <v>73</v>
      </c>
      <c r="T47" s="3120" t="s">
        <v>73</v>
      </c>
      <c r="U47" s="2524"/>
    </row>
    <row r="48" spans="1:24" s="3" customFormat="1" ht="16.5" customHeight="1" x14ac:dyDescent="0.25">
      <c r="A48" s="1766"/>
      <c r="B48" s="1767"/>
      <c r="C48" s="1785"/>
      <c r="D48" s="2525"/>
      <c r="E48" s="2672"/>
      <c r="F48" s="111"/>
      <c r="G48" s="1194" t="s">
        <v>178</v>
      </c>
      <c r="H48" s="1698">
        <v>65.900000000000006</v>
      </c>
      <c r="I48" s="1485">
        <v>65.900000000000006</v>
      </c>
      <c r="J48" s="1345"/>
      <c r="K48" s="1684"/>
      <c r="L48" s="1485"/>
      <c r="M48" s="1685"/>
      <c r="N48" s="1684"/>
      <c r="O48" s="1485"/>
      <c r="P48" s="1685"/>
      <c r="Q48" s="3146"/>
      <c r="R48" s="3100"/>
      <c r="S48" s="2704"/>
      <c r="T48" s="3121"/>
      <c r="U48" s="2524"/>
    </row>
    <row r="49" spans="1:29" s="3" customFormat="1" ht="16.5" customHeight="1" x14ac:dyDescent="0.25">
      <c r="A49" s="1766"/>
      <c r="B49" s="1767"/>
      <c r="C49" s="1785"/>
      <c r="D49" s="2523" t="s">
        <v>74</v>
      </c>
      <c r="E49" s="2672"/>
      <c r="F49" s="111"/>
      <c r="G49" s="1712"/>
      <c r="H49" s="1713"/>
      <c r="I49" s="1714"/>
      <c r="J49" s="1715"/>
      <c r="K49" s="1572"/>
      <c r="L49" s="1514"/>
      <c r="M49" s="1351"/>
      <c r="N49" s="1572"/>
      <c r="O49" s="1514"/>
      <c r="P49" s="1351"/>
      <c r="Q49" s="3147" t="s">
        <v>280</v>
      </c>
      <c r="R49" s="1777">
        <v>450</v>
      </c>
      <c r="S49" s="118" t="s">
        <v>75</v>
      </c>
      <c r="T49" s="119" t="s">
        <v>75</v>
      </c>
      <c r="U49" s="2524"/>
    </row>
    <row r="50" spans="1:29" s="3" customFormat="1" ht="25.5" customHeight="1" x14ac:dyDescent="0.25">
      <c r="A50" s="1766"/>
      <c r="B50" s="1767"/>
      <c r="C50" s="1765"/>
      <c r="D50" s="2525"/>
      <c r="E50" s="2672"/>
      <c r="F50" s="111"/>
      <c r="G50" s="28"/>
      <c r="H50" s="1699"/>
      <c r="I50" s="1487"/>
      <c r="J50" s="319"/>
      <c r="K50" s="1572"/>
      <c r="L50" s="1514"/>
      <c r="M50" s="1351"/>
      <c r="N50" s="1572"/>
      <c r="O50" s="1514"/>
      <c r="P50" s="1351"/>
      <c r="Q50" s="3148"/>
      <c r="R50" s="416"/>
      <c r="S50" s="67"/>
      <c r="T50" s="491"/>
      <c r="U50" s="2524"/>
    </row>
    <row r="51" spans="1:29" s="3" customFormat="1" ht="53.25" customHeight="1" x14ac:dyDescent="0.25">
      <c r="A51" s="1781"/>
      <c r="B51" s="1782"/>
      <c r="C51" s="1009"/>
      <c r="D51" s="169" t="s">
        <v>76</v>
      </c>
      <c r="E51" s="2673"/>
      <c r="F51" s="1734"/>
      <c r="G51" s="1780"/>
      <c r="H51" s="1802"/>
      <c r="I51" s="1803"/>
      <c r="J51" s="1735"/>
      <c r="K51" s="1736"/>
      <c r="L51" s="1737"/>
      <c r="M51" s="1738"/>
      <c r="N51" s="1736"/>
      <c r="O51" s="1737"/>
      <c r="P51" s="1738"/>
      <c r="Q51" s="1733" t="s">
        <v>281</v>
      </c>
      <c r="R51" s="416">
        <v>3</v>
      </c>
      <c r="S51" s="67">
        <v>4</v>
      </c>
      <c r="T51" s="491">
        <v>4</v>
      </c>
      <c r="U51" s="169"/>
    </row>
    <row r="52" spans="1:29" s="3" customFormat="1" ht="13.5" customHeight="1" x14ac:dyDescent="0.25">
      <c r="A52" s="1225"/>
      <c r="B52" s="1226"/>
      <c r="C52" s="58"/>
      <c r="D52" s="2524" t="s">
        <v>77</v>
      </c>
      <c r="E52" s="1732"/>
      <c r="F52" s="111"/>
      <c r="G52" s="1659"/>
      <c r="H52" s="1699"/>
      <c r="I52" s="1487"/>
      <c r="J52" s="319"/>
      <c r="K52" s="1572"/>
      <c r="L52" s="1514"/>
      <c r="M52" s="1351"/>
      <c r="N52" s="1572"/>
      <c r="O52" s="1514"/>
      <c r="P52" s="1351"/>
      <c r="Q52" s="2546" t="s">
        <v>274</v>
      </c>
      <c r="R52" s="1801" t="s">
        <v>365</v>
      </c>
      <c r="S52" s="123"/>
      <c r="T52" s="72"/>
      <c r="U52" s="2548"/>
    </row>
    <row r="53" spans="1:29" s="3" customFormat="1" ht="16.5" customHeight="1" x14ac:dyDescent="0.25">
      <c r="A53" s="1225"/>
      <c r="B53" s="1226"/>
      <c r="C53" s="58"/>
      <c r="D53" s="2525"/>
      <c r="E53" s="1732"/>
      <c r="F53" s="111"/>
      <c r="G53" s="125"/>
      <c r="H53" s="1700"/>
      <c r="I53" s="1488"/>
      <c r="J53" s="1346"/>
      <c r="K53" s="1573"/>
      <c r="L53" s="1488"/>
      <c r="M53" s="1440"/>
      <c r="N53" s="1573"/>
      <c r="O53" s="1488"/>
      <c r="P53" s="1440"/>
      <c r="Q53" s="2546"/>
      <c r="R53" s="39"/>
      <c r="S53" s="123"/>
      <c r="T53" s="72"/>
      <c r="U53" s="2548"/>
    </row>
    <row r="54" spans="1:29" s="3" customFormat="1" ht="27" customHeight="1" x14ac:dyDescent="0.25">
      <c r="A54" s="1225"/>
      <c r="B54" s="1226"/>
      <c r="C54" s="58"/>
      <c r="D54" s="1398" t="s">
        <v>78</v>
      </c>
      <c r="E54" s="1732"/>
      <c r="F54" s="111"/>
      <c r="G54" s="28"/>
      <c r="H54" s="1701"/>
      <c r="I54" s="1489"/>
      <c r="J54" s="316"/>
      <c r="K54" s="188"/>
      <c r="L54" s="1489"/>
      <c r="M54" s="189"/>
      <c r="N54" s="188"/>
      <c r="O54" s="1489"/>
      <c r="P54" s="189"/>
      <c r="Q54" s="2546"/>
      <c r="R54" s="39"/>
      <c r="S54" s="40"/>
      <c r="T54" s="41"/>
      <c r="U54" s="2548"/>
    </row>
    <row r="55" spans="1:29" s="3" customFormat="1" ht="27.75" customHeight="1" x14ac:dyDescent="0.25">
      <c r="A55" s="1225"/>
      <c r="B55" s="1226"/>
      <c r="C55" s="58"/>
      <c r="D55" s="1237" t="s">
        <v>79</v>
      </c>
      <c r="E55" s="1209"/>
      <c r="F55" s="111"/>
      <c r="G55" s="28"/>
      <c r="H55" s="1702"/>
      <c r="I55" s="1486"/>
      <c r="J55" s="1347"/>
      <c r="K55" s="1571"/>
      <c r="L55" s="1486"/>
      <c r="M55" s="1422"/>
      <c r="N55" s="1571"/>
      <c r="O55" s="1486"/>
      <c r="P55" s="1422"/>
      <c r="Q55" s="1562"/>
      <c r="R55" s="39"/>
      <c r="S55" s="40"/>
      <c r="T55" s="41"/>
      <c r="U55" s="2548"/>
    </row>
    <row r="56" spans="1:29" s="131" customFormat="1" ht="16.5" customHeight="1" x14ac:dyDescent="0.25">
      <c r="A56" s="1225"/>
      <c r="B56" s="1226"/>
      <c r="C56" s="129"/>
      <c r="D56" s="2523" t="s">
        <v>80</v>
      </c>
      <c r="E56" s="1209"/>
      <c r="F56" s="111"/>
      <c r="G56" s="28"/>
      <c r="H56" s="1701"/>
      <c r="I56" s="1489"/>
      <c r="J56" s="1348"/>
      <c r="K56" s="1661"/>
      <c r="L56" s="1660"/>
      <c r="M56" s="1580"/>
      <c r="N56" s="1661"/>
      <c r="O56" s="1660"/>
      <c r="P56" s="1580"/>
      <c r="Q56" s="1562"/>
      <c r="R56" s="39"/>
      <c r="S56" s="40"/>
      <c r="T56" s="41"/>
      <c r="U56" s="2548"/>
    </row>
    <row r="57" spans="1:29" s="131" customFormat="1" ht="16.5" customHeight="1" thickBot="1" x14ac:dyDescent="0.3">
      <c r="A57" s="324"/>
      <c r="B57" s="1230"/>
      <c r="C57" s="1239"/>
      <c r="D57" s="2601"/>
      <c r="E57" s="1240"/>
      <c r="F57" s="1228"/>
      <c r="G57" s="80" t="s">
        <v>36</v>
      </c>
      <c r="H57" s="1447">
        <f t="shared" ref="H57:P57" si="10">SUM(H42:H56)</f>
        <v>4396.8</v>
      </c>
      <c r="I57" s="1490">
        <f t="shared" si="10"/>
        <v>4465</v>
      </c>
      <c r="J57" s="1442">
        <f t="shared" si="10"/>
        <v>68.19999999999996</v>
      </c>
      <c r="K57" s="1524">
        <f t="shared" si="10"/>
        <v>4177.9000000000005</v>
      </c>
      <c r="L57" s="1544">
        <f t="shared" si="10"/>
        <v>4213.9000000000005</v>
      </c>
      <c r="M57" s="1711">
        <f t="shared" si="10"/>
        <v>36</v>
      </c>
      <c r="N57" s="1524">
        <f t="shared" si="10"/>
        <v>4180.1000000000004</v>
      </c>
      <c r="O57" s="1544">
        <f t="shared" si="10"/>
        <v>4215.1000000000004</v>
      </c>
      <c r="P57" s="1423">
        <f t="shared" si="10"/>
        <v>35</v>
      </c>
      <c r="Q57" s="1274"/>
      <c r="R57" s="136"/>
      <c r="S57" s="1251"/>
      <c r="T57" s="1252"/>
      <c r="U57" s="2549"/>
    </row>
    <row r="58" spans="1:29" s="141" customFormat="1" ht="51.75" customHeight="1" x14ac:dyDescent="0.25">
      <c r="A58" s="2948" t="s">
        <v>22</v>
      </c>
      <c r="B58" s="2633" t="s">
        <v>50</v>
      </c>
      <c r="C58" s="2635" t="s">
        <v>50</v>
      </c>
      <c r="D58" s="2602" t="s">
        <v>81</v>
      </c>
      <c r="E58" s="2638"/>
      <c r="F58" s="2640" t="s">
        <v>27</v>
      </c>
      <c r="G58" s="1160" t="s">
        <v>31</v>
      </c>
      <c r="H58" s="1431">
        <f>315.9-50</f>
        <v>265.89999999999998</v>
      </c>
      <c r="I58" s="1466">
        <f>315.9-50</f>
        <v>265.89999999999998</v>
      </c>
      <c r="J58" s="1420">
        <f>I58-H58</f>
        <v>0</v>
      </c>
      <c r="K58" s="1303">
        <v>315.89999999999998</v>
      </c>
      <c r="L58" s="1495">
        <v>315.89999999999998</v>
      </c>
      <c r="M58" s="1420"/>
      <c r="N58" s="1303">
        <v>315.89999999999998</v>
      </c>
      <c r="O58" s="1495">
        <v>315.89999999999998</v>
      </c>
      <c r="P58" s="1349"/>
      <c r="Q58" s="3149" t="s">
        <v>275</v>
      </c>
      <c r="R58" s="1355">
        <v>65</v>
      </c>
      <c r="S58" s="139">
        <v>80</v>
      </c>
      <c r="T58" s="140">
        <v>80</v>
      </c>
      <c r="U58" s="3144"/>
    </row>
    <row r="59" spans="1:29" s="147" customFormat="1" ht="15" customHeight="1" thickBot="1" x14ac:dyDescent="0.3">
      <c r="A59" s="2949"/>
      <c r="B59" s="2634"/>
      <c r="C59" s="2636"/>
      <c r="D59" s="2637"/>
      <c r="E59" s="2639"/>
      <c r="F59" s="2641"/>
      <c r="G59" s="142" t="s">
        <v>36</v>
      </c>
      <c r="H59" s="1447">
        <f>H58</f>
        <v>265.89999999999998</v>
      </c>
      <c r="I59" s="1490">
        <f>I58</f>
        <v>265.89999999999998</v>
      </c>
      <c r="J59" s="1442">
        <f>SUM(J58)</f>
        <v>0</v>
      </c>
      <c r="K59" s="143">
        <f>SUM(K58)</f>
        <v>315.89999999999998</v>
      </c>
      <c r="L59" s="1490">
        <f>SUM(L58)</f>
        <v>315.89999999999998</v>
      </c>
      <c r="M59" s="1592"/>
      <c r="N59" s="143">
        <f>SUM(N58)</f>
        <v>315.89999999999998</v>
      </c>
      <c r="O59" s="1490">
        <f>SUM(O58)</f>
        <v>315.89999999999998</v>
      </c>
      <c r="P59" s="1584"/>
      <c r="Q59" s="3128"/>
      <c r="R59" s="144"/>
      <c r="S59" s="145"/>
      <c r="T59" s="146"/>
      <c r="U59" s="3145"/>
    </row>
    <row r="60" spans="1:29" s="2" customFormat="1" ht="42" customHeight="1" x14ac:dyDescent="0.25">
      <c r="A60" s="148" t="s">
        <v>22</v>
      </c>
      <c r="B60" s="149" t="s">
        <v>50</v>
      </c>
      <c r="C60" s="1232" t="s">
        <v>54</v>
      </c>
      <c r="D60" s="2612" t="s">
        <v>82</v>
      </c>
      <c r="E60" s="1210"/>
      <c r="F60" s="606" t="s">
        <v>27</v>
      </c>
      <c r="G60" s="1234" t="s">
        <v>31</v>
      </c>
      <c r="H60" s="1448">
        <f>377.4+5</f>
        <v>382.4</v>
      </c>
      <c r="I60" s="1728">
        <f>377.4+5-0.1</f>
        <v>382.29999999999995</v>
      </c>
      <c r="J60" s="1729">
        <f>I60-H60</f>
        <v>-0.10000000000002274</v>
      </c>
      <c r="K60" s="151">
        <v>382.4</v>
      </c>
      <c r="L60" s="1545">
        <v>382.4</v>
      </c>
      <c r="M60" s="1593"/>
      <c r="N60" s="151">
        <v>382.4</v>
      </c>
      <c r="O60" s="1545">
        <v>382.4</v>
      </c>
      <c r="P60" s="1581"/>
      <c r="Q60" s="1291" t="s">
        <v>83</v>
      </c>
      <c r="R60" s="153">
        <v>77</v>
      </c>
      <c r="S60" s="154">
        <v>77</v>
      </c>
      <c r="T60" s="155">
        <v>77</v>
      </c>
      <c r="U60" s="2600" t="s">
        <v>371</v>
      </c>
    </row>
    <row r="61" spans="1:29" s="2" customFormat="1" ht="53.25" customHeight="1" x14ac:dyDescent="0.25">
      <c r="A61" s="156"/>
      <c r="B61" s="157"/>
      <c r="C61" s="158"/>
      <c r="D61" s="2613"/>
      <c r="E61" s="1211"/>
      <c r="F61" s="187"/>
      <c r="G61" s="1233"/>
      <c r="H61" s="1363"/>
      <c r="I61" s="1491"/>
      <c r="J61" s="1348"/>
      <c r="K61" s="160"/>
      <c r="L61" s="1546"/>
      <c r="M61" s="1594"/>
      <c r="N61" s="160"/>
      <c r="O61" s="1546"/>
      <c r="P61" s="1549"/>
      <c r="Q61" s="812" t="s">
        <v>84</v>
      </c>
      <c r="R61" s="163">
        <v>208</v>
      </c>
      <c r="S61" s="164">
        <v>208</v>
      </c>
      <c r="T61" s="165">
        <v>208</v>
      </c>
      <c r="U61" s="2524"/>
    </row>
    <row r="62" spans="1:29" s="2" customFormat="1" ht="54" customHeight="1" x14ac:dyDescent="0.25">
      <c r="A62" s="156"/>
      <c r="B62" s="157"/>
      <c r="C62" s="1190"/>
      <c r="D62" s="1727" t="s">
        <v>217</v>
      </c>
      <c r="E62" s="1211"/>
      <c r="F62" s="187"/>
      <c r="G62" s="1233"/>
      <c r="H62" s="1363"/>
      <c r="I62" s="1491"/>
      <c r="J62" s="319"/>
      <c r="K62" s="1302"/>
      <c r="L62" s="1515"/>
      <c r="M62" s="1595"/>
      <c r="N62" s="1302"/>
      <c r="O62" s="1515"/>
      <c r="P62" s="1582"/>
      <c r="Q62" s="1289" t="s">
        <v>85</v>
      </c>
      <c r="R62" s="166" t="s">
        <v>86</v>
      </c>
      <c r="S62" s="118" t="s">
        <v>87</v>
      </c>
      <c r="T62" s="119" t="s">
        <v>87</v>
      </c>
      <c r="U62" s="1174"/>
      <c r="AC62" s="3"/>
    </row>
    <row r="63" spans="1:29" s="2" customFormat="1" ht="56.25" customHeight="1" x14ac:dyDescent="0.25">
      <c r="A63" s="156"/>
      <c r="B63" s="157"/>
      <c r="C63" s="158"/>
      <c r="D63" s="65" t="s">
        <v>219</v>
      </c>
      <c r="E63" s="1223" t="s">
        <v>318</v>
      </c>
      <c r="F63" s="187"/>
      <c r="G63" s="1233"/>
      <c r="H63" s="1363"/>
      <c r="I63" s="1491"/>
      <c r="J63" s="1348"/>
      <c r="K63" s="160"/>
      <c r="L63" s="1546"/>
      <c r="M63" s="1594"/>
      <c r="N63" s="160"/>
      <c r="O63" s="1546"/>
      <c r="P63" s="1549"/>
      <c r="Q63" s="3"/>
      <c r="R63" s="167"/>
      <c r="S63" s="123"/>
      <c r="T63" s="72"/>
      <c r="U63" s="117"/>
    </row>
    <row r="64" spans="1:29" s="2" customFormat="1" ht="55.5" customHeight="1" x14ac:dyDescent="0.25">
      <c r="A64" s="156"/>
      <c r="B64" s="157"/>
      <c r="C64" s="158"/>
      <c r="D64" s="65" t="s">
        <v>221</v>
      </c>
      <c r="E64" s="1211"/>
      <c r="F64" s="187"/>
      <c r="G64" s="1233"/>
      <c r="H64" s="1363"/>
      <c r="I64" s="1491"/>
      <c r="J64" s="1348"/>
      <c r="K64" s="160"/>
      <c r="L64" s="1546"/>
      <c r="M64" s="1594"/>
      <c r="N64" s="160"/>
      <c r="O64" s="1546"/>
      <c r="P64" s="1549"/>
      <c r="Q64" s="813"/>
      <c r="R64" s="20"/>
      <c r="S64" s="47"/>
      <c r="T64" s="48"/>
      <c r="U64" s="1235"/>
      <c r="Z64" s="3"/>
    </row>
    <row r="65" spans="1:30" s="2" customFormat="1" ht="56.25" customHeight="1" x14ac:dyDescent="0.25">
      <c r="A65" s="156"/>
      <c r="B65" s="157"/>
      <c r="C65" s="1190"/>
      <c r="D65" s="65" t="s">
        <v>223</v>
      </c>
      <c r="E65" s="1223" t="s">
        <v>312</v>
      </c>
      <c r="F65" s="187"/>
      <c r="G65" s="1403"/>
      <c r="H65" s="1446"/>
      <c r="I65" s="1489"/>
      <c r="J65" s="189"/>
      <c r="K65" s="69"/>
      <c r="L65" s="1506"/>
      <c r="M65" s="1596"/>
      <c r="N65" s="69"/>
      <c r="O65" s="1506"/>
      <c r="P65" s="1536"/>
      <c r="Q65" s="3"/>
      <c r="R65" s="167"/>
      <c r="S65" s="123"/>
      <c r="T65" s="72"/>
      <c r="U65" s="117"/>
      <c r="Y65" s="3"/>
      <c r="AA65" s="3"/>
      <c r="AC65" s="3"/>
    </row>
    <row r="66" spans="1:30" s="2" customFormat="1" ht="78.75" customHeight="1" x14ac:dyDescent="0.25">
      <c r="A66" s="156"/>
      <c r="B66" s="157"/>
      <c r="C66" s="1190"/>
      <c r="D66" s="169" t="s">
        <v>283</v>
      </c>
      <c r="E66" s="1377" t="s">
        <v>311</v>
      </c>
      <c r="F66" s="187"/>
      <c r="G66" s="1774"/>
      <c r="H66" s="1363"/>
      <c r="I66" s="1491"/>
      <c r="J66" s="1348"/>
      <c r="K66" s="160"/>
      <c r="L66" s="1546"/>
      <c r="M66" s="1594"/>
      <c r="N66" s="160"/>
      <c r="O66" s="1546"/>
      <c r="P66" s="1549"/>
      <c r="Q66" s="813"/>
      <c r="R66" s="20"/>
      <c r="S66" s="47"/>
      <c r="T66" s="48"/>
      <c r="U66" s="1783"/>
      <c r="W66" s="3"/>
      <c r="AD66" s="3"/>
    </row>
    <row r="67" spans="1:30" s="2" customFormat="1" ht="68.25" customHeight="1" x14ac:dyDescent="0.25">
      <c r="A67" s="156"/>
      <c r="B67" s="157"/>
      <c r="C67" s="158"/>
      <c r="D67" s="1315" t="s">
        <v>284</v>
      </c>
      <c r="E67" s="1376" t="s">
        <v>314</v>
      </c>
      <c r="F67" s="187"/>
      <c r="G67" s="170"/>
      <c r="H67" s="1363"/>
      <c r="I67" s="1491"/>
      <c r="J67" s="1348"/>
      <c r="K67" s="160"/>
      <c r="L67" s="1546"/>
      <c r="M67" s="1594"/>
      <c r="N67" s="160"/>
      <c r="O67" s="1546"/>
      <c r="P67" s="1549"/>
      <c r="Q67" s="1402"/>
      <c r="R67" s="20"/>
      <c r="S67" s="47"/>
      <c r="T67" s="48"/>
      <c r="U67" s="1164"/>
    </row>
    <row r="68" spans="1:30" s="2" customFormat="1" ht="42" customHeight="1" x14ac:dyDescent="0.25">
      <c r="A68" s="1781"/>
      <c r="B68" s="1782"/>
      <c r="C68" s="908"/>
      <c r="D68" s="171" t="s">
        <v>282</v>
      </c>
      <c r="E68" s="1805"/>
      <c r="F68" s="958"/>
      <c r="G68" s="35"/>
      <c r="H68" s="1171"/>
      <c r="I68" s="1492"/>
      <c r="J68" s="1563"/>
      <c r="K68" s="176"/>
      <c r="L68" s="1472"/>
      <c r="M68" s="1597"/>
      <c r="N68" s="176"/>
      <c r="O68" s="1472"/>
      <c r="P68" s="1583"/>
      <c r="Q68" s="1806"/>
      <c r="R68" s="1807"/>
      <c r="S68" s="551"/>
      <c r="T68" s="1808"/>
      <c r="U68" s="1809"/>
    </row>
    <row r="69" spans="1:30" s="2" customFormat="1" ht="39" customHeight="1" x14ac:dyDescent="0.25">
      <c r="A69" s="1144"/>
      <c r="B69" s="1200"/>
      <c r="C69" s="1163"/>
      <c r="D69" s="3093" t="s">
        <v>88</v>
      </c>
      <c r="E69" s="2672" t="s">
        <v>313</v>
      </c>
      <c r="F69" s="957"/>
      <c r="G69" s="28"/>
      <c r="H69" s="1171"/>
      <c r="I69" s="1492"/>
      <c r="J69" s="1563"/>
      <c r="K69" s="176"/>
      <c r="L69" s="1472"/>
      <c r="M69" s="1597"/>
      <c r="N69" s="176"/>
      <c r="O69" s="1472"/>
      <c r="P69" s="1583"/>
      <c r="Q69" s="2629"/>
      <c r="R69" s="173"/>
      <c r="S69" s="174"/>
      <c r="T69" s="175"/>
      <c r="U69" s="1177"/>
      <c r="W69" s="3"/>
    </row>
    <row r="70" spans="1:30" s="2" customFormat="1" ht="19.5" customHeight="1" thickBot="1" x14ac:dyDescent="0.3">
      <c r="A70" s="1144"/>
      <c r="B70" s="1200"/>
      <c r="C70" s="1153"/>
      <c r="D70" s="2628"/>
      <c r="E70" s="3158"/>
      <c r="F70" s="1804"/>
      <c r="G70" s="80" t="s">
        <v>36</v>
      </c>
      <c r="H70" s="1447">
        <f>SUM(H60:H69)</f>
        <v>382.4</v>
      </c>
      <c r="I70" s="1490">
        <f>SUM(I60:I69)</f>
        <v>382.29999999999995</v>
      </c>
      <c r="J70" s="1442">
        <f>SUM(J60:J69)</f>
        <v>-0.10000000000002274</v>
      </c>
      <c r="K70" s="75">
        <f>SUM(K60:K69)</f>
        <v>382.4</v>
      </c>
      <c r="L70" s="1479">
        <f>SUM(L60:L69)</f>
        <v>382.4</v>
      </c>
      <c r="M70" s="1419"/>
      <c r="N70" s="75">
        <f>SUM(N60:N69)</f>
        <v>382.4</v>
      </c>
      <c r="O70" s="1479">
        <f>SUM(O60:O69)</f>
        <v>382.4</v>
      </c>
      <c r="P70" s="1417"/>
      <c r="Q70" s="2630"/>
      <c r="R70" s="177"/>
      <c r="S70" s="1251"/>
      <c r="T70" s="1252"/>
      <c r="U70" s="1175"/>
    </row>
    <row r="71" spans="1:30" s="2" customFormat="1" ht="27.75" customHeight="1" x14ac:dyDescent="0.25">
      <c r="A71" s="178" t="s">
        <v>22</v>
      </c>
      <c r="B71" s="149" t="s">
        <v>50</v>
      </c>
      <c r="C71" s="1331" t="s">
        <v>56</v>
      </c>
      <c r="D71" s="180" t="s">
        <v>89</v>
      </c>
      <c r="E71" s="2616" t="s">
        <v>317</v>
      </c>
      <c r="F71" s="606" t="s">
        <v>27</v>
      </c>
      <c r="G71" s="1333" t="s">
        <v>31</v>
      </c>
      <c r="H71" s="1431">
        <f>77.8+87</f>
        <v>164.8</v>
      </c>
      <c r="I71" s="1662">
        <f>77.8+87+0.1</f>
        <v>164.9</v>
      </c>
      <c r="J71" s="1663">
        <f>I71-H71</f>
        <v>9.9999999999994316E-2</v>
      </c>
      <c r="K71" s="14">
        <f>77.8</f>
        <v>77.8</v>
      </c>
      <c r="L71" s="1540">
        <f>77.8</f>
        <v>77.8</v>
      </c>
      <c r="M71" s="1525"/>
      <c r="N71" s="14">
        <f>77.8</f>
        <v>77.8</v>
      </c>
      <c r="O71" s="1540">
        <f>77.8</f>
        <v>77.8</v>
      </c>
      <c r="P71" s="1538"/>
      <c r="Q71" s="2689" t="s">
        <v>90</v>
      </c>
      <c r="R71" s="1356">
        <v>54</v>
      </c>
      <c r="S71" s="1329">
        <v>51</v>
      </c>
      <c r="T71" s="1330">
        <v>51</v>
      </c>
      <c r="U71" s="2602" t="s">
        <v>374</v>
      </c>
    </row>
    <row r="72" spans="1:30" s="2" customFormat="1" ht="29.25" customHeight="1" x14ac:dyDescent="0.25">
      <c r="A72" s="181"/>
      <c r="B72" s="157"/>
      <c r="C72" s="158"/>
      <c r="D72" s="183" t="s">
        <v>91</v>
      </c>
      <c r="E72" s="2617"/>
      <c r="F72" s="187"/>
      <c r="G72" s="22" t="s">
        <v>52</v>
      </c>
      <c r="H72" s="1449">
        <v>218.6</v>
      </c>
      <c r="I72" s="1493">
        <v>218.6</v>
      </c>
      <c r="J72" s="1441"/>
      <c r="K72" s="23">
        <v>208.2</v>
      </c>
      <c r="L72" s="1547">
        <v>208.2</v>
      </c>
      <c r="M72" s="1598"/>
      <c r="N72" s="23">
        <v>208.2</v>
      </c>
      <c r="O72" s="1547">
        <v>208.2</v>
      </c>
      <c r="P72" s="1585"/>
      <c r="Q72" s="2546"/>
      <c r="R72" s="1253"/>
      <c r="S72" s="185"/>
      <c r="T72" s="1257"/>
      <c r="U72" s="2603"/>
      <c r="W72" s="3"/>
    </row>
    <row r="73" spans="1:30" s="2" customFormat="1" ht="54" customHeight="1" x14ac:dyDescent="0.25">
      <c r="A73" s="181"/>
      <c r="B73" s="157"/>
      <c r="C73" s="158"/>
      <c r="D73" s="33" t="s">
        <v>92</v>
      </c>
      <c r="E73" s="2617"/>
      <c r="F73" s="187"/>
      <c r="G73" s="1332"/>
      <c r="H73" s="1433"/>
      <c r="I73" s="1468"/>
      <c r="J73" s="1421"/>
      <c r="K73" s="29"/>
      <c r="L73" s="1470"/>
      <c r="M73" s="120"/>
      <c r="N73" s="29"/>
      <c r="O73" s="1470"/>
      <c r="P73" s="32"/>
      <c r="Q73" s="192"/>
      <c r="R73" s="1254"/>
      <c r="S73" s="56"/>
      <c r="T73" s="1258"/>
      <c r="U73" s="2603"/>
      <c r="W73" s="3"/>
      <c r="Y73" s="3"/>
    </row>
    <row r="74" spans="1:30" s="2" customFormat="1" ht="21" customHeight="1" x14ac:dyDescent="0.25">
      <c r="A74" s="2908"/>
      <c r="B74" s="2599"/>
      <c r="C74" s="1335"/>
      <c r="D74" s="3154" t="s">
        <v>93</v>
      </c>
      <c r="E74" s="91"/>
      <c r="F74" s="942"/>
      <c r="G74" s="1332"/>
      <c r="H74" s="1446"/>
      <c r="I74" s="1489"/>
      <c r="J74" s="316"/>
      <c r="K74" s="188"/>
      <c r="L74" s="1489"/>
      <c r="M74" s="316"/>
      <c r="N74" s="188"/>
      <c r="O74" s="1489"/>
      <c r="P74" s="189"/>
      <c r="Q74" s="1039"/>
      <c r="R74" s="1254"/>
      <c r="S74" s="56"/>
      <c r="T74" s="1258"/>
      <c r="U74" s="2603"/>
      <c r="W74" s="3"/>
      <c r="AA74" s="3"/>
    </row>
    <row r="75" spans="1:30" s="2" customFormat="1" ht="21" customHeight="1" x14ac:dyDescent="0.2">
      <c r="A75" s="2908"/>
      <c r="B75" s="2599"/>
      <c r="C75" s="1404"/>
      <c r="D75" s="3155"/>
      <c r="E75" s="1625"/>
      <c r="F75" s="942"/>
      <c r="G75" s="28"/>
      <c r="H75" s="1446"/>
      <c r="I75" s="1489"/>
      <c r="J75" s="316"/>
      <c r="K75" s="188"/>
      <c r="L75" s="1489"/>
      <c r="M75" s="316"/>
      <c r="N75" s="188"/>
      <c r="O75" s="1489"/>
      <c r="P75" s="189"/>
      <c r="Q75" s="1039"/>
      <c r="R75" s="1254"/>
      <c r="S75" s="56"/>
      <c r="T75" s="1258"/>
      <c r="U75" s="2603"/>
      <c r="Y75" s="3"/>
    </row>
    <row r="76" spans="1:30" s="2" customFormat="1" ht="102.75" customHeight="1" x14ac:dyDescent="0.25">
      <c r="A76" s="181"/>
      <c r="B76" s="157"/>
      <c r="C76" s="158"/>
      <c r="D76" s="2624" t="s">
        <v>328</v>
      </c>
      <c r="E76" s="2617" t="s">
        <v>315</v>
      </c>
      <c r="F76" s="295"/>
      <c r="G76" s="1158"/>
      <c r="H76" s="1433"/>
      <c r="I76" s="1468"/>
      <c r="J76" s="1421"/>
      <c r="K76" s="29"/>
      <c r="L76" s="1470"/>
      <c r="M76" s="120"/>
      <c r="N76" s="29"/>
      <c r="O76" s="1470"/>
      <c r="P76" s="32"/>
      <c r="Q76" s="192"/>
      <c r="R76" s="1254"/>
      <c r="S76" s="56"/>
      <c r="T76" s="1258"/>
      <c r="U76" s="3101"/>
    </row>
    <row r="77" spans="1:30" s="2" customFormat="1" ht="16.5" customHeight="1" thickBot="1" x14ac:dyDescent="0.3">
      <c r="A77" s="1151"/>
      <c r="B77" s="1198"/>
      <c r="C77" s="1153"/>
      <c r="D77" s="2625"/>
      <c r="E77" s="2626"/>
      <c r="F77" s="1149"/>
      <c r="G77" s="142" t="s">
        <v>36</v>
      </c>
      <c r="H77" s="1447">
        <f>SUM(H71:H76)</f>
        <v>383.4</v>
      </c>
      <c r="I77" s="1490">
        <f>SUM(I71:I76)</f>
        <v>383.5</v>
      </c>
      <c r="J77" s="1442">
        <f>SUM(J71:J76)</f>
        <v>9.9999999999994316E-2</v>
      </c>
      <c r="K77" s="143">
        <f>SUM(K71:K76)</f>
        <v>286</v>
      </c>
      <c r="L77" s="1490">
        <f>SUM(L71:L76)</f>
        <v>286</v>
      </c>
      <c r="M77" s="1592"/>
      <c r="N77" s="143">
        <f>SUM(N71:N76)</f>
        <v>286</v>
      </c>
      <c r="O77" s="1490">
        <f>SUM(O71:O76)</f>
        <v>286</v>
      </c>
      <c r="P77" s="1584"/>
      <c r="Q77" s="1040"/>
      <c r="R77" s="1255"/>
      <c r="S77" s="196"/>
      <c r="T77" s="1259"/>
      <c r="U77" s="3102"/>
    </row>
    <row r="78" spans="1:30" s="2" customFormat="1" ht="27" customHeight="1" x14ac:dyDescent="0.25">
      <c r="A78" s="2914" t="s">
        <v>22</v>
      </c>
      <c r="B78" s="2598" t="s">
        <v>50</v>
      </c>
      <c r="C78" s="1152" t="s">
        <v>59</v>
      </c>
      <c r="D78" s="3117" t="s">
        <v>94</v>
      </c>
      <c r="E78" s="92"/>
      <c r="F78" s="1156" t="s">
        <v>95</v>
      </c>
      <c r="G78" s="1159" t="s">
        <v>31</v>
      </c>
      <c r="H78" s="1450">
        <v>139.9</v>
      </c>
      <c r="I78" s="1494">
        <f>139.9-3.5</f>
        <v>136.4</v>
      </c>
      <c r="J78" s="1564">
        <f>I78-H78</f>
        <v>-3.5</v>
      </c>
      <c r="K78" s="209">
        <v>139.9</v>
      </c>
      <c r="L78" s="1480">
        <v>139.9</v>
      </c>
      <c r="M78" s="1599"/>
      <c r="N78" s="209">
        <v>139.9</v>
      </c>
      <c r="O78" s="1480">
        <v>139.9</v>
      </c>
      <c r="P78" s="1586"/>
      <c r="Q78" s="1293" t="s">
        <v>96</v>
      </c>
      <c r="R78" s="1722">
        <v>20</v>
      </c>
      <c r="S78" s="1263">
        <v>20</v>
      </c>
      <c r="T78" s="1260">
        <v>20</v>
      </c>
      <c r="U78" s="1204"/>
    </row>
    <row r="79" spans="1:30" s="2" customFormat="1" ht="29.25" customHeight="1" x14ac:dyDescent="0.25">
      <c r="A79" s="2908"/>
      <c r="B79" s="2599"/>
      <c r="C79" s="1163"/>
      <c r="D79" s="3109"/>
      <c r="E79" s="91"/>
      <c r="F79" s="937"/>
      <c r="G79" s="202" t="s">
        <v>52</v>
      </c>
      <c r="H79" s="1445">
        <v>137.1</v>
      </c>
      <c r="I79" s="1483">
        <v>137.1</v>
      </c>
      <c r="J79" s="1443"/>
      <c r="K79" s="61">
        <v>137.1</v>
      </c>
      <c r="L79" s="1476">
        <v>137.1</v>
      </c>
      <c r="M79" s="1600"/>
      <c r="N79" s="61">
        <v>137.1</v>
      </c>
      <c r="O79" s="1476">
        <v>137.1</v>
      </c>
      <c r="P79" s="1529"/>
      <c r="Q79" s="3094" t="s">
        <v>276</v>
      </c>
      <c r="R79" s="1256">
        <v>7</v>
      </c>
      <c r="S79" s="204">
        <v>7</v>
      </c>
      <c r="T79" s="1261">
        <v>7</v>
      </c>
      <c r="U79" s="1178"/>
      <c r="X79" s="3"/>
    </row>
    <row r="80" spans="1:30" s="2" customFormat="1" ht="16.5" customHeight="1" thickBot="1" x14ac:dyDescent="0.3">
      <c r="A80" s="1151"/>
      <c r="B80" s="1198"/>
      <c r="C80" s="1153"/>
      <c r="D80" s="3118"/>
      <c r="E80" s="88"/>
      <c r="F80" s="1157"/>
      <c r="G80" s="94" t="s">
        <v>36</v>
      </c>
      <c r="H80" s="1447">
        <f>SUM(H78:H79)</f>
        <v>277</v>
      </c>
      <c r="I80" s="1490">
        <f>SUM(I78:I79)</f>
        <v>273.5</v>
      </c>
      <c r="J80" s="1442">
        <f>SUM(J78:J79)</f>
        <v>-3.5</v>
      </c>
      <c r="K80" s="75">
        <f>SUM(K78:K79)</f>
        <v>277</v>
      </c>
      <c r="L80" s="1479">
        <f>SUM(L78:L79)</f>
        <v>277</v>
      </c>
      <c r="M80" s="1419"/>
      <c r="N80" s="75">
        <f>SUM(N78:N79)</f>
        <v>277</v>
      </c>
      <c r="O80" s="1479">
        <f>SUM(O78:O79)</f>
        <v>277</v>
      </c>
      <c r="P80" s="1417"/>
      <c r="Q80" s="3095"/>
      <c r="R80" s="1246"/>
      <c r="S80" s="207"/>
      <c r="T80" s="208"/>
      <c r="U80" s="1162"/>
    </row>
    <row r="81" spans="1:25" s="2" customFormat="1" ht="18.75" customHeight="1" x14ac:dyDescent="0.25">
      <c r="A81" s="1146" t="s">
        <v>22</v>
      </c>
      <c r="B81" s="1197" t="s">
        <v>50</v>
      </c>
      <c r="C81" s="1152" t="s">
        <v>97</v>
      </c>
      <c r="D81" s="2602" t="s">
        <v>301</v>
      </c>
      <c r="E81" s="92"/>
      <c r="F81" s="2604">
        <v>3</v>
      </c>
      <c r="G81" s="1187" t="s">
        <v>31</v>
      </c>
      <c r="H81" s="1451">
        <v>3.5</v>
      </c>
      <c r="I81" s="1495">
        <v>3.5</v>
      </c>
      <c r="J81" s="1420"/>
      <c r="K81" s="209">
        <v>3.5</v>
      </c>
      <c r="L81" s="1480">
        <v>3.5</v>
      </c>
      <c r="M81" s="1418"/>
      <c r="N81" s="209">
        <v>3.5</v>
      </c>
      <c r="O81" s="1480">
        <v>3.5</v>
      </c>
      <c r="P81" s="1429"/>
      <c r="Q81" s="1569" t="s">
        <v>307</v>
      </c>
      <c r="R81" s="138">
        <v>2</v>
      </c>
      <c r="S81" s="139">
        <v>2</v>
      </c>
      <c r="T81" s="1262">
        <v>2</v>
      </c>
      <c r="U81" s="1176"/>
    </row>
    <row r="82" spans="1:25" s="2" customFormat="1" ht="16.5" customHeight="1" thickBot="1" x14ac:dyDescent="0.25">
      <c r="A82" s="1144"/>
      <c r="B82" s="1200"/>
      <c r="C82" s="1153"/>
      <c r="D82" s="2637"/>
      <c r="E82" s="190"/>
      <c r="F82" s="2965"/>
      <c r="G82" s="142" t="s">
        <v>36</v>
      </c>
      <c r="H82" s="1447">
        <f>H81</f>
        <v>3.5</v>
      </c>
      <c r="I82" s="1490">
        <f>I81</f>
        <v>3.5</v>
      </c>
      <c r="J82" s="1442">
        <f>J81</f>
        <v>0</v>
      </c>
      <c r="K82" s="75">
        <f>K81</f>
        <v>3.5</v>
      </c>
      <c r="L82" s="1479">
        <f>L81</f>
        <v>3.5</v>
      </c>
      <c r="M82" s="1534"/>
      <c r="N82" s="75">
        <f>N81</f>
        <v>3.5</v>
      </c>
      <c r="O82" s="1479">
        <f>O81</f>
        <v>3.5</v>
      </c>
      <c r="P82" s="1530"/>
      <c r="Q82" s="1402"/>
      <c r="R82" s="1246"/>
      <c r="S82" s="207"/>
      <c r="T82" s="208"/>
      <c r="U82" s="1162"/>
    </row>
    <row r="83" spans="1:25" s="2" customFormat="1" ht="16.5" customHeight="1" x14ac:dyDescent="0.25">
      <c r="A83" s="1278" t="s">
        <v>22</v>
      </c>
      <c r="B83" s="1280" t="s">
        <v>50</v>
      </c>
      <c r="C83" s="3067" t="s">
        <v>340</v>
      </c>
      <c r="D83" s="3137" t="s">
        <v>341</v>
      </c>
      <c r="E83" s="2638"/>
      <c r="F83" s="2640">
        <v>3</v>
      </c>
      <c r="G83" s="468" t="s">
        <v>31</v>
      </c>
      <c r="H83" s="1452">
        <v>5</v>
      </c>
      <c r="I83" s="1496">
        <v>5</v>
      </c>
      <c r="J83" s="1565">
        <f>I83-H83</f>
        <v>0</v>
      </c>
      <c r="K83" s="1543"/>
      <c r="L83" s="1510"/>
      <c r="M83" s="1593"/>
      <c r="N83" s="1543"/>
      <c r="O83" s="1510"/>
      <c r="P83" s="1581"/>
      <c r="Q83" s="1570" t="s">
        <v>332</v>
      </c>
      <c r="R83" s="1319">
        <v>1</v>
      </c>
      <c r="S83" s="1284"/>
      <c r="T83" s="1285"/>
      <c r="U83" s="2602"/>
    </row>
    <row r="84" spans="1:25" s="2" customFormat="1" ht="16.5" customHeight="1" x14ac:dyDescent="0.25">
      <c r="A84" s="1282"/>
      <c r="B84" s="1283"/>
      <c r="C84" s="3068"/>
      <c r="D84" s="3138"/>
      <c r="E84" s="3122"/>
      <c r="F84" s="3140"/>
      <c r="G84" s="823" t="s">
        <v>103</v>
      </c>
      <c r="H84" s="1446"/>
      <c r="I84" s="1491"/>
      <c r="J84" s="1348"/>
      <c r="K84" s="240">
        <v>487.3</v>
      </c>
      <c r="L84" s="1503">
        <v>487.3</v>
      </c>
      <c r="M84" s="1601"/>
      <c r="N84" s="240">
        <v>487.3</v>
      </c>
      <c r="O84" s="1503">
        <v>487.3</v>
      </c>
      <c r="P84" s="1577"/>
      <c r="Q84" s="3127" t="s">
        <v>333</v>
      </c>
      <c r="R84" s="3129"/>
      <c r="S84" s="2978">
        <v>350</v>
      </c>
      <c r="T84" s="3131">
        <v>350</v>
      </c>
      <c r="U84" s="2603"/>
    </row>
    <row r="85" spans="1:25" s="2" customFormat="1" ht="16.5" customHeight="1" thickBot="1" x14ac:dyDescent="0.3">
      <c r="A85" s="1279"/>
      <c r="B85" s="1281"/>
      <c r="C85" s="1286"/>
      <c r="D85" s="3139"/>
      <c r="E85" s="2639"/>
      <c r="F85" s="2641"/>
      <c r="G85" s="1358" t="s">
        <v>36</v>
      </c>
      <c r="H85" s="1447">
        <f>H83</f>
        <v>5</v>
      </c>
      <c r="I85" s="1490">
        <f>SUM(I83:I84)</f>
        <v>5</v>
      </c>
      <c r="J85" s="1442">
        <f>SUM(J83:J84)</f>
        <v>0</v>
      </c>
      <c r="K85" s="75">
        <f>K84+K83</f>
        <v>487.3</v>
      </c>
      <c r="L85" s="1479">
        <f>L84+L83</f>
        <v>487.3</v>
      </c>
      <c r="M85" s="1419"/>
      <c r="N85" s="37">
        <f>N84+N83</f>
        <v>487.3</v>
      </c>
      <c r="O85" s="1473">
        <f>O84+O83</f>
        <v>487.3</v>
      </c>
      <c r="P85" s="1426"/>
      <c r="Q85" s="3128"/>
      <c r="R85" s="3130"/>
      <c r="S85" s="2979"/>
      <c r="T85" s="3132"/>
      <c r="U85" s="2637"/>
    </row>
    <row r="86" spans="1:25" s="2" customFormat="1" ht="16.5" customHeight="1" thickBot="1" x14ac:dyDescent="0.3">
      <c r="A86" s="7" t="s">
        <v>22</v>
      </c>
      <c r="B86" s="8" t="s">
        <v>50</v>
      </c>
      <c r="C86" s="2562" t="s">
        <v>62</v>
      </c>
      <c r="D86" s="2541"/>
      <c r="E86" s="2541"/>
      <c r="F86" s="2541"/>
      <c r="G86" s="2563"/>
      <c r="H86" s="98">
        <f>+H80+H77+H70+H59+H57+H82+H85</f>
        <v>5714</v>
      </c>
      <c r="I86" s="1482">
        <f>+I80+I77+I70+I59+I57+I82+I85</f>
        <v>5778.7</v>
      </c>
      <c r="J86" s="1444">
        <f>+J80+J77+J70+J59+J57+J82+J85</f>
        <v>64.699999999999932</v>
      </c>
      <c r="K86" s="212">
        <f t="shared" ref="K86" si="11">K82+K80+K77+K70+K59+K57+K85</f>
        <v>5930.0000000000009</v>
      </c>
      <c r="L86" s="1482">
        <f>L82+L80+L77+L70+L59+L57+L85</f>
        <v>5966.0000000000009</v>
      </c>
      <c r="M86" s="1482">
        <f>M82+M80+M77+M70+M59+M57+M85</f>
        <v>36</v>
      </c>
      <c r="N86" s="212">
        <f t="shared" ref="N86:P86" si="12">N82+N80+N77+N70+N59+N57+N85</f>
        <v>5932.2000000000007</v>
      </c>
      <c r="O86" s="1482">
        <f>O82+O80+O77+O70+O59+O57+O85</f>
        <v>5967.2000000000007</v>
      </c>
      <c r="P86" s="1602">
        <f t="shared" si="12"/>
        <v>35</v>
      </c>
      <c r="Q86" s="2543"/>
      <c r="R86" s="2543"/>
      <c r="S86" s="2543"/>
      <c r="T86" s="2543"/>
      <c r="U86" s="2544"/>
    </row>
    <row r="87" spans="1:25" s="2" customFormat="1" ht="18.75" customHeight="1" thickBot="1" x14ac:dyDescent="0.3">
      <c r="A87" s="99" t="s">
        <v>22</v>
      </c>
      <c r="B87" s="8" t="s">
        <v>54</v>
      </c>
      <c r="C87" s="3108" t="s">
        <v>105</v>
      </c>
      <c r="D87" s="2585"/>
      <c r="E87" s="2585"/>
      <c r="F87" s="2585"/>
      <c r="G87" s="2585"/>
      <c r="H87" s="2585"/>
      <c r="I87" s="2585"/>
      <c r="J87" s="2585"/>
      <c r="K87" s="2585"/>
      <c r="L87" s="2585"/>
      <c r="M87" s="2585"/>
      <c r="N87" s="2585"/>
      <c r="O87" s="2585"/>
      <c r="P87" s="2585"/>
      <c r="Q87" s="2585"/>
      <c r="R87" s="2585"/>
      <c r="S87" s="2585"/>
      <c r="T87" s="2585"/>
      <c r="U87" s="2586"/>
    </row>
    <row r="88" spans="1:25" s="3" customFormat="1" ht="54.75" customHeight="1" x14ac:dyDescent="0.25">
      <c r="A88" s="213" t="s">
        <v>22</v>
      </c>
      <c r="B88" s="9" t="s">
        <v>54</v>
      </c>
      <c r="C88" s="214" t="s">
        <v>22</v>
      </c>
      <c r="D88" s="101" t="s">
        <v>106</v>
      </c>
      <c r="E88" s="1212"/>
      <c r="F88" s="744"/>
      <c r="G88" s="219"/>
      <c r="H88" s="220"/>
      <c r="I88" s="1502"/>
      <c r="J88" s="1497"/>
      <c r="K88" s="221"/>
      <c r="L88" s="1502"/>
      <c r="M88" s="1497"/>
      <c r="N88" s="221"/>
      <c r="O88" s="1502"/>
      <c r="P88" s="1550"/>
      <c r="Q88" s="291"/>
      <c r="R88" s="1264"/>
      <c r="S88" s="223"/>
      <c r="T88" s="224"/>
      <c r="U88" s="3119" t="s">
        <v>378</v>
      </c>
    </row>
    <row r="89" spans="1:25" s="3" customFormat="1" ht="29.25" customHeight="1" x14ac:dyDescent="0.25">
      <c r="A89" s="225"/>
      <c r="B89" s="1784"/>
      <c r="C89" s="226"/>
      <c r="D89" s="2537" t="s">
        <v>285</v>
      </c>
      <c r="E89" s="1215"/>
      <c r="F89" s="1776">
        <v>6</v>
      </c>
      <c r="G89" s="232" t="s">
        <v>31</v>
      </c>
      <c r="H89" s="230">
        <f>48-28-10</f>
        <v>10</v>
      </c>
      <c r="I89" s="1503">
        <f>48-28-10</f>
        <v>10</v>
      </c>
      <c r="J89" s="1188">
        <f>I89-H89</f>
        <v>0</v>
      </c>
      <c r="K89" s="240">
        <v>232</v>
      </c>
      <c r="L89" s="1503">
        <v>232</v>
      </c>
      <c r="M89" s="1188"/>
      <c r="N89" s="240"/>
      <c r="O89" s="1503"/>
      <c r="P89" s="323"/>
      <c r="Q89" s="1287" t="s">
        <v>107</v>
      </c>
      <c r="R89" s="528">
        <v>1</v>
      </c>
      <c r="S89" s="594"/>
      <c r="T89" s="256"/>
      <c r="U89" s="3019"/>
    </row>
    <row r="90" spans="1:25" s="3" customFormat="1" ht="18" customHeight="1" x14ac:dyDescent="0.25">
      <c r="A90" s="225"/>
      <c r="B90" s="1784"/>
      <c r="C90" s="1326"/>
      <c r="D90" s="2845"/>
      <c r="E90" s="1214"/>
      <c r="F90" s="235"/>
      <c r="G90" s="503"/>
      <c r="H90" s="242"/>
      <c r="I90" s="1504"/>
      <c r="J90" s="1427"/>
      <c r="K90" s="70"/>
      <c r="L90" s="1504"/>
      <c r="M90" s="1427"/>
      <c r="N90" s="70"/>
      <c r="O90" s="1504"/>
      <c r="P90" s="931"/>
      <c r="Q90" s="670" t="s">
        <v>108</v>
      </c>
      <c r="R90" s="439">
        <v>10</v>
      </c>
      <c r="S90" s="597">
        <v>100</v>
      </c>
      <c r="T90" s="503"/>
      <c r="U90" s="3019"/>
    </row>
    <row r="91" spans="1:25" s="3" customFormat="1" ht="20.25" customHeight="1" x14ac:dyDescent="0.25">
      <c r="A91" s="225"/>
      <c r="B91" s="1784"/>
      <c r="C91" s="226"/>
      <c r="D91" s="2538" t="s">
        <v>109</v>
      </c>
      <c r="E91" s="1215"/>
      <c r="F91" s="1313"/>
      <c r="G91" s="245" t="s">
        <v>31</v>
      </c>
      <c r="H91" s="1380">
        <f>69.1-16</f>
        <v>53.099999999999994</v>
      </c>
      <c r="I91" s="1505">
        <f>69.1-16</f>
        <v>53.099999999999994</v>
      </c>
      <c r="J91" s="1498">
        <f>I91-H91</f>
        <v>0</v>
      </c>
      <c r="K91" s="1381"/>
      <c r="L91" s="1505"/>
      <c r="M91" s="1498"/>
      <c r="N91" s="1381"/>
      <c r="O91" s="1505"/>
      <c r="P91" s="1551"/>
      <c r="Q91" s="662" t="s">
        <v>110</v>
      </c>
      <c r="R91" s="244">
        <v>100</v>
      </c>
      <c r="S91" s="1775"/>
      <c r="T91" s="245"/>
      <c r="U91" s="3019"/>
    </row>
    <row r="92" spans="1:25" s="3" customFormat="1" ht="20.25" customHeight="1" x14ac:dyDescent="0.25">
      <c r="A92" s="924"/>
      <c r="B92" s="905"/>
      <c r="C92" s="932"/>
      <c r="D92" s="2845"/>
      <c r="E92" s="1810"/>
      <c r="F92" s="664"/>
      <c r="G92" s="503"/>
      <c r="H92" s="242"/>
      <c r="I92" s="1504"/>
      <c r="J92" s="1427"/>
      <c r="K92" s="70"/>
      <c r="L92" s="1504"/>
      <c r="M92" s="1427"/>
      <c r="N92" s="70"/>
      <c r="O92" s="1504"/>
      <c r="P92" s="931"/>
      <c r="Q92" s="670"/>
      <c r="R92" s="439"/>
      <c r="S92" s="597"/>
      <c r="T92" s="503"/>
      <c r="U92" s="2787"/>
    </row>
    <row r="93" spans="1:25" s="1" customFormat="1" ht="27.75" customHeight="1" x14ac:dyDescent="0.2">
      <c r="A93" s="1819"/>
      <c r="B93" s="1739"/>
      <c r="C93" s="995"/>
      <c r="D93" s="2537" t="s">
        <v>339</v>
      </c>
      <c r="E93" s="1820"/>
      <c r="F93" s="2988"/>
      <c r="G93" s="1778" t="s">
        <v>31</v>
      </c>
      <c r="H93" s="1438">
        <v>41.2</v>
      </c>
      <c r="I93" s="1477">
        <v>41.2</v>
      </c>
      <c r="J93" s="1188"/>
      <c r="K93" s="240"/>
      <c r="L93" s="1503"/>
      <c r="M93" s="1188"/>
      <c r="N93" s="240"/>
      <c r="O93" s="1503"/>
      <c r="P93" s="323"/>
      <c r="Q93" s="1821" t="s">
        <v>111</v>
      </c>
      <c r="R93" s="1265">
        <v>20</v>
      </c>
      <c r="S93" s="1822"/>
      <c r="T93" s="1823"/>
      <c r="U93" s="2786" t="s">
        <v>379</v>
      </c>
      <c r="W93" s="251"/>
    </row>
    <row r="94" spans="1:25" s="1" customFormat="1" ht="27.75" customHeight="1" x14ac:dyDescent="0.2">
      <c r="A94" s="225"/>
      <c r="B94" s="1784"/>
      <c r="C94" s="1326"/>
      <c r="D94" s="2845"/>
      <c r="E94" s="1216"/>
      <c r="F94" s="3141"/>
      <c r="G94" s="491"/>
      <c r="H94" s="1172"/>
      <c r="I94" s="1475"/>
      <c r="J94" s="1427"/>
      <c r="K94" s="70"/>
      <c r="L94" s="1504"/>
      <c r="M94" s="1427"/>
      <c r="N94" s="70"/>
      <c r="O94" s="1504"/>
      <c r="P94" s="931"/>
      <c r="Q94" s="670" t="s">
        <v>287</v>
      </c>
      <c r="R94" s="1325">
        <v>2400</v>
      </c>
      <c r="S94" s="67"/>
      <c r="T94" s="491"/>
      <c r="U94" s="3019"/>
      <c r="W94" s="251"/>
      <c r="X94" s="251"/>
      <c r="Y94" s="251"/>
    </row>
    <row r="95" spans="1:25" s="3" customFormat="1" ht="54" customHeight="1" x14ac:dyDescent="0.25">
      <c r="A95" s="225"/>
      <c r="B95" s="1784"/>
      <c r="C95" s="226"/>
      <c r="D95" s="1761" t="s">
        <v>112</v>
      </c>
      <c r="E95" s="1217"/>
      <c r="F95" s="1789"/>
      <c r="G95" s="503" t="s">
        <v>31</v>
      </c>
      <c r="H95" s="1359">
        <f>700-124.4</f>
        <v>575.6</v>
      </c>
      <c r="I95" s="1472">
        <f>700-124.4</f>
        <v>575.6</v>
      </c>
      <c r="J95" s="1499">
        <f>I95-H95</f>
        <v>0</v>
      </c>
      <c r="K95" s="1381"/>
      <c r="L95" s="1505"/>
      <c r="M95" s="1498"/>
      <c r="N95" s="1381"/>
      <c r="O95" s="1505"/>
      <c r="P95" s="1551"/>
      <c r="Q95" s="31" t="s">
        <v>113</v>
      </c>
      <c r="R95" s="114">
        <v>100</v>
      </c>
      <c r="S95" s="933"/>
      <c r="T95" s="1308"/>
      <c r="U95" s="3019"/>
    </row>
    <row r="96" spans="1:25" s="3" customFormat="1" ht="42" customHeight="1" x14ac:dyDescent="0.25">
      <c r="A96" s="225"/>
      <c r="B96" s="1784"/>
      <c r="C96" s="226"/>
      <c r="D96" s="1406" t="s">
        <v>114</v>
      </c>
      <c r="E96" s="1215"/>
      <c r="F96" s="258"/>
      <c r="G96" s="232" t="s">
        <v>31</v>
      </c>
      <c r="H96" s="230">
        <v>4.5999999999999996</v>
      </c>
      <c r="I96" s="1507">
        <f>4.6+3.5</f>
        <v>8.1</v>
      </c>
      <c r="J96" s="1500">
        <f>I96-H96</f>
        <v>3.5</v>
      </c>
      <c r="K96" s="1245"/>
      <c r="L96" s="1507"/>
      <c r="M96" s="1500"/>
      <c r="N96" s="1245"/>
      <c r="O96" s="1507"/>
      <c r="P96" s="1552"/>
      <c r="Q96" s="24" t="s">
        <v>288</v>
      </c>
      <c r="R96" s="1266">
        <v>100</v>
      </c>
      <c r="S96" s="1267"/>
      <c r="T96" s="1309"/>
      <c r="U96" s="3019"/>
    </row>
    <row r="97" spans="1:30" s="3" customFormat="1" ht="21" customHeight="1" x14ac:dyDescent="0.25">
      <c r="A97" s="225"/>
      <c r="B97" s="1784"/>
      <c r="C97" s="226"/>
      <c r="D97" s="3115" t="s">
        <v>327</v>
      </c>
      <c r="E97" s="1213"/>
      <c r="F97" s="3135">
        <v>1</v>
      </c>
      <c r="G97" s="1394" t="s">
        <v>31</v>
      </c>
      <c r="H97" s="230">
        <v>160</v>
      </c>
      <c r="I97" s="1503">
        <v>160</v>
      </c>
      <c r="J97" s="1188">
        <f>I97-H97</f>
        <v>0</v>
      </c>
      <c r="K97" s="240"/>
      <c r="L97" s="1503"/>
      <c r="M97" s="1188"/>
      <c r="N97" s="240"/>
      <c r="O97" s="1503"/>
      <c r="P97" s="323"/>
      <c r="Q97" s="507" t="s">
        <v>329</v>
      </c>
      <c r="R97" s="1360">
        <v>1</v>
      </c>
      <c r="S97" s="1288"/>
      <c r="T97" s="1310"/>
      <c r="U97" s="3019"/>
    </row>
    <row r="98" spans="1:30" s="3" customFormat="1" ht="21" customHeight="1" x14ac:dyDescent="0.25">
      <c r="A98" s="225"/>
      <c r="B98" s="1784"/>
      <c r="C98" s="226"/>
      <c r="D98" s="3116"/>
      <c r="E98" s="1269"/>
      <c r="F98" s="3136"/>
      <c r="G98" s="503"/>
      <c r="H98" s="242"/>
      <c r="I98" s="1504"/>
      <c r="J98" s="1427"/>
      <c r="K98" s="70"/>
      <c r="L98" s="1504"/>
      <c r="M98" s="1427"/>
      <c r="N98" s="70"/>
      <c r="O98" s="1504"/>
      <c r="P98" s="931"/>
      <c r="Q98" s="169" t="s">
        <v>330</v>
      </c>
      <c r="R98" s="274">
        <v>8</v>
      </c>
      <c r="S98" s="1307"/>
      <c r="T98" s="1311"/>
      <c r="U98" s="3019"/>
    </row>
    <row r="99" spans="1:30" s="3" customFormat="1" ht="30.75" customHeight="1" x14ac:dyDescent="0.25">
      <c r="A99" s="225"/>
      <c r="B99" s="1784"/>
      <c r="C99" s="226"/>
      <c r="D99" s="3142" t="s">
        <v>331</v>
      </c>
      <c r="E99" s="1213"/>
      <c r="F99" s="3135">
        <v>3</v>
      </c>
      <c r="G99" s="1365" t="s">
        <v>31</v>
      </c>
      <c r="H99" s="1361"/>
      <c r="I99" s="1788"/>
      <c r="J99" s="1501"/>
      <c r="K99" s="3113">
        <v>182.6</v>
      </c>
      <c r="L99" s="3133">
        <v>182.6</v>
      </c>
      <c r="M99" s="1501"/>
      <c r="N99" s="1791"/>
      <c r="O99" s="1788"/>
      <c r="P99" s="1425"/>
      <c r="Q99" s="1792" t="s">
        <v>107</v>
      </c>
      <c r="R99" s="1366"/>
      <c r="S99" s="1367">
        <v>1</v>
      </c>
      <c r="T99" s="1309"/>
      <c r="U99" s="3019"/>
    </row>
    <row r="100" spans="1:30" s="3" customFormat="1" ht="15.75" customHeight="1" x14ac:dyDescent="0.25">
      <c r="A100" s="225"/>
      <c r="B100" s="1784"/>
      <c r="C100" s="226"/>
      <c r="D100" s="3143"/>
      <c r="E100" s="1215"/>
      <c r="F100" s="3140"/>
      <c r="G100" s="1362"/>
      <c r="H100" s="1363"/>
      <c r="I100" s="1491"/>
      <c r="J100" s="1348"/>
      <c r="K100" s="3114"/>
      <c r="L100" s="3134"/>
      <c r="M100" s="1348"/>
      <c r="N100" s="1364"/>
      <c r="O100" s="1491"/>
      <c r="P100" s="1350"/>
      <c r="Q100" s="1323" t="s">
        <v>338</v>
      </c>
      <c r="R100" s="1368"/>
      <c r="S100" s="1369">
        <v>2</v>
      </c>
      <c r="T100" s="1312"/>
      <c r="U100" s="662"/>
    </row>
    <row r="101" spans="1:30" s="3" customFormat="1" ht="18" customHeight="1" x14ac:dyDescent="0.25">
      <c r="A101" s="225"/>
      <c r="B101" s="18"/>
      <c r="C101" s="226"/>
      <c r="D101" s="3172" t="s">
        <v>349</v>
      </c>
      <c r="E101" s="1213"/>
      <c r="F101" s="1395">
        <v>5</v>
      </c>
      <c r="G101" s="1394" t="s">
        <v>31</v>
      </c>
      <c r="H101" s="230">
        <v>0</v>
      </c>
      <c r="I101" s="1507">
        <v>6.6</v>
      </c>
      <c r="J101" s="1500">
        <f>I101-H101</f>
        <v>6.6</v>
      </c>
      <c r="K101" s="1548">
        <v>6.2</v>
      </c>
      <c r="L101" s="1641">
        <v>34.799999999999997</v>
      </c>
      <c r="M101" s="1650">
        <f>L101-K101</f>
        <v>28.599999999999998</v>
      </c>
      <c r="N101" s="1388">
        <v>49.5</v>
      </c>
      <c r="O101" s="1467">
        <v>36.299999999999997</v>
      </c>
      <c r="P101" s="1649">
        <f>O101-N101</f>
        <v>-13.200000000000003</v>
      </c>
      <c r="Q101" s="1391" t="s">
        <v>116</v>
      </c>
      <c r="R101" s="1371">
        <v>1</v>
      </c>
      <c r="S101" s="1372">
        <v>1</v>
      </c>
      <c r="T101" s="783"/>
      <c r="U101" s="662"/>
    </row>
    <row r="102" spans="1:30" s="3" customFormat="1" ht="18" customHeight="1" x14ac:dyDescent="0.25">
      <c r="A102" s="225"/>
      <c r="B102" s="1629"/>
      <c r="C102" s="226"/>
      <c r="D102" s="3111"/>
      <c r="E102" s="1215"/>
      <c r="F102" s="1632"/>
      <c r="G102" s="1394" t="s">
        <v>103</v>
      </c>
      <c r="H102" s="230"/>
      <c r="I102" s="1507"/>
      <c r="J102" s="1500"/>
      <c r="K102" s="1647">
        <v>18.600000000000001</v>
      </c>
      <c r="L102" s="1648">
        <v>18.600000000000001</v>
      </c>
      <c r="M102" s="1651"/>
      <c r="N102" s="1388">
        <v>280.60000000000002</v>
      </c>
      <c r="O102" s="1467">
        <v>243.4</v>
      </c>
      <c r="P102" s="1649">
        <f>O102-N102</f>
        <v>-37.200000000000017</v>
      </c>
      <c r="Q102" s="1639" t="s">
        <v>350</v>
      </c>
      <c r="R102" s="1637">
        <v>1</v>
      </c>
      <c r="S102" s="1638"/>
      <c r="T102" s="357"/>
      <c r="U102" s="662"/>
    </row>
    <row r="103" spans="1:30" s="3" customFormat="1" ht="18" customHeight="1" x14ac:dyDescent="0.25">
      <c r="A103" s="225"/>
      <c r="B103" s="18"/>
      <c r="C103" s="226"/>
      <c r="D103" s="3111"/>
      <c r="E103" s="1215"/>
      <c r="F103" s="258"/>
      <c r="G103" s="1628"/>
      <c r="H103" s="236"/>
      <c r="I103" s="1642"/>
      <c r="J103" s="1643"/>
      <c r="K103" s="1644"/>
      <c r="L103" s="1645"/>
      <c r="M103" s="1652"/>
      <c r="N103" s="1640"/>
      <c r="O103" s="1492"/>
      <c r="P103" s="1646"/>
      <c r="Q103" s="1392" t="s">
        <v>102</v>
      </c>
      <c r="R103" s="1268"/>
      <c r="S103" s="705">
        <v>1</v>
      </c>
      <c r="T103" s="357"/>
      <c r="U103" s="662"/>
    </row>
    <row r="104" spans="1:30" s="3" customFormat="1" ht="17.25" customHeight="1" x14ac:dyDescent="0.25">
      <c r="A104" s="225"/>
      <c r="B104" s="18"/>
      <c r="C104" s="226"/>
      <c r="D104" s="3112"/>
      <c r="E104" s="1269"/>
      <c r="F104" s="1370"/>
      <c r="G104" s="734" t="s">
        <v>36</v>
      </c>
      <c r="H104" s="1522">
        <f>SUM(H101:H103)</f>
        <v>0</v>
      </c>
      <c r="I104" s="1554">
        <f t="shared" ref="I104:J104" si="13">SUM(I101:I103)</f>
        <v>6.6</v>
      </c>
      <c r="J104" s="1635">
        <f t="shared" si="13"/>
        <v>6.6</v>
      </c>
      <c r="K104" s="1522">
        <f>SUM(K101:K103)</f>
        <v>24.8</v>
      </c>
      <c r="L104" s="1554">
        <f>SUM(L101:L103)</f>
        <v>53.4</v>
      </c>
      <c r="M104" s="1634">
        <f t="shared" ref="M104:P104" si="14">SUM(M101:M103)</f>
        <v>28.599999999999998</v>
      </c>
      <c r="N104" s="262">
        <f t="shared" si="14"/>
        <v>330.1</v>
      </c>
      <c r="O104" s="1554">
        <f t="shared" si="14"/>
        <v>279.7</v>
      </c>
      <c r="P104" s="1636">
        <f t="shared" si="14"/>
        <v>-50.40000000000002</v>
      </c>
      <c r="Q104" s="670" t="s">
        <v>117</v>
      </c>
      <c r="R104" s="274"/>
      <c r="S104" s="275"/>
      <c r="T104" s="561">
        <v>80</v>
      </c>
      <c r="U104" s="662"/>
    </row>
    <row r="105" spans="1:30" s="3" customFormat="1" ht="18.75" customHeight="1" x14ac:dyDescent="0.25">
      <c r="A105" s="225"/>
      <c r="B105" s="1390"/>
      <c r="C105" s="226"/>
      <c r="D105" s="3172" t="s">
        <v>351</v>
      </c>
      <c r="E105" s="1290"/>
      <c r="F105" s="1395">
        <v>5</v>
      </c>
      <c r="G105" s="1394" t="s">
        <v>31</v>
      </c>
      <c r="H105" s="230">
        <v>0</v>
      </c>
      <c r="I105" s="1508">
        <v>1.7</v>
      </c>
      <c r="J105" s="1410">
        <f>I105-H105</f>
        <v>1.7</v>
      </c>
      <c r="K105" s="71">
        <v>0</v>
      </c>
      <c r="L105" s="1555">
        <v>13.5</v>
      </c>
      <c r="M105" s="1410">
        <f>L105-K105</f>
        <v>13.5</v>
      </c>
      <c r="N105" s="71">
        <v>24.8</v>
      </c>
      <c r="O105" s="1555">
        <v>11.4</v>
      </c>
      <c r="P105" s="1193">
        <f>O105-N105</f>
        <v>-13.4</v>
      </c>
      <c r="Q105" s="1391" t="s">
        <v>118</v>
      </c>
      <c r="R105" s="277">
        <v>1</v>
      </c>
      <c r="S105" s="1373"/>
      <c r="T105" s="1374">
        <v>1</v>
      </c>
      <c r="U105" s="3109"/>
    </row>
    <row r="106" spans="1:30" s="3" customFormat="1" ht="18.75" customHeight="1" x14ac:dyDescent="0.25">
      <c r="A106" s="225"/>
      <c r="B106" s="1390"/>
      <c r="C106" s="1326"/>
      <c r="D106" s="3111"/>
      <c r="E106" s="1215"/>
      <c r="F106" s="260"/>
      <c r="G106" s="271" t="s">
        <v>103</v>
      </c>
      <c r="H106" s="272"/>
      <c r="I106" s="1653"/>
      <c r="J106" s="1654"/>
      <c r="K106" s="1655"/>
      <c r="L106" s="1656"/>
      <c r="M106" s="1654"/>
      <c r="N106" s="44">
        <v>0</v>
      </c>
      <c r="O106" s="1656">
        <v>64.5</v>
      </c>
      <c r="P106" s="1657">
        <f>O106-N106</f>
        <v>64.5</v>
      </c>
      <c r="Q106" s="1392" t="s">
        <v>102</v>
      </c>
      <c r="R106" s="704"/>
      <c r="S106" s="705">
        <v>1</v>
      </c>
      <c r="T106" s="1375">
        <v>1</v>
      </c>
      <c r="U106" s="3109"/>
    </row>
    <row r="107" spans="1:30" s="3" customFormat="1" ht="15.75" customHeight="1" x14ac:dyDescent="0.25">
      <c r="A107" s="225"/>
      <c r="B107" s="1627"/>
      <c r="C107" s="226"/>
      <c r="D107" s="3112"/>
      <c r="E107" s="1633"/>
      <c r="F107" s="260"/>
      <c r="G107" s="734" t="s">
        <v>36</v>
      </c>
      <c r="H107" s="262"/>
      <c r="I107" s="1554">
        <f>SUM(I105:I106)</f>
        <v>1.7</v>
      </c>
      <c r="J107" s="1634">
        <f t="shared" ref="J107:P107" si="15">SUM(J105:J106)</f>
        <v>1.7</v>
      </c>
      <c r="K107" s="262">
        <f t="shared" si="15"/>
        <v>0</v>
      </c>
      <c r="L107" s="1554">
        <f t="shared" si="15"/>
        <v>13.5</v>
      </c>
      <c r="M107" s="1554">
        <f t="shared" si="15"/>
        <v>13.5</v>
      </c>
      <c r="N107" s="262">
        <f t="shared" si="15"/>
        <v>24.8</v>
      </c>
      <c r="O107" s="1554">
        <f t="shared" si="15"/>
        <v>75.900000000000006</v>
      </c>
      <c r="P107" s="1554">
        <f t="shared" si="15"/>
        <v>51.1</v>
      </c>
      <c r="Q107" s="1723" t="s">
        <v>366</v>
      </c>
      <c r="R107" s="1724"/>
      <c r="S107" s="1725"/>
      <c r="T107" s="1726">
        <v>30</v>
      </c>
      <c r="U107" s="3109"/>
    </row>
    <row r="108" spans="1:30" s="2" customFormat="1" ht="14.25" customHeight="1" x14ac:dyDescent="0.25">
      <c r="A108" s="1389"/>
      <c r="B108" s="1390"/>
      <c r="C108" s="1393"/>
      <c r="D108" s="2523" t="s">
        <v>376</v>
      </c>
      <c r="E108" s="3066" t="s">
        <v>321</v>
      </c>
      <c r="F108" s="3110">
        <v>5</v>
      </c>
      <c r="G108" s="43" t="s">
        <v>31</v>
      </c>
      <c r="H108" s="1453"/>
      <c r="I108" s="1509"/>
      <c r="J108" s="1523"/>
      <c r="K108" s="1631">
        <v>50</v>
      </c>
      <c r="L108" s="1630">
        <v>50</v>
      </c>
      <c r="M108" s="1501"/>
      <c r="N108" s="1397">
        <v>75</v>
      </c>
      <c r="O108" s="1590">
        <v>75</v>
      </c>
      <c r="P108" s="323"/>
      <c r="Q108" s="1396" t="s">
        <v>102</v>
      </c>
      <c r="R108" s="1756"/>
      <c r="S108" s="1758">
        <v>1</v>
      </c>
      <c r="T108" s="1757"/>
      <c r="U108" s="3111"/>
    </row>
    <row r="109" spans="1:30" s="2" customFormat="1" ht="14.25" customHeight="1" x14ac:dyDescent="0.25">
      <c r="A109" s="1247"/>
      <c r="B109" s="18"/>
      <c r="C109" s="3178"/>
      <c r="D109" s="2524"/>
      <c r="E109" s="2672"/>
      <c r="F109" s="2584"/>
      <c r="G109" s="35" t="s">
        <v>103</v>
      </c>
      <c r="H109" s="1363"/>
      <c r="I109" s="1491"/>
      <c r="J109" s="1348"/>
      <c r="K109" s="1587"/>
      <c r="L109" s="1509"/>
      <c r="M109" s="1523"/>
      <c r="N109" s="160">
        <v>425</v>
      </c>
      <c r="O109" s="1546">
        <v>425</v>
      </c>
      <c r="P109" s="1577"/>
      <c r="Q109" s="2620" t="s">
        <v>104</v>
      </c>
      <c r="R109" s="2985"/>
      <c r="S109" s="2978"/>
      <c r="T109" s="2980">
        <v>50</v>
      </c>
      <c r="U109" s="3111"/>
      <c r="AD109" s="3"/>
    </row>
    <row r="110" spans="1:30" s="3" customFormat="1" ht="14.25" customHeight="1" x14ac:dyDescent="0.25">
      <c r="A110" s="2908"/>
      <c r="B110" s="3176"/>
      <c r="C110" s="3178"/>
      <c r="D110" s="2524"/>
      <c r="E110" s="2673"/>
      <c r="F110" s="260"/>
      <c r="G110" s="694" t="s">
        <v>36</v>
      </c>
      <c r="H110" s="1604">
        <f>SUM(H108:H109)</f>
        <v>0</v>
      </c>
      <c r="I110" s="1605">
        <f t="shared" ref="I110:L110" si="16">SUM(I108:I109)</f>
        <v>0</v>
      </c>
      <c r="J110" s="1606">
        <f t="shared" si="16"/>
        <v>0</v>
      </c>
      <c r="K110" s="1607">
        <f t="shared" si="16"/>
        <v>50</v>
      </c>
      <c r="L110" s="1608">
        <f t="shared" si="16"/>
        <v>50</v>
      </c>
      <c r="M110" s="1428"/>
      <c r="N110" s="37">
        <f>SUM(N108:N109)</f>
        <v>500</v>
      </c>
      <c r="O110" s="1473">
        <f>SUM(O108:O109)</f>
        <v>500</v>
      </c>
      <c r="P110" s="1426"/>
      <c r="Q110" s="2621"/>
      <c r="R110" s="2985"/>
      <c r="S110" s="2978"/>
      <c r="T110" s="2980"/>
      <c r="U110" s="3112"/>
    </row>
    <row r="111" spans="1:30" s="3" customFormat="1" ht="15.75" customHeight="1" thickBot="1" x14ac:dyDescent="0.3">
      <c r="A111" s="2915"/>
      <c r="B111" s="3177"/>
      <c r="C111" s="3179"/>
      <c r="D111" s="3173" t="s">
        <v>49</v>
      </c>
      <c r="E111" s="3174"/>
      <c r="F111" s="3174"/>
      <c r="G111" s="3175"/>
      <c r="H111" s="1609">
        <f>H110+H106+H104+H99+H97+H96+H95+H93+H89+H91</f>
        <v>844.50000000000011</v>
      </c>
      <c r="I111" s="1610">
        <f>I110+I105+I104+I99+I97+I96+I95+I93+I91+I89</f>
        <v>856.30000000000007</v>
      </c>
      <c r="J111" s="1611">
        <f t="shared" ref="J111" si="17">J110+J105+J104+J99+J97+J96+J95+J93+J91+J89</f>
        <v>11.799999999999999</v>
      </c>
      <c r="K111" s="1609">
        <f>K110+K105+K104+K99+K97+K96+K95+K93+K91+K89</f>
        <v>489.4</v>
      </c>
      <c r="L111" s="1610">
        <f>L110+L105+L104+L99+L97+L96+L95+L93+L91+L89</f>
        <v>531.5</v>
      </c>
      <c r="M111" s="1611">
        <f>M110+M107+M104</f>
        <v>42.099999999999994</v>
      </c>
      <c r="N111" s="1609">
        <f>N110+N105+N104+N99+N97+N96+N95+N93+N91+N89</f>
        <v>854.9</v>
      </c>
      <c r="O111" s="1610">
        <f>O110+O107+O104</f>
        <v>855.59999999999991</v>
      </c>
      <c r="P111" s="1610">
        <f>P110+P107+P104</f>
        <v>0.69999999999998153</v>
      </c>
      <c r="Q111" s="1612"/>
      <c r="R111" s="1613"/>
      <c r="S111" s="1613"/>
      <c r="T111" s="1613"/>
      <c r="U111" s="1614"/>
    </row>
    <row r="112" spans="1:30" s="2" customFormat="1" ht="16.5" customHeight="1" thickBot="1" x14ac:dyDescent="0.3">
      <c r="A112" s="1241" t="s">
        <v>22</v>
      </c>
      <c r="B112" s="87" t="s">
        <v>54</v>
      </c>
      <c r="C112" s="3010" t="s">
        <v>62</v>
      </c>
      <c r="D112" s="2541"/>
      <c r="E112" s="2541"/>
      <c r="F112" s="2541"/>
      <c r="G112" s="2563"/>
      <c r="H112" s="212">
        <f>H111</f>
        <v>844.50000000000011</v>
      </c>
      <c r="I112" s="1482">
        <f t="shared" ref="I112:J112" si="18">I111</f>
        <v>856.30000000000007</v>
      </c>
      <c r="J112" s="1603">
        <f t="shared" si="18"/>
        <v>11.799999999999999</v>
      </c>
      <c r="K112" s="283">
        <f t="shared" ref="K112:P112" si="19">K111</f>
        <v>489.4</v>
      </c>
      <c r="L112" s="1556">
        <f t="shared" si="19"/>
        <v>531.5</v>
      </c>
      <c r="M112" s="1553">
        <f t="shared" si="19"/>
        <v>42.099999999999994</v>
      </c>
      <c r="N112" s="283">
        <f t="shared" si="19"/>
        <v>854.9</v>
      </c>
      <c r="O112" s="1556">
        <f t="shared" si="19"/>
        <v>855.59999999999991</v>
      </c>
      <c r="P112" s="1556">
        <f t="shared" si="19"/>
        <v>0.69999999999998153</v>
      </c>
      <c r="Q112" s="3096"/>
      <c r="R112" s="3097"/>
      <c r="S112" s="3097"/>
      <c r="T112" s="3097"/>
      <c r="U112" s="3098"/>
      <c r="X112" s="3"/>
      <c r="Z112" s="3"/>
    </row>
    <row r="113" spans="1:28" s="1" customFormat="1" ht="16.5" customHeight="1" thickBot="1" x14ac:dyDescent="0.25">
      <c r="A113" s="7" t="s">
        <v>22</v>
      </c>
      <c r="B113" s="282" t="s">
        <v>56</v>
      </c>
      <c r="C113" s="3020" t="s">
        <v>119</v>
      </c>
      <c r="D113" s="2565"/>
      <c r="E113" s="2565"/>
      <c r="F113" s="2565"/>
      <c r="G113" s="2565"/>
      <c r="H113" s="2565"/>
      <c r="I113" s="2565"/>
      <c r="J113" s="2565"/>
      <c r="K113" s="2565"/>
      <c r="L113" s="2565"/>
      <c r="M113" s="2565"/>
      <c r="N113" s="2565"/>
      <c r="O113" s="2565"/>
      <c r="P113" s="2565"/>
      <c r="Q113" s="2565"/>
      <c r="R113" s="2565"/>
      <c r="S113" s="2565"/>
      <c r="T113" s="2565"/>
      <c r="U113" s="2566"/>
      <c r="Z113" s="251"/>
    </row>
    <row r="114" spans="1:28" s="1" customFormat="1" ht="16.5" customHeight="1" x14ac:dyDescent="0.2">
      <c r="A114" s="213" t="s">
        <v>22</v>
      </c>
      <c r="B114" s="1401" t="s">
        <v>56</v>
      </c>
      <c r="C114" s="1626" t="s">
        <v>22</v>
      </c>
      <c r="D114" s="1382" t="s">
        <v>120</v>
      </c>
      <c r="E114" s="1383"/>
      <c r="F114" s="1384"/>
      <c r="G114" s="642"/>
      <c r="H114" s="1456"/>
      <c r="I114" s="1510"/>
      <c r="J114" s="1183"/>
      <c r="K114" s="1543"/>
      <c r="L114" s="1510"/>
      <c r="M114" s="1183"/>
      <c r="N114" s="1543"/>
      <c r="O114" s="1510"/>
      <c r="P114" s="1183"/>
      <c r="Q114" s="1560"/>
      <c r="R114" s="15"/>
      <c r="S114" s="16"/>
      <c r="T114" s="17"/>
      <c r="U114" s="1405"/>
    </row>
    <row r="115" spans="1:28" s="1" customFormat="1" ht="21.75" customHeight="1" x14ac:dyDescent="0.2">
      <c r="A115" s="1144"/>
      <c r="B115" s="1200"/>
      <c r="C115" s="1163"/>
      <c r="D115" s="2524" t="s">
        <v>121</v>
      </c>
      <c r="E115" s="3105" t="s">
        <v>325</v>
      </c>
      <c r="F115" s="187">
        <v>5</v>
      </c>
      <c r="G115" s="1334" t="s">
        <v>31</v>
      </c>
      <c r="H115" s="1171">
        <v>236.8</v>
      </c>
      <c r="I115" s="1492">
        <v>236.8</v>
      </c>
      <c r="J115" s="1353"/>
      <c r="K115" s="273">
        <v>355.2</v>
      </c>
      <c r="L115" s="1558">
        <v>355.2</v>
      </c>
      <c r="M115" s="1352"/>
      <c r="N115" s="273">
        <v>118.4</v>
      </c>
      <c r="O115" s="1558">
        <v>118.4</v>
      </c>
      <c r="P115" s="1352"/>
      <c r="Q115" s="1399" t="s">
        <v>122</v>
      </c>
      <c r="R115" s="298">
        <v>75</v>
      </c>
      <c r="S115" s="299">
        <v>100</v>
      </c>
      <c r="T115" s="300"/>
      <c r="U115" s="1403"/>
    </row>
    <row r="116" spans="1:28" s="1" customFormat="1" ht="21.75" customHeight="1" x14ac:dyDescent="0.2">
      <c r="A116" s="1144"/>
      <c r="B116" s="1200"/>
      <c r="C116" s="1163"/>
      <c r="D116" s="2524"/>
      <c r="E116" s="3105"/>
      <c r="F116" s="295"/>
      <c r="G116" s="229" t="s">
        <v>103</v>
      </c>
      <c r="H116" s="296">
        <v>1341.7</v>
      </c>
      <c r="I116" s="1511">
        <v>1341.7</v>
      </c>
      <c r="J116" s="297"/>
      <c r="K116" s="44">
        <v>2012.6</v>
      </c>
      <c r="L116" s="1511">
        <v>2012.6</v>
      </c>
      <c r="M116" s="1531"/>
      <c r="N116" s="44">
        <v>670.9</v>
      </c>
      <c r="O116" s="1511">
        <v>670.9</v>
      </c>
      <c r="P116" s="1531"/>
      <c r="Q116" s="1399"/>
      <c r="R116" s="298"/>
      <c r="S116" s="299"/>
      <c r="T116" s="300"/>
      <c r="U116" s="1158"/>
    </row>
    <row r="117" spans="1:28" s="1" customFormat="1" ht="15" customHeight="1" thickBot="1" x14ac:dyDescent="0.25">
      <c r="A117" s="225"/>
      <c r="B117" s="1200"/>
      <c r="C117" s="302"/>
      <c r="D117" s="2601"/>
      <c r="E117" s="1216"/>
      <c r="F117" s="295"/>
      <c r="G117" s="303" t="s">
        <v>36</v>
      </c>
      <c r="H117" s="38">
        <f>SUM(H115:H116)</f>
        <v>1578.5</v>
      </c>
      <c r="I117" s="1473">
        <f>SUM(I115:I116)</f>
        <v>1578.5</v>
      </c>
      <c r="J117" s="1182">
        <f>SUM(J115:J116)</f>
        <v>0</v>
      </c>
      <c r="K117" s="37">
        <f>SUM(K115:K116)</f>
        <v>2367.7999999999997</v>
      </c>
      <c r="L117" s="1473">
        <f>SUM(L115:L116)</f>
        <v>2367.7999999999997</v>
      </c>
      <c r="M117" s="1426"/>
      <c r="N117" s="37">
        <f>SUM(N115:N116)</f>
        <v>789.3</v>
      </c>
      <c r="O117" s="1473">
        <f>SUM(O115:O116)</f>
        <v>789.3</v>
      </c>
      <c r="P117" s="1426"/>
      <c r="Q117" s="1561"/>
      <c r="R117" s="304"/>
      <c r="S117" s="305"/>
      <c r="T117" s="306"/>
      <c r="U117" s="1179"/>
    </row>
    <row r="118" spans="1:28" s="1" customFormat="1" ht="27.75" customHeight="1" x14ac:dyDescent="0.2">
      <c r="A118" s="213" t="s">
        <v>22</v>
      </c>
      <c r="B118" s="1316" t="s">
        <v>56</v>
      </c>
      <c r="C118" s="307" t="s">
        <v>50</v>
      </c>
      <c r="D118" s="3106" t="s">
        <v>123</v>
      </c>
      <c r="E118" s="1218"/>
      <c r="F118" s="1320" t="s">
        <v>27</v>
      </c>
      <c r="G118" s="1324" t="s">
        <v>68</v>
      </c>
      <c r="H118" s="1457">
        <v>746.9</v>
      </c>
      <c r="I118" s="1512">
        <v>746.9</v>
      </c>
      <c r="J118" s="152"/>
      <c r="K118" s="151">
        <v>746.9</v>
      </c>
      <c r="L118" s="1545">
        <v>746.9</v>
      </c>
      <c r="M118" s="152"/>
      <c r="N118" s="151">
        <v>746.9</v>
      </c>
      <c r="O118" s="1545">
        <v>746.9</v>
      </c>
      <c r="P118" s="152"/>
      <c r="Q118" s="92"/>
      <c r="R118" s="1319"/>
      <c r="S118" s="1317"/>
      <c r="T118" s="1318"/>
      <c r="U118" s="1324"/>
      <c r="W118" s="251"/>
    </row>
    <row r="119" spans="1:28" s="1" customFormat="1" ht="24.75" customHeight="1" x14ac:dyDescent="0.2">
      <c r="A119" s="225"/>
      <c r="B119" s="1328"/>
      <c r="C119" s="1238"/>
      <c r="D119" s="3107"/>
      <c r="E119" s="1379"/>
      <c r="F119" s="940"/>
      <c r="G119" s="43" t="s">
        <v>52</v>
      </c>
      <c r="H119" s="1437">
        <v>6.6</v>
      </c>
      <c r="I119" s="1476">
        <v>6.6</v>
      </c>
      <c r="J119" s="1192"/>
      <c r="K119" s="338">
        <v>6.6</v>
      </c>
      <c r="L119" s="1477">
        <v>6.6</v>
      </c>
      <c r="M119" s="1529"/>
      <c r="N119" s="338">
        <v>6.6</v>
      </c>
      <c r="O119" s="1477">
        <v>6.6</v>
      </c>
      <c r="P119" s="1529"/>
      <c r="Q119" s="311"/>
      <c r="R119" s="416"/>
      <c r="S119" s="67"/>
      <c r="T119" s="491"/>
      <c r="U119" s="35"/>
    </row>
    <row r="120" spans="1:28" s="1" customFormat="1" ht="40.5" customHeight="1" x14ac:dyDescent="0.2">
      <c r="A120" s="225"/>
      <c r="B120" s="1200"/>
      <c r="C120" s="310"/>
      <c r="D120" s="1145" t="s">
        <v>124</v>
      </c>
      <c r="E120" s="1219" t="s">
        <v>316</v>
      </c>
      <c r="F120" s="1147"/>
      <c r="G120" s="1322" t="s">
        <v>178</v>
      </c>
      <c r="H120" s="1458">
        <v>488.6</v>
      </c>
      <c r="I120" s="1513">
        <v>488.6</v>
      </c>
      <c r="J120" s="1378"/>
      <c r="K120" s="1557"/>
      <c r="L120" s="1559"/>
      <c r="M120" s="1454"/>
      <c r="N120" s="1557"/>
      <c r="O120" s="1559"/>
      <c r="P120" s="1454"/>
      <c r="Q120" s="1292" t="s">
        <v>126</v>
      </c>
      <c r="R120" s="1270">
        <v>30</v>
      </c>
      <c r="S120" s="314">
        <v>30</v>
      </c>
      <c r="T120" s="1272">
        <v>29</v>
      </c>
      <c r="U120" s="633"/>
      <c r="V120" s="3"/>
    </row>
    <row r="121" spans="1:28" s="1" customFormat="1" ht="35.25" customHeight="1" x14ac:dyDescent="0.2">
      <c r="A121" s="225"/>
      <c r="B121" s="1767"/>
      <c r="C121" s="310"/>
      <c r="D121" s="2620" t="s">
        <v>127</v>
      </c>
      <c r="E121" s="1220"/>
      <c r="F121" s="1763"/>
      <c r="G121" s="28"/>
      <c r="H121" s="1446"/>
      <c r="I121" s="1489"/>
      <c r="J121" s="189"/>
      <c r="K121" s="188"/>
      <c r="L121" s="1489"/>
      <c r="M121" s="189"/>
      <c r="N121" s="188"/>
      <c r="O121" s="1489"/>
      <c r="P121" s="189"/>
      <c r="Q121" s="3180" t="s">
        <v>277</v>
      </c>
      <c r="R121" s="1271">
        <v>110</v>
      </c>
      <c r="S121" s="317">
        <v>120</v>
      </c>
      <c r="T121" s="1273">
        <v>130</v>
      </c>
      <c r="U121" s="1180"/>
    </row>
    <row r="122" spans="1:28" s="1" customFormat="1" ht="35.25" customHeight="1" x14ac:dyDescent="0.2">
      <c r="A122" s="924"/>
      <c r="B122" s="1782"/>
      <c r="C122" s="1811"/>
      <c r="D122" s="2621"/>
      <c r="E122" s="1812"/>
      <c r="F122" s="940"/>
      <c r="G122" s="35"/>
      <c r="H122" s="1813"/>
      <c r="I122" s="1737"/>
      <c r="J122" s="931"/>
      <c r="K122" s="70"/>
      <c r="L122" s="1504"/>
      <c r="M122" s="931"/>
      <c r="N122" s="70"/>
      <c r="O122" s="1504"/>
      <c r="P122" s="931"/>
      <c r="Q122" s="3181"/>
      <c r="R122" s="416"/>
      <c r="S122" s="67"/>
      <c r="T122" s="491"/>
      <c r="U122" s="35"/>
      <c r="Y122" s="251"/>
      <c r="Z122" s="251"/>
    </row>
    <row r="123" spans="1:28" s="1" customFormat="1" ht="27.75" customHeight="1" x14ac:dyDescent="0.2">
      <c r="A123" s="225"/>
      <c r="B123" s="1314"/>
      <c r="C123" s="1238"/>
      <c r="D123" s="2548" t="s">
        <v>128</v>
      </c>
      <c r="E123" s="1221"/>
      <c r="F123" s="1227"/>
      <c r="G123" s="28"/>
      <c r="H123" s="1459"/>
      <c r="I123" s="1515"/>
      <c r="J123" s="161"/>
      <c r="K123" s="160"/>
      <c r="L123" s="1546"/>
      <c r="M123" s="161"/>
      <c r="N123" s="160"/>
      <c r="O123" s="1546"/>
      <c r="P123" s="161"/>
      <c r="Q123" s="3182" t="s">
        <v>278</v>
      </c>
      <c r="R123" s="1270">
        <v>50</v>
      </c>
      <c r="S123" s="314">
        <v>50</v>
      </c>
      <c r="T123" s="1272">
        <v>40</v>
      </c>
      <c r="U123" s="633"/>
    </row>
    <row r="124" spans="1:28" s="1" customFormat="1" ht="27.75" customHeight="1" x14ac:dyDescent="0.2">
      <c r="A124" s="225"/>
      <c r="B124" s="1314"/>
      <c r="C124" s="1238"/>
      <c r="D124" s="2621"/>
      <c r="E124" s="1221"/>
      <c r="F124" s="1227"/>
      <c r="G124" s="28"/>
      <c r="H124" s="1459"/>
      <c r="I124" s="1515"/>
      <c r="J124" s="161"/>
      <c r="K124" s="160"/>
      <c r="L124" s="1546"/>
      <c r="M124" s="161"/>
      <c r="N124" s="160"/>
      <c r="O124" s="1546"/>
      <c r="P124" s="161"/>
      <c r="Q124" s="3182"/>
      <c r="R124" s="39"/>
      <c r="S124" s="40"/>
      <c r="T124" s="41"/>
      <c r="U124" s="28"/>
      <c r="X124" s="251"/>
    </row>
    <row r="125" spans="1:28" s="1" customFormat="1" ht="29.25" customHeight="1" x14ac:dyDescent="0.2">
      <c r="A125" s="225"/>
      <c r="B125" s="1314"/>
      <c r="C125" s="1327"/>
      <c r="D125" s="322" t="s">
        <v>129</v>
      </c>
      <c r="E125" s="1220"/>
      <c r="F125" s="1400"/>
      <c r="G125" s="28"/>
      <c r="H125" s="1459"/>
      <c r="I125" s="1515"/>
      <c r="J125" s="161"/>
      <c r="K125" s="160"/>
      <c r="L125" s="1546"/>
      <c r="M125" s="161"/>
      <c r="N125" s="160"/>
      <c r="O125" s="1546"/>
      <c r="P125" s="161"/>
      <c r="Q125" s="1591" t="s">
        <v>130</v>
      </c>
      <c r="R125" s="1271">
        <v>85</v>
      </c>
      <c r="S125" s="317">
        <v>86</v>
      </c>
      <c r="T125" s="1273">
        <v>87</v>
      </c>
      <c r="U125" s="1180"/>
      <c r="Y125" s="251"/>
    </row>
    <row r="126" spans="1:28" s="1" customFormat="1" ht="44.25" customHeight="1" x14ac:dyDescent="0.2">
      <c r="A126" s="225"/>
      <c r="B126" s="1200"/>
      <c r="C126" s="321"/>
      <c r="D126" s="1199" t="s">
        <v>131</v>
      </c>
      <c r="E126" s="1221"/>
      <c r="F126" s="1147"/>
      <c r="G126" s="312"/>
      <c r="H126" s="1460"/>
      <c r="I126" s="1516"/>
      <c r="J126" s="251"/>
      <c r="K126" s="1526"/>
      <c r="L126" s="1516"/>
      <c r="M126" s="1454"/>
      <c r="N126" s="1526"/>
      <c r="O126" s="1516"/>
      <c r="P126" s="1454"/>
      <c r="Q126" s="1562"/>
      <c r="R126" s="39"/>
      <c r="S126" s="40"/>
      <c r="T126" s="41"/>
      <c r="U126" s="28"/>
    </row>
    <row r="127" spans="1:28" s="1" customFormat="1" ht="41.25" customHeight="1" x14ac:dyDescent="0.2">
      <c r="A127" s="225"/>
      <c r="B127" s="1200"/>
      <c r="C127" s="321"/>
      <c r="D127" s="2620" t="s">
        <v>132</v>
      </c>
      <c r="E127" s="1221"/>
      <c r="F127" s="1147"/>
      <c r="G127" s="22" t="s">
        <v>68</v>
      </c>
      <c r="H127" s="1461">
        <v>120</v>
      </c>
      <c r="I127" s="1517">
        <v>120</v>
      </c>
      <c r="J127" s="323"/>
      <c r="K127" s="240">
        <v>120</v>
      </c>
      <c r="L127" s="1503">
        <v>120</v>
      </c>
      <c r="M127" s="323"/>
      <c r="N127" s="240">
        <v>120</v>
      </c>
      <c r="O127" s="1503">
        <v>120</v>
      </c>
      <c r="P127" s="323"/>
      <c r="Q127" s="3094" t="s">
        <v>133</v>
      </c>
      <c r="R127" s="1271">
        <v>100</v>
      </c>
      <c r="S127" s="317">
        <v>100</v>
      </c>
      <c r="T127" s="1273">
        <v>100</v>
      </c>
      <c r="U127" s="1180"/>
      <c r="W127" s="251"/>
      <c r="AB127" s="251"/>
    </row>
    <row r="128" spans="1:28" s="1" customFormat="1" ht="13.5" customHeight="1" thickBot="1" x14ac:dyDescent="0.25">
      <c r="A128" s="324"/>
      <c r="B128" s="1198"/>
      <c r="C128" s="325"/>
      <c r="D128" s="2549"/>
      <c r="E128" s="1222"/>
      <c r="F128" s="1148"/>
      <c r="G128" s="80" t="s">
        <v>36</v>
      </c>
      <c r="H128" s="81">
        <f>SUM(H118:H127)</f>
        <v>1362.1</v>
      </c>
      <c r="I128" s="1479">
        <f>SUM(I118:I127)</f>
        <v>1362.1</v>
      </c>
      <c r="J128" s="327">
        <f>SUM(J118:J127)</f>
        <v>0</v>
      </c>
      <c r="K128" s="75">
        <f t="shared" ref="K128:L128" si="20">SUM(K118:K127)</f>
        <v>873.5</v>
      </c>
      <c r="L128" s="1479">
        <f t="shared" si="20"/>
        <v>873.5</v>
      </c>
      <c r="M128" s="1535"/>
      <c r="N128" s="75">
        <f t="shared" ref="N128:O128" si="21">SUM(N118:N127)</f>
        <v>873.5</v>
      </c>
      <c r="O128" s="1479">
        <f t="shared" si="21"/>
        <v>873.5</v>
      </c>
      <c r="P128" s="1535"/>
      <c r="Q128" s="3095"/>
      <c r="R128" s="136"/>
      <c r="S128" s="329"/>
      <c r="T128" s="1274"/>
      <c r="U128" s="135"/>
      <c r="W128" s="251"/>
    </row>
    <row r="129" spans="1:22" s="1" customFormat="1" ht="54.75" customHeight="1" x14ac:dyDescent="0.2">
      <c r="A129" s="213" t="s">
        <v>22</v>
      </c>
      <c r="B129" s="1658" t="s">
        <v>56</v>
      </c>
      <c r="C129" s="1716" t="s">
        <v>54</v>
      </c>
      <c r="D129" s="1382" t="s">
        <v>134</v>
      </c>
      <c r="E129" s="1717"/>
      <c r="F129" s="1387"/>
      <c r="G129" s="332"/>
      <c r="H129" s="1462"/>
      <c r="I129" s="1518"/>
      <c r="J129" s="1183"/>
      <c r="K129" s="1543"/>
      <c r="L129" s="1510"/>
      <c r="M129" s="1588"/>
      <c r="N129" s="1543"/>
      <c r="O129" s="1510"/>
      <c r="P129" s="1793"/>
      <c r="Q129" s="539"/>
      <c r="R129" s="15"/>
      <c r="S129" s="16"/>
      <c r="T129" s="17"/>
      <c r="U129" s="1787"/>
    </row>
    <row r="130" spans="1:22" s="1" customFormat="1" ht="16.5" customHeight="1" x14ac:dyDescent="0.2">
      <c r="A130" s="336"/>
      <c r="B130" s="1200"/>
      <c r="C130" s="1385"/>
      <c r="D130" s="2624" t="s">
        <v>135</v>
      </c>
      <c r="E130" s="1216"/>
      <c r="F130" s="1357" t="s">
        <v>136</v>
      </c>
      <c r="G130" s="28" t="s">
        <v>52</v>
      </c>
      <c r="H130" s="1191">
        <v>400</v>
      </c>
      <c r="I130" s="1506">
        <v>400</v>
      </c>
      <c r="J130" s="168"/>
      <c r="K130" s="69">
        <v>400</v>
      </c>
      <c r="L130" s="1506">
        <v>400</v>
      </c>
      <c r="M130" s="1533"/>
      <c r="N130" s="69">
        <v>400</v>
      </c>
      <c r="O130" s="1506">
        <v>400</v>
      </c>
      <c r="P130" s="1794"/>
      <c r="Q130" s="128" t="s">
        <v>279</v>
      </c>
      <c r="R130" s="409">
        <v>8</v>
      </c>
      <c r="S130" s="340">
        <v>8</v>
      </c>
      <c r="T130" s="1275">
        <v>8</v>
      </c>
      <c r="U130" s="951"/>
    </row>
    <row r="131" spans="1:22" s="1" customFormat="1" ht="16.5" customHeight="1" thickBot="1" x14ac:dyDescent="0.25">
      <c r="A131" s="324"/>
      <c r="B131" s="1198"/>
      <c r="C131" s="1386"/>
      <c r="D131" s="2625"/>
      <c r="E131" s="1222"/>
      <c r="F131" s="342"/>
      <c r="G131" s="80" t="s">
        <v>36</v>
      </c>
      <c r="H131" s="81">
        <f>SUM(H130:H130)</f>
        <v>400</v>
      </c>
      <c r="I131" s="1479">
        <f>SUM(I130:I130)</f>
        <v>400</v>
      </c>
      <c r="J131" s="206">
        <f>SUM(J130)</f>
        <v>0</v>
      </c>
      <c r="K131" s="75">
        <f>SUM(K130)</f>
        <v>400</v>
      </c>
      <c r="L131" s="1479">
        <f>SUM(L130)</f>
        <v>400</v>
      </c>
      <c r="M131" s="1417"/>
      <c r="N131" s="75">
        <f>SUM(N130)</f>
        <v>400</v>
      </c>
      <c r="O131" s="1479">
        <f>SUM(O130)</f>
        <v>400</v>
      </c>
      <c r="P131" s="1419"/>
      <c r="Q131" s="82"/>
      <c r="R131" s="136"/>
      <c r="S131" s="329"/>
      <c r="T131" s="1274"/>
      <c r="U131" s="135"/>
    </row>
    <row r="132" spans="1:22" s="2" customFormat="1" ht="16.5" customHeight="1" thickBot="1" x14ac:dyDescent="0.3">
      <c r="A132" s="7" t="s">
        <v>22</v>
      </c>
      <c r="B132" s="8" t="s">
        <v>56</v>
      </c>
      <c r="C132" s="2541" t="s">
        <v>62</v>
      </c>
      <c r="D132" s="2541"/>
      <c r="E132" s="2541"/>
      <c r="F132" s="2541"/>
      <c r="G132" s="2541"/>
      <c r="H132" s="1463">
        <f>H131+H128+H117</f>
        <v>3340.6</v>
      </c>
      <c r="I132" s="1519">
        <f>I131+I128+I117</f>
        <v>3340.6</v>
      </c>
      <c r="J132" s="1184">
        <f>J131+J128+J117</f>
        <v>0</v>
      </c>
      <c r="K132" s="343">
        <f>K131+K128+K117</f>
        <v>3641.2999999999997</v>
      </c>
      <c r="L132" s="1519">
        <f>L131+L128+L117</f>
        <v>3641.2999999999997</v>
      </c>
      <c r="M132" s="1455"/>
      <c r="N132" s="343">
        <f>N131+N128+N117</f>
        <v>2062.8000000000002</v>
      </c>
      <c r="O132" s="1519">
        <f>O131+O128+O117</f>
        <v>2062.8000000000002</v>
      </c>
      <c r="P132" s="1184"/>
      <c r="Q132" s="2542"/>
      <c r="R132" s="2543"/>
      <c r="S132" s="2543"/>
      <c r="T132" s="2543"/>
      <c r="U132" s="2544"/>
    </row>
    <row r="133" spans="1:22" s="1" customFormat="1" ht="16.5" customHeight="1" thickBot="1" x14ac:dyDescent="0.25">
      <c r="A133" s="1151" t="s">
        <v>22</v>
      </c>
      <c r="B133" s="344"/>
      <c r="C133" s="3040" t="s">
        <v>137</v>
      </c>
      <c r="D133" s="3040"/>
      <c r="E133" s="3040"/>
      <c r="F133" s="3040"/>
      <c r="G133" s="3040"/>
      <c r="H133" s="1464">
        <f t="shared" ref="H133:P133" si="22">H132+H112+H86+H40</f>
        <v>32070.5</v>
      </c>
      <c r="I133" s="1520">
        <f t="shared" si="22"/>
        <v>32473</v>
      </c>
      <c r="J133" s="1185">
        <f t="shared" si="22"/>
        <v>402.49999999999937</v>
      </c>
      <c r="K133" s="345">
        <f t="shared" si="22"/>
        <v>32606.2</v>
      </c>
      <c r="L133" s="1520">
        <f t="shared" si="22"/>
        <v>32833.300000000003</v>
      </c>
      <c r="M133" s="1520">
        <f t="shared" si="22"/>
        <v>78.099999999999994</v>
      </c>
      <c r="N133" s="345">
        <f t="shared" si="22"/>
        <v>31395.5</v>
      </c>
      <c r="O133" s="1520">
        <f t="shared" si="22"/>
        <v>31580.199999999997</v>
      </c>
      <c r="P133" s="1795">
        <f t="shared" si="22"/>
        <v>184.7</v>
      </c>
      <c r="Q133" s="3041"/>
      <c r="R133" s="3042"/>
      <c r="S133" s="3042"/>
      <c r="T133" s="3042"/>
      <c r="U133" s="3043"/>
    </row>
    <row r="134" spans="1:22" s="2" customFormat="1" ht="16.5" customHeight="1" thickBot="1" x14ac:dyDescent="0.3">
      <c r="A134" s="346" t="s">
        <v>138</v>
      </c>
      <c r="B134" s="3044" t="s">
        <v>139</v>
      </c>
      <c r="C134" s="3045"/>
      <c r="D134" s="3045"/>
      <c r="E134" s="3045"/>
      <c r="F134" s="3045"/>
      <c r="G134" s="3045"/>
      <c r="H134" s="1465">
        <f t="shared" ref="H134" si="23">H133</f>
        <v>32070.5</v>
      </c>
      <c r="I134" s="1521">
        <f t="shared" ref="I134:K134" si="24">I133</f>
        <v>32473</v>
      </c>
      <c r="J134" s="1186">
        <f t="shared" si="24"/>
        <v>402.49999999999937</v>
      </c>
      <c r="K134" s="347">
        <f t="shared" si="24"/>
        <v>32606.2</v>
      </c>
      <c r="L134" s="1521">
        <f t="shared" ref="L134:M134" si="25">L133</f>
        <v>32833.300000000003</v>
      </c>
      <c r="M134" s="1521">
        <f t="shared" si="25"/>
        <v>78.099999999999994</v>
      </c>
      <c r="N134" s="347">
        <f t="shared" ref="N134:P134" si="26">N133</f>
        <v>31395.5</v>
      </c>
      <c r="O134" s="1521">
        <f t="shared" si="26"/>
        <v>31580.199999999997</v>
      </c>
      <c r="P134" s="1796">
        <f t="shared" si="26"/>
        <v>184.7</v>
      </c>
      <c r="Q134" s="3046"/>
      <c r="R134" s="3047"/>
      <c r="S134" s="3047"/>
      <c r="T134" s="3047"/>
      <c r="U134" s="3048"/>
      <c r="V134" s="3"/>
    </row>
    <row r="135" spans="1:22" s="251" customFormat="1" ht="24" customHeight="1" thickBot="1" x14ac:dyDescent="0.25">
      <c r="A135" s="3165" t="s">
        <v>141</v>
      </c>
      <c r="B135" s="3165"/>
      <c r="C135" s="3165"/>
      <c r="D135" s="3165"/>
      <c r="E135" s="3165"/>
      <c r="F135" s="3165"/>
      <c r="G135" s="3165"/>
      <c r="H135" s="3165"/>
      <c r="I135" s="3165"/>
      <c r="J135" s="3165"/>
      <c r="K135" s="3165"/>
      <c r="L135" s="3165"/>
      <c r="M135" s="3165"/>
      <c r="N135" s="3165"/>
      <c r="O135" s="3165"/>
      <c r="P135" s="3165"/>
      <c r="Q135" s="352"/>
      <c r="R135" s="352"/>
      <c r="S135" s="352"/>
      <c r="T135" s="352"/>
      <c r="U135" s="352"/>
    </row>
    <row r="136" spans="1:22" s="141" customFormat="1" ht="58.5" customHeight="1" thickBot="1" x14ac:dyDescent="0.3">
      <c r="A136" s="2519" t="s">
        <v>142</v>
      </c>
      <c r="B136" s="2520"/>
      <c r="C136" s="2520"/>
      <c r="D136" s="2520"/>
      <c r="E136" s="2520"/>
      <c r="F136" s="2520"/>
      <c r="G136" s="2521"/>
      <c r="H136" s="1718" t="s">
        <v>143</v>
      </c>
      <c r="I136" s="1619" t="s">
        <v>310</v>
      </c>
      <c r="J136" s="1189" t="s">
        <v>309</v>
      </c>
      <c r="K136" s="1615" t="s">
        <v>347</v>
      </c>
      <c r="L136" s="1619" t="s">
        <v>310</v>
      </c>
      <c r="M136" s="1189" t="s">
        <v>309</v>
      </c>
      <c r="N136" s="1615" t="s">
        <v>348</v>
      </c>
      <c r="O136" s="1619" t="s">
        <v>310</v>
      </c>
      <c r="P136" s="1189" t="s">
        <v>309</v>
      </c>
      <c r="Q136" s="1143"/>
      <c r="R136" s="1203"/>
      <c r="S136" s="1244"/>
      <c r="T136" s="1244"/>
      <c r="U136" s="1143"/>
    </row>
    <row r="137" spans="1:22" s="2" customFormat="1" ht="15" customHeight="1" thickBot="1" x14ac:dyDescent="0.3">
      <c r="A137" s="3169" t="s">
        <v>144</v>
      </c>
      <c r="B137" s="3170"/>
      <c r="C137" s="3170"/>
      <c r="D137" s="3170"/>
      <c r="E137" s="3170"/>
      <c r="F137" s="3170"/>
      <c r="G137" s="3171"/>
      <c r="H137" s="1719">
        <f t="shared" ref="H137:O137" si="27">SUM(H138:H142)</f>
        <v>15550.5</v>
      </c>
      <c r="I137" s="1620">
        <f t="shared" si="27"/>
        <v>15941.000000000002</v>
      </c>
      <c r="J137" s="1616">
        <f t="shared" si="27"/>
        <v>390.49999999999932</v>
      </c>
      <c r="K137" s="356">
        <f t="shared" si="27"/>
        <v>14919.699999999999</v>
      </c>
      <c r="L137" s="1620">
        <f t="shared" si="27"/>
        <v>15110.799999999997</v>
      </c>
      <c r="M137" s="1616">
        <f t="shared" si="27"/>
        <v>42.099999999999994</v>
      </c>
      <c r="N137" s="356">
        <f t="shared" si="27"/>
        <v>14374.199999999995</v>
      </c>
      <c r="O137" s="1620">
        <f t="shared" si="27"/>
        <v>14496.599999999995</v>
      </c>
      <c r="P137" s="1616">
        <f>SUM(P138:P141)</f>
        <v>122.4</v>
      </c>
      <c r="Q137" s="1142"/>
      <c r="R137" s="1202"/>
      <c r="S137" s="1243"/>
      <c r="T137" s="1243"/>
      <c r="U137" s="1142"/>
    </row>
    <row r="138" spans="1:22" s="2" customFormat="1" ht="15" customHeight="1" x14ac:dyDescent="0.25">
      <c r="A138" s="2488" t="s">
        <v>145</v>
      </c>
      <c r="B138" s="2489"/>
      <c r="C138" s="2489"/>
      <c r="D138" s="2489"/>
      <c r="E138" s="2489"/>
      <c r="F138" s="2489"/>
      <c r="G138" s="2490"/>
      <c r="H138" s="1297">
        <f>SUMIF(G13:G130,"sb",H13:H130)</f>
        <v>9709.6</v>
      </c>
      <c r="I138" s="1621">
        <f>SUMIF(G13:G130,"sb",I13:I130)</f>
        <v>9692.4000000000015</v>
      </c>
      <c r="J138" s="1617">
        <f>SUMIF(G13:G130,"sb",J13:J130)</f>
        <v>-17.200000000000937</v>
      </c>
      <c r="K138" s="1297">
        <f>SUMIF(G13:G130,"sb",K13:K130)</f>
        <v>9368.7999999999993</v>
      </c>
      <c r="L138" s="1621">
        <f>SUMIF(G13:G130,"sb",L13:L130)</f>
        <v>9410.8999999999978</v>
      </c>
      <c r="M138" s="1617">
        <f>SUMIF(G13:G130,"sb",M13:M130)</f>
        <v>42.099999999999994</v>
      </c>
      <c r="N138" s="1297">
        <f>SUMIF(G13:G130,"sb",N13:N130)</f>
        <v>8823.5999999999967</v>
      </c>
      <c r="O138" s="1621">
        <f>SUMIF(G13:G130,"sb",O13:O130)</f>
        <v>8796.9999999999964</v>
      </c>
      <c r="P138" s="1617">
        <f>SUMIF(G13:G130,"sb",P13:P130)</f>
        <v>-26.6</v>
      </c>
      <c r="Q138" s="1141"/>
      <c r="R138" s="1201"/>
      <c r="S138" s="1242"/>
      <c r="T138" s="1242"/>
      <c r="U138" s="1141"/>
    </row>
    <row r="139" spans="1:22" s="2" customFormat="1" ht="15" customHeight="1" x14ac:dyDescent="0.25">
      <c r="A139" s="2492" t="s">
        <v>146</v>
      </c>
      <c r="B139" s="2493"/>
      <c r="C139" s="2493"/>
      <c r="D139" s="2493"/>
      <c r="E139" s="2493"/>
      <c r="F139" s="2493"/>
      <c r="G139" s="2494"/>
      <c r="H139" s="1298">
        <f>SUMIF(G13:G128,"sb(sp)",H13:H128)</f>
        <v>1447.6</v>
      </c>
      <c r="I139" s="1622">
        <f>SUMIF(G13:G130,"sb(sp)",I13:I130)</f>
        <v>1486.9</v>
      </c>
      <c r="J139" s="360">
        <f>SUMIF(G13:G130,"sb(sp)",J13:J130)</f>
        <v>39.299999999999955</v>
      </c>
      <c r="K139" s="1298">
        <f>SUMIF(G13:G128,"sb(sp)",K13:K128)</f>
        <v>1441.6</v>
      </c>
      <c r="L139" s="1622">
        <f>SUMIF(G13:G130,"sb(sp)",L13:L130)</f>
        <v>1441.6</v>
      </c>
      <c r="M139" s="360">
        <f>SUMIF(J13:J130,"sb(sp)",M13:M130)</f>
        <v>0</v>
      </c>
      <c r="N139" s="1298">
        <f>SUMIF(G13:G128,"sb(sp)",N13:N128)</f>
        <v>1441.3</v>
      </c>
      <c r="O139" s="1622">
        <f>SUMIF(G13:G130,"sb(sp)",O13:O130)</f>
        <v>1441.3</v>
      </c>
      <c r="P139" s="360">
        <f>SUMIF(G13:G130,"sb(sp)",P13:P130)</f>
        <v>0</v>
      </c>
      <c r="Q139" s="1141"/>
      <c r="R139" s="1201"/>
      <c r="S139" s="1242"/>
      <c r="T139" s="1242"/>
      <c r="U139" s="1141"/>
    </row>
    <row r="140" spans="1:22" s="2" customFormat="1" ht="15" customHeight="1" x14ac:dyDescent="0.25">
      <c r="A140" s="2492" t="s">
        <v>260</v>
      </c>
      <c r="B140" s="2493"/>
      <c r="C140" s="2493"/>
      <c r="D140" s="2493"/>
      <c r="E140" s="2493"/>
      <c r="F140" s="2493"/>
      <c r="G140" s="2494"/>
      <c r="H140" s="1298">
        <f>SUMIF(G13:G130,"sb(spl)",H13:H130)</f>
        <v>554.5</v>
      </c>
      <c r="I140" s="1622">
        <f>SUMIF(G13:G130,"sb(spl)",I13:I130)</f>
        <v>554.5</v>
      </c>
      <c r="J140" s="360">
        <f>SUMIF(G13:G130,"sb(spl)",J13:J130)</f>
        <v>0</v>
      </c>
      <c r="K140" s="1298">
        <f>SUMIF(G13:G130,"sb(spl)",K13:K130)</f>
        <v>0</v>
      </c>
      <c r="L140" s="1622">
        <f>SUMIF(G13:G130,"sb(spl)",L13:L130)</f>
        <v>0</v>
      </c>
      <c r="M140" s="360">
        <f>SUMIF(J13:J130,"sb(spl)",M13:M130)</f>
        <v>0</v>
      </c>
      <c r="N140" s="1298">
        <f>SUMIF(G13:G130,"sb(spl)",N13:N130)</f>
        <v>0</v>
      </c>
      <c r="O140" s="1622">
        <f>SUMIF(G13:G130,"sb(spl)",O13:O130)</f>
        <v>0</v>
      </c>
      <c r="P140" s="360">
        <f>SUMIF(G13:G130,"sb(spl)",P13:P130)</f>
        <v>0</v>
      </c>
      <c r="Q140" s="1173"/>
      <c r="R140" s="1201"/>
      <c r="S140" s="1242"/>
      <c r="T140" s="1242"/>
      <c r="U140" s="1173"/>
    </row>
    <row r="141" spans="1:22" s="2" customFormat="1" ht="15" customHeight="1" x14ac:dyDescent="0.25">
      <c r="A141" s="2492" t="s">
        <v>147</v>
      </c>
      <c r="B141" s="2493"/>
      <c r="C141" s="2493"/>
      <c r="D141" s="2493"/>
      <c r="E141" s="2493"/>
      <c r="F141" s="2493"/>
      <c r="G141" s="2494"/>
      <c r="H141" s="1298">
        <f>SUMIF(G13:G130,"sb(vb)",H13:H130)</f>
        <v>3740.9999999999995</v>
      </c>
      <c r="I141" s="1622">
        <f>SUMIF(G13:G130,"sb(vb)",I13:I130)</f>
        <v>4108.5</v>
      </c>
      <c r="J141" s="360">
        <f>SUMIF(G13:G130,"sb(vb)",J13:J130)</f>
        <v>367.50000000000028</v>
      </c>
      <c r="K141" s="1298">
        <f>SUMIF(G13:G130,"sb(vb)",K13:K130)</f>
        <v>4109.2999999999993</v>
      </c>
      <c r="L141" s="1622">
        <f>SUMIF(G13:G130,"sb(vb)",L13:L130)</f>
        <v>4258.2999999999993</v>
      </c>
      <c r="M141" s="360">
        <f>SUMIF(J13:J130,"sb(vb)",M13:M130)</f>
        <v>0</v>
      </c>
      <c r="N141" s="1298">
        <f>SUMIF(G13:G130,"sb(vb)",N13:N130)</f>
        <v>4109.2999999999993</v>
      </c>
      <c r="O141" s="1622">
        <f>SUMIF(G13:G130,"sb(vb)",O13:O130)</f>
        <v>4258.2999999999993</v>
      </c>
      <c r="P141" s="360">
        <f>SUMIF(G13:G130,"sb(vb)",P13:P130)</f>
        <v>149</v>
      </c>
      <c r="Q141" s="1141"/>
      <c r="R141" s="1201"/>
      <c r="S141" s="1242"/>
      <c r="T141" s="1242"/>
      <c r="U141" s="1141"/>
    </row>
    <row r="142" spans="1:22" s="2" customFormat="1" ht="15" customHeight="1" thickBot="1" x14ac:dyDescent="0.3">
      <c r="A142" s="2496" t="s">
        <v>335</v>
      </c>
      <c r="B142" s="2497"/>
      <c r="C142" s="2497"/>
      <c r="D142" s="2497"/>
      <c r="E142" s="2497"/>
      <c r="F142" s="2497"/>
      <c r="G142" s="2498"/>
      <c r="H142" s="1299">
        <f>SUMIF(G13:G130,"sb(es)",H13:H130)</f>
        <v>97.8</v>
      </c>
      <c r="I142" s="1623">
        <f>SUMIF(G13:G130,"sb(es)",I13:I130)</f>
        <v>98.7</v>
      </c>
      <c r="J142" s="1300">
        <f>SUMIF(G13:G130,"sb(es)",J13:J130)</f>
        <v>0.90000000000000568</v>
      </c>
      <c r="K142" s="1299">
        <f>SUMIF(G13:G130,"sb(es)",K13:K130)</f>
        <v>0</v>
      </c>
      <c r="L142" s="1623">
        <f>SUMIF(J13:J130,"sb(es)",L13:L130)</f>
        <v>0</v>
      </c>
      <c r="M142" s="1300">
        <f>SUMIF(J13:J130,"sb(es)",M13:M130)</f>
        <v>0</v>
      </c>
      <c r="N142" s="1299">
        <f>SUMIF(G13:G130,"sb(es)",N13:N130)</f>
        <v>0</v>
      </c>
      <c r="O142" s="1623">
        <f>SUMIF(G13:G130,"sb(es)",O13:O130)</f>
        <v>0</v>
      </c>
      <c r="P142" s="1300">
        <f>SUMIF(G13:G130,"sb(es)",P13:P130)</f>
        <v>0</v>
      </c>
      <c r="Q142" s="1295"/>
      <c r="R142" s="1295"/>
      <c r="S142" s="1295"/>
      <c r="T142" s="1295"/>
      <c r="U142" s="1295"/>
    </row>
    <row r="143" spans="1:22" s="2" customFormat="1" ht="15" customHeight="1" thickBot="1" x14ac:dyDescent="0.3">
      <c r="A143" s="3169" t="s">
        <v>148</v>
      </c>
      <c r="B143" s="3170"/>
      <c r="C143" s="3170"/>
      <c r="D143" s="3170"/>
      <c r="E143" s="3170"/>
      <c r="F143" s="3170"/>
      <c r="G143" s="3171"/>
      <c r="H143" s="1719">
        <f>SUM(H144:H146)</f>
        <v>16520</v>
      </c>
      <c r="I143" s="1620">
        <f>SUM(I144:I146)</f>
        <v>16532</v>
      </c>
      <c r="J143" s="1616">
        <f>J144+J145+J146</f>
        <v>12</v>
      </c>
      <c r="K143" s="356">
        <f>SUM(K144:K146)</f>
        <v>17686.5</v>
      </c>
      <c r="L143" s="1620">
        <f>SUM(L144:L146)</f>
        <v>17722.5</v>
      </c>
      <c r="M143" s="1616">
        <f>M144+M145+M146</f>
        <v>36</v>
      </c>
      <c r="N143" s="356">
        <f>SUM(N144:N146)</f>
        <v>17021.3</v>
      </c>
      <c r="O143" s="1620">
        <f>SUM(O144:O146)</f>
        <v>17083.599999999999</v>
      </c>
      <c r="P143" s="1616">
        <f>P144+P145+P146</f>
        <v>62.299999999999983</v>
      </c>
      <c r="Q143" s="1142"/>
      <c r="R143" s="1202"/>
      <c r="S143" s="1243"/>
      <c r="T143" s="1243"/>
      <c r="U143" s="1142"/>
    </row>
    <row r="144" spans="1:22" s="2" customFormat="1" ht="15" customHeight="1" x14ac:dyDescent="0.25">
      <c r="A144" s="3166" t="s">
        <v>149</v>
      </c>
      <c r="B144" s="3167"/>
      <c r="C144" s="3167"/>
      <c r="D144" s="3167"/>
      <c r="E144" s="3167"/>
      <c r="F144" s="3167"/>
      <c r="G144" s="3168"/>
      <c r="H144" s="1297">
        <f>SUMIF(G13:G130,"es",H13:H130)</f>
        <v>1341.7</v>
      </c>
      <c r="I144" s="1623">
        <f>SUMIF(G13:G128,"es",I13:I128)</f>
        <v>1341.7</v>
      </c>
      <c r="J144" s="1300">
        <f>SUMIF(G13:G128,"es",J13:J128)</f>
        <v>0</v>
      </c>
      <c r="K144" s="358">
        <f>SUMIF(G13:G130,"es",K13:K130)</f>
        <v>2518.5</v>
      </c>
      <c r="L144" s="1623">
        <f>SUMIF(G13:G128,"es",L13:L128)</f>
        <v>2518.5</v>
      </c>
      <c r="M144" s="1300">
        <f>SUMIF(J13:J128,"es",M13:M128)</f>
        <v>0</v>
      </c>
      <c r="N144" s="358">
        <f>SUMIF(G13:G130,"es",N13:N130)</f>
        <v>1863.8000000000002</v>
      </c>
      <c r="O144" s="1623">
        <f>SUMIF(G13:G128,"es",O13:O128)</f>
        <v>1891.1</v>
      </c>
      <c r="P144" s="1300">
        <f>SUMIF(G13:G128,"es",P13:P128)</f>
        <v>27.299999999999983</v>
      </c>
      <c r="Q144" s="1141"/>
      <c r="R144" s="1201"/>
      <c r="S144" s="1242"/>
      <c r="T144" s="1242"/>
      <c r="U144" s="1141"/>
    </row>
    <row r="145" spans="1:21" s="2" customFormat="1" ht="15" customHeight="1" x14ac:dyDescent="0.25">
      <c r="A145" s="2492" t="s">
        <v>150</v>
      </c>
      <c r="B145" s="2493"/>
      <c r="C145" s="2493"/>
      <c r="D145" s="2493"/>
      <c r="E145" s="2493"/>
      <c r="F145" s="2493"/>
      <c r="G145" s="2494"/>
      <c r="H145" s="1298">
        <f>SUMIF(G13:G130,"lrvb",H13:H130)</f>
        <v>15176.800000000001</v>
      </c>
      <c r="I145" s="1622">
        <f>SUMIF(G13:G130,"lrvb",I13:I130)</f>
        <v>15188.800000000001</v>
      </c>
      <c r="J145" s="360">
        <f>SUMIF(G13:G130,"lrvb",J13:J130)</f>
        <v>12</v>
      </c>
      <c r="K145" s="359">
        <f>SUMIF(G13:G130,"lrvb",K13:K130)</f>
        <v>15166.400000000001</v>
      </c>
      <c r="L145" s="1622">
        <f>SUMIF(G13:G130,"lrvb",L13:L130)</f>
        <v>15202.400000000001</v>
      </c>
      <c r="M145" s="360">
        <f>SUMIF(G13:G130,"lrvb",M13:M130)</f>
        <v>36</v>
      </c>
      <c r="N145" s="359">
        <f>SUMIF(G13:G130,"lrvb",N13:N130)</f>
        <v>15155.900000000001</v>
      </c>
      <c r="O145" s="1622">
        <f>SUMIF(G13:G130,"lrvb",O13:O130)</f>
        <v>15190.900000000001</v>
      </c>
      <c r="P145" s="360">
        <f>SUMIF(G13:G130,"lrvb",P13:P130)</f>
        <v>35</v>
      </c>
      <c r="Q145" s="361"/>
      <c r="R145" s="1201"/>
      <c r="S145" s="1242"/>
      <c r="T145" s="1242"/>
      <c r="U145" s="1141"/>
    </row>
    <row r="146" spans="1:21" s="2" customFormat="1" ht="15" customHeight="1" thickBot="1" x14ac:dyDescent="0.3">
      <c r="A146" s="2496" t="s">
        <v>151</v>
      </c>
      <c r="B146" s="2497"/>
      <c r="C146" s="2497"/>
      <c r="D146" s="2497"/>
      <c r="E146" s="2497"/>
      <c r="F146" s="2497"/>
      <c r="G146" s="2498"/>
      <c r="H146" s="1720">
        <f>SUMIF(G13:G130,"kt",H13:H130)</f>
        <v>1.5</v>
      </c>
      <c r="I146" s="1623">
        <f>SUMIF(G13:G128,"kt",I13:I128)</f>
        <v>1.5</v>
      </c>
      <c r="J146" s="1300">
        <f>SUMIF(G13:G128,"kt",J13:J128)</f>
        <v>0</v>
      </c>
      <c r="K146" s="362">
        <f>SUMIF(G13:G130,"kt",K13:K130)</f>
        <v>1.6</v>
      </c>
      <c r="L146" s="1623">
        <f>SUMIF(G13:G128,"kt",L13:L128)</f>
        <v>1.6</v>
      </c>
      <c r="M146" s="1300">
        <f>SUMIF(J13:J128,"kt",M13:M128)</f>
        <v>0</v>
      </c>
      <c r="N146" s="362">
        <f>SUMIF(G13:G130,"kt",N13:N130)</f>
        <v>1.6</v>
      </c>
      <c r="O146" s="1623">
        <f>SUMIF(G13:G128,"kt",O13:O128)</f>
        <v>1.6</v>
      </c>
      <c r="P146" s="1300">
        <f>SUMIF(G13:G128,"kt",P13:P128)</f>
        <v>0</v>
      </c>
      <c r="Q146" s="361"/>
      <c r="R146" s="1201"/>
      <c r="S146" s="1242"/>
      <c r="T146" s="1242"/>
      <c r="U146" s="1141"/>
    </row>
    <row r="147" spans="1:21" s="2" customFormat="1" ht="15" customHeight="1" thickBot="1" x14ac:dyDescent="0.3">
      <c r="A147" s="2499" t="s">
        <v>152</v>
      </c>
      <c r="B147" s="2500"/>
      <c r="C147" s="2500"/>
      <c r="D147" s="2500"/>
      <c r="E147" s="2500"/>
      <c r="F147" s="2500"/>
      <c r="G147" s="2501"/>
      <c r="H147" s="1721">
        <f>H143+H137</f>
        <v>32070.5</v>
      </c>
      <c r="I147" s="1624">
        <f>I137+I143</f>
        <v>32473</v>
      </c>
      <c r="J147" s="1618">
        <f>J137+J143</f>
        <v>402.49999999999932</v>
      </c>
      <c r="K147" s="363">
        <f>K143+K137</f>
        <v>32606.199999999997</v>
      </c>
      <c r="L147" s="1624">
        <f>L137+L143</f>
        <v>32833.299999999996</v>
      </c>
      <c r="M147" s="1618">
        <f>M137+M143</f>
        <v>78.099999999999994</v>
      </c>
      <c r="N147" s="363">
        <f>N143+N137</f>
        <v>31395.499999999993</v>
      </c>
      <c r="O147" s="1624">
        <f>O137+O143</f>
        <v>31580.199999999993</v>
      </c>
      <c r="P147" s="1618">
        <f>P137+P143</f>
        <v>184.7</v>
      </c>
      <c r="Q147" s="364"/>
      <c r="R147" s="1202"/>
      <c r="S147" s="1243"/>
      <c r="T147" s="1243"/>
      <c r="U147" s="1142"/>
    </row>
    <row r="148" spans="1:21" s="1" customFormat="1" ht="16.5" customHeight="1" x14ac:dyDescent="0.2">
      <c r="B148" s="365"/>
      <c r="C148" s="366"/>
      <c r="D148" s="367"/>
      <c r="E148" s="367"/>
      <c r="F148" s="369"/>
      <c r="G148" s="370"/>
      <c r="H148" s="1041"/>
      <c r="I148" s="1042"/>
      <c r="J148" s="1042"/>
      <c r="K148" s="1042"/>
      <c r="L148" s="1042"/>
      <c r="M148" s="1042"/>
      <c r="N148" s="1042"/>
      <c r="O148" s="1042"/>
      <c r="P148" s="1042"/>
      <c r="Q148" s="371"/>
      <c r="R148" s="370"/>
      <c r="S148" s="370"/>
      <c r="T148" s="370"/>
      <c r="U148" s="370"/>
    </row>
    <row r="149" spans="1:21" x14ac:dyDescent="0.25">
      <c r="H149" s="1755"/>
      <c r="I149" s="1301"/>
      <c r="J149" s="1301"/>
      <c r="M149" s="1196"/>
      <c r="N149" s="1196"/>
      <c r="O149" s="1196"/>
      <c r="P149" s="1196"/>
    </row>
    <row r="150" spans="1:21" x14ac:dyDescent="0.25">
      <c r="H150" s="1755"/>
      <c r="I150" s="1301"/>
      <c r="J150" s="1301"/>
      <c r="K150" s="1301"/>
      <c r="L150" s="1301"/>
      <c r="M150" s="1195"/>
      <c r="N150" s="1195"/>
      <c r="O150" s="1195"/>
      <c r="P150" s="1195"/>
    </row>
    <row r="151" spans="1:21" x14ac:dyDescent="0.25">
      <c r="H151" s="1755"/>
      <c r="I151" s="1301"/>
    </row>
  </sheetData>
  <mergeCells count="199">
    <mergeCell ref="A78:A79"/>
    <mergeCell ref="B78:B79"/>
    <mergeCell ref="D105:D107"/>
    <mergeCell ref="D101:D104"/>
    <mergeCell ref="S109:S110"/>
    <mergeCell ref="T109:T110"/>
    <mergeCell ref="A136:G136"/>
    <mergeCell ref="D111:G111"/>
    <mergeCell ref="A110:A111"/>
    <mergeCell ref="B110:B111"/>
    <mergeCell ref="C109:C111"/>
    <mergeCell ref="D108:D110"/>
    <mergeCell ref="D130:D131"/>
    <mergeCell ref="C132:G132"/>
    <mergeCell ref="C133:G133"/>
    <mergeCell ref="Q133:U133"/>
    <mergeCell ref="B134:G134"/>
    <mergeCell ref="Q134:U134"/>
    <mergeCell ref="Q79:Q80"/>
    <mergeCell ref="Q132:U132"/>
    <mergeCell ref="D121:D122"/>
    <mergeCell ref="Q121:Q122"/>
    <mergeCell ref="D123:D124"/>
    <mergeCell ref="Q123:Q124"/>
    <mergeCell ref="A147:G147"/>
    <mergeCell ref="A135:P135"/>
    <mergeCell ref="A141:G141"/>
    <mergeCell ref="A140:G140"/>
    <mergeCell ref="A139:G139"/>
    <mergeCell ref="A138:G138"/>
    <mergeCell ref="A142:G142"/>
    <mergeCell ref="A144:G144"/>
    <mergeCell ref="A145:G145"/>
    <mergeCell ref="A146:G146"/>
    <mergeCell ref="A137:G137"/>
    <mergeCell ref="A143:G143"/>
    <mergeCell ref="U38:U39"/>
    <mergeCell ref="S38:S39"/>
    <mergeCell ref="D44:D45"/>
    <mergeCell ref="Q44:Q45"/>
    <mergeCell ref="U42:U50"/>
    <mergeCell ref="D47:D48"/>
    <mergeCell ref="D38:D39"/>
    <mergeCell ref="A74:A75"/>
    <mergeCell ref="B74:B75"/>
    <mergeCell ref="D74:D75"/>
    <mergeCell ref="T38:T39"/>
    <mergeCell ref="E69:E70"/>
    <mergeCell ref="D60:D61"/>
    <mergeCell ref="U71:U75"/>
    <mergeCell ref="U60:U61"/>
    <mergeCell ref="Q69:Q70"/>
    <mergeCell ref="E42:E51"/>
    <mergeCell ref="R44:R45"/>
    <mergeCell ref="S44:S45"/>
    <mergeCell ref="T44:T45"/>
    <mergeCell ref="S47:S48"/>
    <mergeCell ref="A34:A35"/>
    <mergeCell ref="Q47:Q48"/>
    <mergeCell ref="D49:D50"/>
    <mergeCell ref="Q49:Q50"/>
    <mergeCell ref="F58:F59"/>
    <mergeCell ref="Q58:Q59"/>
    <mergeCell ref="D52:D53"/>
    <mergeCell ref="Q52:Q54"/>
    <mergeCell ref="R38:R39"/>
    <mergeCell ref="D34:D35"/>
    <mergeCell ref="E34:E35"/>
    <mergeCell ref="F34:F35"/>
    <mergeCell ref="A58:A59"/>
    <mergeCell ref="B58:B59"/>
    <mergeCell ref="D58:D59"/>
    <mergeCell ref="E58:E59"/>
    <mergeCell ref="S36:S37"/>
    <mergeCell ref="C40:G40"/>
    <mergeCell ref="Q40:U40"/>
    <mergeCell ref="C41:U41"/>
    <mergeCell ref="Q84:Q85"/>
    <mergeCell ref="R84:R85"/>
    <mergeCell ref="S84:S85"/>
    <mergeCell ref="T84:T85"/>
    <mergeCell ref="L99:L100"/>
    <mergeCell ref="F97:F98"/>
    <mergeCell ref="D83:D85"/>
    <mergeCell ref="E83:E85"/>
    <mergeCell ref="F83:F85"/>
    <mergeCell ref="D91:D92"/>
    <mergeCell ref="D93:D94"/>
    <mergeCell ref="F93:F94"/>
    <mergeCell ref="C86:G86"/>
    <mergeCell ref="Q86:U86"/>
    <mergeCell ref="D99:D100"/>
    <mergeCell ref="F99:F100"/>
    <mergeCell ref="D89:D90"/>
    <mergeCell ref="U83:U85"/>
    <mergeCell ref="C58:C59"/>
    <mergeCell ref="U58:U59"/>
    <mergeCell ref="A9:U9"/>
    <mergeCell ref="A10:U10"/>
    <mergeCell ref="B11:U11"/>
    <mergeCell ref="B34:B35"/>
    <mergeCell ref="C34:C35"/>
    <mergeCell ref="U28:U33"/>
    <mergeCell ref="D56:D57"/>
    <mergeCell ref="U22:U23"/>
    <mergeCell ref="T47:T48"/>
    <mergeCell ref="A28:A29"/>
    <mergeCell ref="B28:B29"/>
    <mergeCell ref="D28:D32"/>
    <mergeCell ref="E28:E32"/>
    <mergeCell ref="F28:F32"/>
    <mergeCell ref="D36:D37"/>
    <mergeCell ref="Q36:Q37"/>
    <mergeCell ref="U36:U37"/>
    <mergeCell ref="A38:A39"/>
    <mergeCell ref="B38:B39"/>
    <mergeCell ref="C38:C39"/>
    <mergeCell ref="A26:A27"/>
    <mergeCell ref="B26:B27"/>
    <mergeCell ref="D26:D27"/>
    <mergeCell ref="U52:U57"/>
    <mergeCell ref="D76:D77"/>
    <mergeCell ref="E76:E77"/>
    <mergeCell ref="C87:U87"/>
    <mergeCell ref="U105:U107"/>
    <mergeCell ref="F108:F109"/>
    <mergeCell ref="U108:U110"/>
    <mergeCell ref="K99:K100"/>
    <mergeCell ref="D97:D98"/>
    <mergeCell ref="D78:D80"/>
    <mergeCell ref="E108:E110"/>
    <mergeCell ref="U88:U92"/>
    <mergeCell ref="U93:U99"/>
    <mergeCell ref="Q109:Q110"/>
    <mergeCell ref="R109:R110"/>
    <mergeCell ref="Q1:U1"/>
    <mergeCell ref="D69:D70"/>
    <mergeCell ref="D81:D82"/>
    <mergeCell ref="F81:F82"/>
    <mergeCell ref="D127:D128"/>
    <mergeCell ref="Q127:Q128"/>
    <mergeCell ref="C112:G112"/>
    <mergeCell ref="Q112:U112"/>
    <mergeCell ref="C113:U113"/>
    <mergeCell ref="Q71:Q72"/>
    <mergeCell ref="E71:E73"/>
    <mergeCell ref="R47:R48"/>
    <mergeCell ref="U76:U77"/>
    <mergeCell ref="A2:U2"/>
    <mergeCell ref="A3:U3"/>
    <mergeCell ref="A4:U4"/>
    <mergeCell ref="A5:U5"/>
    <mergeCell ref="A6:A8"/>
    <mergeCell ref="B6:B8"/>
    <mergeCell ref="C6:C8"/>
    <mergeCell ref="P6:P8"/>
    <mergeCell ref="D115:D117"/>
    <mergeCell ref="E115:E116"/>
    <mergeCell ref="D118:D119"/>
    <mergeCell ref="D6:D8"/>
    <mergeCell ref="E6:E8"/>
    <mergeCell ref="F6:F8"/>
    <mergeCell ref="R7:T7"/>
    <mergeCell ref="Q6:T6"/>
    <mergeCell ref="U6:U8"/>
    <mergeCell ref="G6:G8"/>
    <mergeCell ref="H6:H8"/>
    <mergeCell ref="I6:I8"/>
    <mergeCell ref="J6:J8"/>
    <mergeCell ref="L6:L8"/>
    <mergeCell ref="Q7:Q8"/>
    <mergeCell ref="M6:M8"/>
    <mergeCell ref="N6:N8"/>
    <mergeCell ref="O6:O8"/>
    <mergeCell ref="K6:K8"/>
    <mergeCell ref="Q20:Q21"/>
    <mergeCell ref="D22:D23"/>
    <mergeCell ref="Q22:Q23"/>
    <mergeCell ref="E20:E21"/>
    <mergeCell ref="E24:E25"/>
    <mergeCell ref="E26:E27"/>
    <mergeCell ref="C83:C84"/>
    <mergeCell ref="C12:U12"/>
    <mergeCell ref="D14:D16"/>
    <mergeCell ref="Q18:Q19"/>
    <mergeCell ref="D20:D21"/>
    <mergeCell ref="D24:D25"/>
    <mergeCell ref="Q24:Q25"/>
    <mergeCell ref="U20:U21"/>
    <mergeCell ref="U24:U25"/>
    <mergeCell ref="U14:U16"/>
    <mergeCell ref="S22:S23"/>
    <mergeCell ref="T22:T23"/>
    <mergeCell ref="R22:R23"/>
    <mergeCell ref="Q38:Q39"/>
    <mergeCell ref="Q28:Q29"/>
    <mergeCell ref="D33:G33"/>
    <mergeCell ref="R36:R37"/>
    <mergeCell ref="T36:T37"/>
  </mergeCells>
  <printOptions horizontalCentered="1"/>
  <pageMargins left="0" right="0" top="0.78740157480314965" bottom="0" header="0.31496062992125984" footer="0.31496062992125984"/>
  <pageSetup paperSize="9" scale="65" orientation="landscape" r:id="rId1"/>
  <rowBreaks count="4" manualBreakCount="4">
    <brk id="51" max="20" man="1"/>
    <brk id="68" max="20" man="1"/>
    <brk id="92" max="20" man="1"/>
    <brk id="12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7</vt:i4>
      </vt:variant>
    </vt:vector>
  </HeadingPairs>
  <TitlesOfParts>
    <vt:vector size="11" baseType="lpstr">
      <vt:lpstr>Ataskaita</vt:lpstr>
      <vt:lpstr>12 programa</vt:lpstr>
      <vt:lpstr>Aiškinamoji lentelė</vt:lpstr>
      <vt:lpstr>Lyginamasis variantas</vt:lpstr>
      <vt:lpstr>'12 programa'!Print_Area</vt:lpstr>
      <vt:lpstr>'Aiškinamoji lentelė'!Print_Area</vt:lpstr>
      <vt:lpstr>Ataskaita!Print_Area</vt:lpstr>
      <vt:lpstr>'Lyginamasis variantas'!Print_Area</vt:lpstr>
      <vt:lpstr>'12 programa'!Print_Titles</vt:lpstr>
      <vt:lpstr>'Aiškinamoji lentelė'!Print_Titles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2019-02-27T07:38:46Z</cp:lastPrinted>
  <dcterms:created xsi:type="dcterms:W3CDTF">2015-11-25T08:56:30Z</dcterms:created>
  <dcterms:modified xsi:type="dcterms:W3CDTF">2019-03-06T07:46:22Z</dcterms:modified>
</cp:coreProperties>
</file>