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Palaimiene\Desktop\2019-05-30 PROJEKTAI\"/>
    </mc:Choice>
  </mc:AlternateContent>
  <bookViews>
    <workbookView xWindow="-315" yWindow="0" windowWidth="19440" windowHeight="10740" activeTab="1"/>
  </bookViews>
  <sheets>
    <sheet name="1 pr. pajamos " sheetId="9" r:id="rId1"/>
    <sheet name="1 pr. asignavimai" sheetId="10" r:id="rId2"/>
    <sheet name="2 pr." sheetId="5" r:id="rId3"/>
    <sheet name="4 pr." sheetId="14" r:id="rId4"/>
  </sheets>
  <definedNames>
    <definedName name="_xlnm._FilterDatabase" localSheetId="1" hidden="1">'1 pr. asignavimai'!$B$2:$B$152</definedName>
    <definedName name="_xlnm._FilterDatabase" localSheetId="2" hidden="1">'2 pr.'!$C$2:$C$67</definedName>
    <definedName name="_xlnm._FilterDatabase" localSheetId="3" hidden="1">'4 pr.'!$B$2:$B$133</definedName>
    <definedName name="_xlnm.Print_Titles" localSheetId="1">'1 pr. asignavimai'!$3:$7</definedName>
    <definedName name="_xlnm.Print_Titles" localSheetId="0">'1 pr. pajamos '!$12:$13</definedName>
    <definedName name="_xlnm.Print_Titles" localSheetId="2">'2 pr.'!$14:$18</definedName>
    <definedName name="_xlnm.Print_Titles" localSheetId="3">'4 pr.'!$12:$16</definedName>
  </definedNames>
  <calcPr calcId="162913" fullPrecision="0"/>
</workbook>
</file>

<file path=xl/calcChain.xml><?xml version="1.0" encoding="utf-8"?>
<calcChain xmlns="http://schemas.openxmlformats.org/spreadsheetml/2006/main">
  <c r="A10" i="10" l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D56" i="9" l="1"/>
  <c r="I144" i="10" l="1"/>
  <c r="G107" i="14"/>
  <c r="G92" i="10"/>
  <c r="G77" i="10"/>
  <c r="I128" i="10" l="1"/>
  <c r="I126" i="10"/>
  <c r="G86" i="10" l="1"/>
  <c r="G81" i="10"/>
  <c r="G82" i="10"/>
  <c r="L87" i="10"/>
  <c r="M87" i="10"/>
  <c r="N87" i="10"/>
  <c r="G87" i="10"/>
  <c r="K87" i="10" s="1"/>
  <c r="D21" i="9" l="1"/>
  <c r="G141" i="10" l="1"/>
  <c r="G142" i="10"/>
  <c r="G143" i="10"/>
  <c r="G144" i="10"/>
  <c r="G140" i="10"/>
  <c r="I147" i="10"/>
  <c r="G148" i="10"/>
  <c r="G147" i="10"/>
  <c r="N132" i="14" l="1"/>
  <c r="M132" i="14"/>
  <c r="L132" i="14"/>
  <c r="G132" i="14"/>
  <c r="G129" i="14" s="1"/>
  <c r="N131" i="14"/>
  <c r="M131" i="14"/>
  <c r="G131" i="14"/>
  <c r="N130" i="14"/>
  <c r="M130" i="14"/>
  <c r="L130" i="14"/>
  <c r="G130" i="14"/>
  <c r="N128" i="14"/>
  <c r="M128" i="14"/>
  <c r="L128" i="14"/>
  <c r="G128" i="14"/>
  <c r="N127" i="14"/>
  <c r="M127" i="14"/>
  <c r="L127" i="14"/>
  <c r="G127" i="14"/>
  <c r="N126" i="14"/>
  <c r="M126" i="14"/>
  <c r="M125" i="14" s="1"/>
  <c r="L126" i="14"/>
  <c r="L125" i="14" s="1"/>
  <c r="G126" i="14"/>
  <c r="N124" i="14"/>
  <c r="M124" i="14"/>
  <c r="L124" i="14"/>
  <c r="G124" i="14"/>
  <c r="N123" i="14"/>
  <c r="M123" i="14"/>
  <c r="L123" i="14"/>
  <c r="G123" i="14"/>
  <c r="N122" i="14"/>
  <c r="M122" i="14"/>
  <c r="L122" i="14"/>
  <c r="G122" i="14"/>
  <c r="N121" i="14"/>
  <c r="M121" i="14"/>
  <c r="L121" i="14"/>
  <c r="G121" i="14"/>
  <c r="N120" i="14"/>
  <c r="M120" i="14"/>
  <c r="L120" i="14"/>
  <c r="G120" i="14"/>
  <c r="M119" i="14"/>
  <c r="L119" i="14"/>
  <c r="G119" i="14"/>
  <c r="N118" i="14"/>
  <c r="M118" i="14"/>
  <c r="L118" i="14"/>
  <c r="G118" i="14"/>
  <c r="N117" i="14"/>
  <c r="M117" i="14"/>
  <c r="L117" i="14"/>
  <c r="G117" i="14"/>
  <c r="N116" i="14"/>
  <c r="M116" i="14"/>
  <c r="G116" i="14"/>
  <c r="N115" i="14"/>
  <c r="M115" i="14"/>
  <c r="G115" i="14"/>
  <c r="N114" i="14"/>
  <c r="M114" i="14"/>
  <c r="L114" i="14"/>
  <c r="G114" i="14"/>
  <c r="N113" i="14"/>
  <c r="M113" i="14"/>
  <c r="L113" i="14"/>
  <c r="G113" i="14"/>
  <c r="N112" i="14"/>
  <c r="M112" i="14"/>
  <c r="L112" i="14"/>
  <c r="G112" i="14"/>
  <c r="N110" i="14"/>
  <c r="N109" i="14" s="1"/>
  <c r="M110" i="14"/>
  <c r="L110" i="14"/>
  <c r="L109" i="14" s="1"/>
  <c r="G110" i="14"/>
  <c r="G109" i="14" s="1"/>
  <c r="N108" i="14"/>
  <c r="M108" i="14"/>
  <c r="L108" i="14"/>
  <c r="G108" i="14"/>
  <c r="N107" i="14"/>
  <c r="M107" i="14"/>
  <c r="L107" i="14"/>
  <c r="N106" i="14"/>
  <c r="M106" i="14"/>
  <c r="L106" i="14"/>
  <c r="G106" i="14"/>
  <c r="N105" i="14"/>
  <c r="M105" i="14"/>
  <c r="L105" i="14"/>
  <c r="G105" i="14"/>
  <c r="N104" i="14"/>
  <c r="M104" i="14"/>
  <c r="L104" i="14"/>
  <c r="G104" i="14"/>
  <c r="N103" i="14"/>
  <c r="M103" i="14"/>
  <c r="L103" i="14"/>
  <c r="G103" i="14"/>
  <c r="N102" i="14"/>
  <c r="M102" i="14"/>
  <c r="L102" i="14"/>
  <c r="G102" i="14"/>
  <c r="K102" i="14" s="1"/>
  <c r="N101" i="14"/>
  <c r="M101" i="14"/>
  <c r="L101" i="14"/>
  <c r="G101" i="14"/>
  <c r="N100" i="14"/>
  <c r="M100" i="14"/>
  <c r="L100" i="14"/>
  <c r="G100" i="14"/>
  <c r="N99" i="14"/>
  <c r="M99" i="14"/>
  <c r="L99" i="14"/>
  <c r="G99" i="14"/>
  <c r="N98" i="14"/>
  <c r="M98" i="14"/>
  <c r="L98" i="14"/>
  <c r="G98" i="14"/>
  <c r="N97" i="14"/>
  <c r="M97" i="14"/>
  <c r="L97" i="14"/>
  <c r="G97" i="14"/>
  <c r="N96" i="14"/>
  <c r="M96" i="14"/>
  <c r="G96" i="14"/>
  <c r="M94" i="14"/>
  <c r="L94" i="14"/>
  <c r="G94" i="14"/>
  <c r="M93" i="14"/>
  <c r="L93" i="14"/>
  <c r="G93" i="14"/>
  <c r="N92" i="14"/>
  <c r="M92" i="14"/>
  <c r="L92" i="14"/>
  <c r="G92" i="14"/>
  <c r="N91" i="14"/>
  <c r="M91" i="14"/>
  <c r="L91" i="14"/>
  <c r="G91" i="14"/>
  <c r="M90" i="14"/>
  <c r="L90" i="14"/>
  <c r="G90" i="14"/>
  <c r="N87" i="14"/>
  <c r="N86" i="14" s="1"/>
  <c r="M87" i="14"/>
  <c r="M86" i="14" s="1"/>
  <c r="L87" i="14"/>
  <c r="G87" i="14"/>
  <c r="N85" i="14"/>
  <c r="L85" i="14"/>
  <c r="G85" i="14"/>
  <c r="G84" i="14"/>
  <c r="N83" i="14"/>
  <c r="M83" i="14"/>
  <c r="L83" i="14"/>
  <c r="G83" i="14"/>
  <c r="M82" i="14"/>
  <c r="L82" i="14"/>
  <c r="G82" i="14"/>
  <c r="M81" i="14"/>
  <c r="G81" i="14"/>
  <c r="N79" i="14"/>
  <c r="M79" i="14"/>
  <c r="L79" i="14"/>
  <c r="G79" i="14"/>
  <c r="N78" i="14"/>
  <c r="N77" i="14" s="1"/>
  <c r="G78" i="14"/>
  <c r="N75" i="14"/>
  <c r="M75" i="14"/>
  <c r="L75" i="14"/>
  <c r="L74" i="14" s="1"/>
  <c r="G75" i="14"/>
  <c r="G74" i="14" s="1"/>
  <c r="N73" i="14"/>
  <c r="N72" i="14" s="1"/>
  <c r="M73" i="14"/>
  <c r="L73" i="14"/>
  <c r="L72" i="14" s="1"/>
  <c r="G73" i="14"/>
  <c r="N69" i="14"/>
  <c r="M69" i="14"/>
  <c r="M68" i="14" s="1"/>
  <c r="L69" i="14"/>
  <c r="L68" i="14" s="1"/>
  <c r="G69" i="14"/>
  <c r="G68" i="14" s="1"/>
  <c r="M67" i="14"/>
  <c r="L67" i="14"/>
  <c r="L66" i="14" s="1"/>
  <c r="G67" i="14"/>
  <c r="N63" i="14"/>
  <c r="M63" i="14"/>
  <c r="L63" i="14"/>
  <c r="L62" i="14" s="1"/>
  <c r="G63" i="14"/>
  <c r="N61" i="14"/>
  <c r="M61" i="14"/>
  <c r="M60" i="14" s="1"/>
  <c r="L61" i="14"/>
  <c r="L60" i="14" s="1"/>
  <c r="G61" i="14"/>
  <c r="G60" i="14" s="1"/>
  <c r="N58" i="14"/>
  <c r="N57" i="14" s="1"/>
  <c r="L58" i="14"/>
  <c r="L57" i="14" s="1"/>
  <c r="L56" i="14" s="1"/>
  <c r="G58" i="14"/>
  <c r="G57" i="14" s="1"/>
  <c r="G56" i="14" s="1"/>
  <c r="J57" i="14"/>
  <c r="J56" i="14" s="1"/>
  <c r="M55" i="14"/>
  <c r="G55" i="14"/>
  <c r="N51" i="14"/>
  <c r="M51" i="14"/>
  <c r="L51" i="14"/>
  <c r="G51" i="14"/>
  <c r="N50" i="14"/>
  <c r="N49" i="14" s="1"/>
  <c r="M50" i="14"/>
  <c r="L50" i="14"/>
  <c r="L49" i="14" s="1"/>
  <c r="G50" i="14"/>
  <c r="N48" i="14"/>
  <c r="M48" i="14"/>
  <c r="L48" i="14"/>
  <c r="L47" i="14" s="1"/>
  <c r="G48" i="14"/>
  <c r="N44" i="14"/>
  <c r="M44" i="14"/>
  <c r="L44" i="14"/>
  <c r="L43" i="14" s="1"/>
  <c r="L42" i="14" s="1"/>
  <c r="G44" i="14"/>
  <c r="G43" i="14" s="1"/>
  <c r="G42" i="14" s="1"/>
  <c r="N41" i="14"/>
  <c r="N40" i="14" s="1"/>
  <c r="M41" i="14"/>
  <c r="L41" i="14"/>
  <c r="L40" i="14" s="1"/>
  <c r="G41" i="14"/>
  <c r="G40" i="14" s="1"/>
  <c r="N39" i="14"/>
  <c r="N38" i="14" s="1"/>
  <c r="M39" i="14"/>
  <c r="L39" i="14"/>
  <c r="G39" i="14"/>
  <c r="N34" i="14"/>
  <c r="M34" i="14"/>
  <c r="L34" i="14"/>
  <c r="G34" i="14"/>
  <c r="K34" i="14" s="1"/>
  <c r="N33" i="14"/>
  <c r="M33" i="14"/>
  <c r="G33" i="14"/>
  <c r="N32" i="14"/>
  <c r="M32" i="14"/>
  <c r="G32" i="14"/>
  <c r="N30" i="14"/>
  <c r="M30" i="14"/>
  <c r="L30" i="14"/>
  <c r="G30" i="14"/>
  <c r="N29" i="14"/>
  <c r="M29" i="14"/>
  <c r="L29" i="14"/>
  <c r="G29" i="14"/>
  <c r="N28" i="14"/>
  <c r="M28" i="14"/>
  <c r="L28" i="14"/>
  <c r="G28" i="14"/>
  <c r="N27" i="14"/>
  <c r="G27" i="14"/>
  <c r="N26" i="14"/>
  <c r="M26" i="14"/>
  <c r="L26" i="14"/>
  <c r="G26" i="14"/>
  <c r="N25" i="14"/>
  <c r="M25" i="14"/>
  <c r="G25" i="14"/>
  <c r="N23" i="14"/>
  <c r="M23" i="14"/>
  <c r="G23" i="14"/>
  <c r="N22" i="14"/>
  <c r="M22" i="14"/>
  <c r="G22" i="14"/>
  <c r="G20" i="14"/>
  <c r="G19" i="14" s="1"/>
  <c r="L20" i="14"/>
  <c r="L19" i="14" s="1"/>
  <c r="M20" i="14"/>
  <c r="N20" i="14"/>
  <c r="N19" i="14" s="1"/>
  <c r="H129" i="14"/>
  <c r="I129" i="14"/>
  <c r="J129" i="14"/>
  <c r="H125" i="14"/>
  <c r="I125" i="14"/>
  <c r="J125" i="14"/>
  <c r="H109" i="14"/>
  <c r="I109" i="14"/>
  <c r="J109" i="14"/>
  <c r="H111" i="14"/>
  <c r="I111" i="14"/>
  <c r="J111" i="14"/>
  <c r="H95" i="14"/>
  <c r="I95" i="14"/>
  <c r="J95" i="14"/>
  <c r="H89" i="14"/>
  <c r="I89" i="14"/>
  <c r="J89" i="14"/>
  <c r="G86" i="14"/>
  <c r="H86" i="14"/>
  <c r="I86" i="14"/>
  <c r="J86" i="14"/>
  <c r="L86" i="14"/>
  <c r="H80" i="14"/>
  <c r="I80" i="14"/>
  <c r="J80" i="14"/>
  <c r="H77" i="14"/>
  <c r="I77" i="14"/>
  <c r="J77" i="14"/>
  <c r="H74" i="14"/>
  <c r="I74" i="14"/>
  <c r="J74" i="14"/>
  <c r="N74" i="14"/>
  <c r="G72" i="14"/>
  <c r="H72" i="14"/>
  <c r="I72" i="14"/>
  <c r="J72" i="14"/>
  <c r="M72" i="14"/>
  <c r="H68" i="14"/>
  <c r="I68" i="14"/>
  <c r="J68" i="14"/>
  <c r="H66" i="14"/>
  <c r="I66" i="14"/>
  <c r="J66" i="14"/>
  <c r="J64" i="14" s="1"/>
  <c r="F62" i="14"/>
  <c r="G62" i="14"/>
  <c r="H62" i="14"/>
  <c r="I62" i="14"/>
  <c r="J62" i="14"/>
  <c r="M62" i="14"/>
  <c r="F60" i="14"/>
  <c r="H60" i="14"/>
  <c r="I60" i="14"/>
  <c r="J60" i="14"/>
  <c r="J59" i="14" s="1"/>
  <c r="H57" i="14"/>
  <c r="H56" i="14" s="1"/>
  <c r="I57" i="14"/>
  <c r="I56" i="14" s="1"/>
  <c r="H54" i="14"/>
  <c r="H52" i="14" s="1"/>
  <c r="I54" i="14"/>
  <c r="I52" i="14" s="1"/>
  <c r="J54" i="14"/>
  <c r="J52" i="14" s="1"/>
  <c r="H49" i="14"/>
  <c r="I49" i="14"/>
  <c r="J49" i="14"/>
  <c r="G47" i="14"/>
  <c r="H47" i="14"/>
  <c r="I47" i="14"/>
  <c r="J47" i="14"/>
  <c r="N47" i="14"/>
  <c r="H43" i="14"/>
  <c r="H42" i="14" s="1"/>
  <c r="I43" i="14"/>
  <c r="I42" i="14" s="1"/>
  <c r="J43" i="14"/>
  <c r="J42" i="14" s="1"/>
  <c r="G38" i="14"/>
  <c r="H38" i="14"/>
  <c r="I38" i="14"/>
  <c r="J38" i="14"/>
  <c r="L38" i="14"/>
  <c r="H40" i="14"/>
  <c r="I40" i="14"/>
  <c r="J40" i="14"/>
  <c r="H31" i="14"/>
  <c r="I31" i="14"/>
  <c r="J31" i="14"/>
  <c r="H24" i="14"/>
  <c r="I24" i="14"/>
  <c r="J24" i="14"/>
  <c r="H21" i="14"/>
  <c r="I21" i="14"/>
  <c r="J21" i="14"/>
  <c r="M21" i="14"/>
  <c r="H19" i="14"/>
  <c r="I19" i="14"/>
  <c r="J19" i="14"/>
  <c r="L129" i="14" l="1"/>
  <c r="J76" i="14"/>
  <c r="M31" i="14"/>
  <c r="N95" i="14"/>
  <c r="N129" i="14"/>
  <c r="H37" i="14"/>
  <c r="F59" i="14"/>
  <c r="H70" i="14"/>
  <c r="J37" i="14"/>
  <c r="J45" i="14"/>
  <c r="I64" i="14"/>
  <c r="G59" i="14"/>
  <c r="I37" i="14"/>
  <c r="I17" i="14"/>
  <c r="I45" i="14"/>
  <c r="H59" i="14"/>
  <c r="H64" i="14"/>
  <c r="L59" i="14"/>
  <c r="G111" i="14"/>
  <c r="G37" i="14"/>
  <c r="N37" i="14"/>
  <c r="M59" i="14"/>
  <c r="N21" i="14"/>
  <c r="N24" i="14"/>
  <c r="M38" i="14"/>
  <c r="M66" i="14"/>
  <c r="M89" i="14"/>
  <c r="M109" i="14"/>
  <c r="M111" i="14"/>
  <c r="N125" i="14"/>
  <c r="N45" i="14"/>
  <c r="N56" i="14"/>
  <c r="M54" i="14"/>
  <c r="G24" i="14"/>
  <c r="M49" i="14"/>
  <c r="I70" i="14"/>
  <c r="L37" i="14"/>
  <c r="M19" i="14"/>
  <c r="H17" i="14"/>
  <c r="J17" i="14"/>
  <c r="M40" i="14"/>
  <c r="N43" i="14"/>
  <c r="H45" i="14"/>
  <c r="N60" i="14"/>
  <c r="N62" i="14"/>
  <c r="I59" i="14"/>
  <c r="J70" i="14"/>
  <c r="L89" i="14"/>
  <c r="N68" i="14"/>
  <c r="M74" i="14"/>
  <c r="M43" i="14"/>
  <c r="M95" i="14"/>
  <c r="M129" i="14"/>
  <c r="N31" i="14"/>
  <c r="M47" i="14"/>
  <c r="L64" i="14"/>
  <c r="G66" i="14"/>
  <c r="G64" i="14" s="1"/>
  <c r="I76" i="14"/>
  <c r="L45" i="14"/>
  <c r="L70" i="14"/>
  <c r="G80" i="14"/>
  <c r="G95" i="14"/>
  <c r="G54" i="14"/>
  <c r="G52" i="14" s="1"/>
  <c r="I88" i="14"/>
  <c r="G125" i="14"/>
  <c r="H88" i="14"/>
  <c r="J88" i="14"/>
  <c r="G89" i="14"/>
  <c r="H76" i="14"/>
  <c r="G77" i="14"/>
  <c r="G76" i="14" s="1"/>
  <c r="N70" i="14"/>
  <c r="G70" i="14"/>
  <c r="G49" i="14"/>
  <c r="G45" i="14" s="1"/>
  <c r="G31" i="14"/>
  <c r="G21" i="14"/>
  <c r="G149" i="10"/>
  <c r="G150" i="10"/>
  <c r="G151" i="10"/>
  <c r="E102" i="10"/>
  <c r="F102" i="10"/>
  <c r="H102" i="10"/>
  <c r="I102" i="10"/>
  <c r="J102" i="10"/>
  <c r="M102" i="10"/>
  <c r="L105" i="10"/>
  <c r="M105" i="10"/>
  <c r="N105" i="10"/>
  <c r="G105" i="10"/>
  <c r="G102" i="10" s="1"/>
  <c r="H31" i="5" s="1"/>
  <c r="M104" i="10"/>
  <c r="F104" i="10"/>
  <c r="N104" i="10" s="1"/>
  <c r="D104" i="10"/>
  <c r="L104" i="10" s="1"/>
  <c r="G69" i="10"/>
  <c r="K69" i="10" s="1"/>
  <c r="L69" i="10"/>
  <c r="M69" i="10"/>
  <c r="N69" i="10"/>
  <c r="D66" i="10"/>
  <c r="H66" i="10"/>
  <c r="I66" i="10"/>
  <c r="J66" i="10"/>
  <c r="K30" i="5" s="1"/>
  <c r="G41" i="10"/>
  <c r="K41" i="10" s="1"/>
  <c r="L41" i="10"/>
  <c r="M41" i="10"/>
  <c r="N41" i="10"/>
  <c r="G127" i="10"/>
  <c r="G128" i="10"/>
  <c r="G129" i="10"/>
  <c r="G130" i="10"/>
  <c r="G131" i="10"/>
  <c r="G132" i="10"/>
  <c r="G126" i="10"/>
  <c r="L40" i="10"/>
  <c r="M40" i="10"/>
  <c r="N40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K40" i="10" s="1"/>
  <c r="G42" i="10"/>
  <c r="H29" i="5" s="1"/>
  <c r="G43" i="10"/>
  <c r="H33" i="5" s="1"/>
  <c r="G44" i="10"/>
  <c r="H41" i="5" s="1"/>
  <c r="G45" i="10"/>
  <c r="H42" i="5" s="1"/>
  <c r="G46" i="10"/>
  <c r="H47" i="5" s="1"/>
  <c r="G47" i="10"/>
  <c r="G48" i="10"/>
  <c r="H58" i="5" s="1"/>
  <c r="G22" i="10"/>
  <c r="G159" i="10"/>
  <c r="G152" i="10" s="1"/>
  <c r="H61" i="5" s="1"/>
  <c r="H159" i="10"/>
  <c r="I159" i="10"/>
  <c r="I152" i="10" s="1"/>
  <c r="J61" i="5" s="1"/>
  <c r="J159" i="10"/>
  <c r="J152" i="10" s="1"/>
  <c r="K61" i="5" s="1"/>
  <c r="H145" i="10"/>
  <c r="H138" i="10" s="1"/>
  <c r="I56" i="5" s="1"/>
  <c r="I145" i="10"/>
  <c r="I138" i="10" s="1"/>
  <c r="J145" i="10"/>
  <c r="J138" i="10" s="1"/>
  <c r="K56" i="5" s="1"/>
  <c r="H152" i="10"/>
  <c r="I61" i="5" s="1"/>
  <c r="G133" i="10"/>
  <c r="H50" i="5" s="1"/>
  <c r="H133" i="10"/>
  <c r="I133" i="10"/>
  <c r="J50" i="5" s="1"/>
  <c r="J133" i="10"/>
  <c r="K50" i="5" s="1"/>
  <c r="H124" i="10"/>
  <c r="I45" i="5" s="1"/>
  <c r="I124" i="10"/>
  <c r="J45" i="5" s="1"/>
  <c r="J124" i="10"/>
  <c r="G120" i="10"/>
  <c r="H38" i="5" s="1"/>
  <c r="H120" i="10"/>
  <c r="I120" i="10"/>
  <c r="J120" i="10"/>
  <c r="K38" i="5" s="1"/>
  <c r="G111" i="10"/>
  <c r="H44" i="5" s="1"/>
  <c r="H111" i="10"/>
  <c r="I44" i="5" s="1"/>
  <c r="I111" i="10"/>
  <c r="J44" i="5" s="1"/>
  <c r="J111" i="10"/>
  <c r="K44" i="5" s="1"/>
  <c r="G106" i="10"/>
  <c r="H106" i="10"/>
  <c r="I35" i="5" s="1"/>
  <c r="I106" i="10"/>
  <c r="J35" i="5" s="1"/>
  <c r="J106" i="10"/>
  <c r="K35" i="5" s="1"/>
  <c r="G97" i="10"/>
  <c r="H27" i="5" s="1"/>
  <c r="H97" i="10"/>
  <c r="H96" i="10" s="1"/>
  <c r="I97" i="10"/>
  <c r="I96" i="10" s="1"/>
  <c r="J97" i="10"/>
  <c r="K27" i="5" s="1"/>
  <c r="G94" i="10"/>
  <c r="H94" i="10"/>
  <c r="I94" i="10"/>
  <c r="J94" i="10"/>
  <c r="G89" i="10"/>
  <c r="H54" i="5" s="1"/>
  <c r="H89" i="10"/>
  <c r="I54" i="5" s="1"/>
  <c r="I89" i="10"/>
  <c r="J54" i="5" s="1"/>
  <c r="J89" i="10"/>
  <c r="K54" i="5" s="1"/>
  <c r="G84" i="10"/>
  <c r="H48" i="5" s="1"/>
  <c r="H84" i="10"/>
  <c r="I48" i="5" s="1"/>
  <c r="I84" i="10"/>
  <c r="J48" i="5" s="1"/>
  <c r="J84" i="10"/>
  <c r="K48" i="5" s="1"/>
  <c r="G79" i="10"/>
  <c r="H43" i="5" s="1"/>
  <c r="H79" i="10"/>
  <c r="I43" i="5" s="1"/>
  <c r="I79" i="10"/>
  <c r="J43" i="5" s="1"/>
  <c r="J79" i="10"/>
  <c r="K43" i="5" s="1"/>
  <c r="G75" i="10"/>
  <c r="H37" i="5" s="1"/>
  <c r="H75" i="10"/>
  <c r="I37" i="5" s="1"/>
  <c r="I75" i="10"/>
  <c r="J75" i="10"/>
  <c r="K37" i="5" s="1"/>
  <c r="G71" i="10"/>
  <c r="H34" i="5" s="1"/>
  <c r="H71" i="10"/>
  <c r="I34" i="5" s="1"/>
  <c r="I71" i="10"/>
  <c r="J34" i="5" s="1"/>
  <c r="J71" i="10"/>
  <c r="K34" i="5" s="1"/>
  <c r="J30" i="5"/>
  <c r="G61" i="10"/>
  <c r="H26" i="5" s="1"/>
  <c r="H61" i="10"/>
  <c r="I61" i="10"/>
  <c r="J61" i="10"/>
  <c r="K26" i="5" s="1"/>
  <c r="G57" i="10"/>
  <c r="G54" i="10" s="1"/>
  <c r="H22" i="5" s="1"/>
  <c r="H57" i="10"/>
  <c r="H54" i="10" s="1"/>
  <c r="I22" i="5" s="1"/>
  <c r="I57" i="10"/>
  <c r="I54" i="10" s="1"/>
  <c r="J22" i="5" s="1"/>
  <c r="J57" i="10"/>
  <c r="J54" i="10" s="1"/>
  <c r="K22" i="5" s="1"/>
  <c r="G50" i="10"/>
  <c r="H20" i="5" s="1"/>
  <c r="H50" i="10"/>
  <c r="I50" i="10"/>
  <c r="J20" i="5" s="1"/>
  <c r="J50" i="10"/>
  <c r="K20" i="5" s="1"/>
  <c r="H20" i="10"/>
  <c r="H13" i="10" s="1"/>
  <c r="H12" i="10" s="1"/>
  <c r="I20" i="10"/>
  <c r="I13" i="10" s="1"/>
  <c r="I12" i="10" s="1"/>
  <c r="J20" i="10"/>
  <c r="J13" i="10" s="1"/>
  <c r="G9" i="10"/>
  <c r="G8" i="10" s="1"/>
  <c r="H9" i="10"/>
  <c r="H8" i="10" s="1"/>
  <c r="I9" i="10"/>
  <c r="I8" i="10" s="1"/>
  <c r="J9" i="10"/>
  <c r="J8" i="10" s="1"/>
  <c r="K10" i="10"/>
  <c r="L10" i="10"/>
  <c r="M10" i="10"/>
  <c r="N10" i="10"/>
  <c r="L11" i="10"/>
  <c r="L9" i="10" s="1"/>
  <c r="L8" i="10" s="1"/>
  <c r="M11" i="10"/>
  <c r="M9" i="10" s="1"/>
  <c r="M8" i="10" s="1"/>
  <c r="N11" i="10"/>
  <c r="N9" i="10" s="1"/>
  <c r="N8" i="10" s="1"/>
  <c r="K14" i="10"/>
  <c r="L14" i="10"/>
  <c r="M14" i="10"/>
  <c r="N14" i="10"/>
  <c r="L15" i="10"/>
  <c r="M15" i="10"/>
  <c r="N15" i="10"/>
  <c r="L16" i="10"/>
  <c r="M16" i="10"/>
  <c r="N16" i="10"/>
  <c r="L17" i="10"/>
  <c r="L18" i="10"/>
  <c r="M18" i="10"/>
  <c r="N18" i="10"/>
  <c r="L19" i="10"/>
  <c r="M19" i="10"/>
  <c r="N19" i="10"/>
  <c r="K21" i="10"/>
  <c r="L21" i="10"/>
  <c r="M21" i="10"/>
  <c r="N21" i="10"/>
  <c r="L22" i="10"/>
  <c r="M22" i="10"/>
  <c r="N22" i="10"/>
  <c r="L23" i="10"/>
  <c r="M23" i="10"/>
  <c r="N23" i="10"/>
  <c r="L24" i="10"/>
  <c r="M24" i="10"/>
  <c r="N24" i="10"/>
  <c r="L25" i="10"/>
  <c r="M25" i="10"/>
  <c r="N25" i="10"/>
  <c r="L26" i="10"/>
  <c r="M26" i="10"/>
  <c r="N26" i="10"/>
  <c r="L27" i="10"/>
  <c r="M27" i="10"/>
  <c r="N27" i="10"/>
  <c r="L28" i="10"/>
  <c r="M28" i="10"/>
  <c r="N28" i="10"/>
  <c r="L29" i="10"/>
  <c r="M29" i="10"/>
  <c r="N29" i="10"/>
  <c r="L30" i="10"/>
  <c r="M30" i="10"/>
  <c r="N30" i="10"/>
  <c r="L31" i="10"/>
  <c r="M31" i="10"/>
  <c r="N31" i="10"/>
  <c r="L32" i="10"/>
  <c r="M32" i="10"/>
  <c r="N32" i="10"/>
  <c r="L33" i="10"/>
  <c r="M33" i="10"/>
  <c r="N33" i="10"/>
  <c r="L34" i="10"/>
  <c r="M34" i="10"/>
  <c r="N34" i="10"/>
  <c r="L35" i="10"/>
  <c r="M35" i="10"/>
  <c r="N35" i="10"/>
  <c r="L36" i="10"/>
  <c r="M36" i="10"/>
  <c r="N36" i="10"/>
  <c r="L37" i="10"/>
  <c r="M37" i="10"/>
  <c r="N37" i="10"/>
  <c r="L38" i="10"/>
  <c r="M38" i="10"/>
  <c r="N38" i="10"/>
  <c r="L39" i="10"/>
  <c r="M39" i="10"/>
  <c r="N39" i="10"/>
  <c r="L42" i="10"/>
  <c r="M42" i="10"/>
  <c r="N42" i="10"/>
  <c r="L43" i="10"/>
  <c r="M43" i="10"/>
  <c r="N43" i="10"/>
  <c r="L44" i="10"/>
  <c r="M44" i="10"/>
  <c r="N44" i="10"/>
  <c r="L45" i="10"/>
  <c r="M45" i="10"/>
  <c r="N45" i="10"/>
  <c r="L46" i="10"/>
  <c r="M46" i="10"/>
  <c r="N46" i="10"/>
  <c r="L47" i="10"/>
  <c r="M47" i="10"/>
  <c r="L48" i="10"/>
  <c r="M48" i="10"/>
  <c r="N48" i="10"/>
  <c r="K51" i="10"/>
  <c r="L51" i="10"/>
  <c r="M51" i="10"/>
  <c r="N51" i="10"/>
  <c r="L52" i="10"/>
  <c r="M52" i="10"/>
  <c r="N52" i="10"/>
  <c r="K55" i="10"/>
  <c r="L55" i="10"/>
  <c r="M55" i="10"/>
  <c r="N55" i="10"/>
  <c r="L56" i="10"/>
  <c r="M56" i="10"/>
  <c r="N56" i="10"/>
  <c r="K58" i="10"/>
  <c r="L58" i="10"/>
  <c r="M58" i="10"/>
  <c r="N58" i="10"/>
  <c r="L59" i="10"/>
  <c r="L57" i="10" s="1"/>
  <c r="M59" i="10"/>
  <c r="M57" i="10" s="1"/>
  <c r="N59" i="10"/>
  <c r="N57" i="10" s="1"/>
  <c r="L60" i="10"/>
  <c r="M60" i="10"/>
  <c r="N60" i="10"/>
  <c r="K62" i="10"/>
  <c r="L62" i="10"/>
  <c r="M62" i="10"/>
  <c r="N62" i="10"/>
  <c r="L63" i="10"/>
  <c r="M63" i="10"/>
  <c r="N63" i="10"/>
  <c r="L65" i="10"/>
  <c r="M65" i="10"/>
  <c r="N65" i="10"/>
  <c r="K67" i="10"/>
  <c r="L67" i="10"/>
  <c r="M67" i="10"/>
  <c r="N67" i="10"/>
  <c r="L68" i="10"/>
  <c r="N68" i="10"/>
  <c r="L70" i="10"/>
  <c r="M70" i="10"/>
  <c r="K72" i="10"/>
  <c r="L72" i="10"/>
  <c r="M72" i="10"/>
  <c r="N72" i="10"/>
  <c r="L73" i="10"/>
  <c r="M73" i="10"/>
  <c r="N73" i="10"/>
  <c r="K76" i="10"/>
  <c r="L76" i="10"/>
  <c r="M76" i="10"/>
  <c r="N76" i="10"/>
  <c r="M77" i="10"/>
  <c r="N78" i="10"/>
  <c r="K80" i="10"/>
  <c r="L80" i="10"/>
  <c r="M80" i="10"/>
  <c r="N80" i="10"/>
  <c r="M81" i="10"/>
  <c r="L82" i="10"/>
  <c r="M82" i="10"/>
  <c r="N82" i="10"/>
  <c r="K85" i="10"/>
  <c r="L85" i="10"/>
  <c r="M85" i="10"/>
  <c r="N85" i="10"/>
  <c r="L86" i="10"/>
  <c r="M86" i="10"/>
  <c r="N86" i="10"/>
  <c r="L88" i="10"/>
  <c r="M88" i="10"/>
  <c r="K90" i="10"/>
  <c r="L90" i="10"/>
  <c r="M90" i="10"/>
  <c r="N90" i="10"/>
  <c r="L91" i="10"/>
  <c r="M91" i="10"/>
  <c r="N91" i="10"/>
  <c r="L93" i="10"/>
  <c r="M93" i="10"/>
  <c r="N93" i="10"/>
  <c r="L95" i="10"/>
  <c r="L94" i="10" s="1"/>
  <c r="M95" i="10"/>
  <c r="M94" i="10" s="1"/>
  <c r="N95" i="10"/>
  <c r="N94" i="10" s="1"/>
  <c r="K98" i="10"/>
  <c r="L98" i="10"/>
  <c r="M98" i="10"/>
  <c r="N98" i="10"/>
  <c r="L99" i="10"/>
  <c r="M99" i="10"/>
  <c r="N99" i="10"/>
  <c r="L100" i="10"/>
  <c r="M100" i="10"/>
  <c r="N100" i="10"/>
  <c r="L101" i="10"/>
  <c r="M101" i="10"/>
  <c r="N101" i="10"/>
  <c r="K107" i="10"/>
  <c r="L107" i="10"/>
  <c r="M107" i="10"/>
  <c r="N107" i="10"/>
  <c r="L108" i="10"/>
  <c r="M108" i="10"/>
  <c r="N108" i="10"/>
  <c r="L109" i="10"/>
  <c r="M109" i="10"/>
  <c r="N109" i="10"/>
  <c r="M110" i="10"/>
  <c r="N110" i="10"/>
  <c r="K112" i="10"/>
  <c r="L112" i="10"/>
  <c r="M112" i="10"/>
  <c r="N112" i="10"/>
  <c r="M113" i="10"/>
  <c r="N113" i="10"/>
  <c r="L114" i="10"/>
  <c r="M114" i="10"/>
  <c r="N114" i="10"/>
  <c r="L115" i="10"/>
  <c r="M115" i="10"/>
  <c r="N115" i="10"/>
  <c r="M116" i="10"/>
  <c r="N116" i="10"/>
  <c r="M117" i="10"/>
  <c r="N117" i="10"/>
  <c r="L118" i="10"/>
  <c r="M118" i="10"/>
  <c r="N118" i="10"/>
  <c r="K121" i="10"/>
  <c r="L121" i="10"/>
  <c r="M121" i="10"/>
  <c r="N121" i="10"/>
  <c r="M122" i="10"/>
  <c r="N122" i="10"/>
  <c r="L123" i="10"/>
  <c r="M123" i="10"/>
  <c r="N123" i="10"/>
  <c r="K125" i="10"/>
  <c r="L125" i="10"/>
  <c r="M125" i="10"/>
  <c r="N125" i="10"/>
  <c r="N126" i="10"/>
  <c r="L127" i="10"/>
  <c r="M127" i="10"/>
  <c r="N127" i="10"/>
  <c r="L128" i="10"/>
  <c r="M128" i="10"/>
  <c r="N128" i="10"/>
  <c r="L129" i="10"/>
  <c r="M129" i="10"/>
  <c r="N129" i="10"/>
  <c r="L130" i="10"/>
  <c r="M130" i="10"/>
  <c r="N130" i="10"/>
  <c r="M131" i="10"/>
  <c r="N131" i="10"/>
  <c r="L132" i="10"/>
  <c r="M132" i="10"/>
  <c r="N132" i="10"/>
  <c r="K134" i="10"/>
  <c r="L134" i="10"/>
  <c r="M134" i="10"/>
  <c r="N134" i="10"/>
  <c r="M135" i="10"/>
  <c r="N135" i="10"/>
  <c r="L136" i="10"/>
  <c r="M136" i="10"/>
  <c r="N136" i="10"/>
  <c r="K139" i="10"/>
  <c r="L139" i="10"/>
  <c r="M139" i="10"/>
  <c r="N139" i="10"/>
  <c r="L141" i="10"/>
  <c r="M141" i="10"/>
  <c r="N141" i="10"/>
  <c r="L142" i="10"/>
  <c r="M142" i="10"/>
  <c r="N142" i="10"/>
  <c r="L143" i="10"/>
  <c r="M143" i="10"/>
  <c r="N143" i="10"/>
  <c r="N144" i="10"/>
  <c r="K146" i="10"/>
  <c r="L146" i="10"/>
  <c r="M146" i="10"/>
  <c r="N146" i="10"/>
  <c r="N147" i="10"/>
  <c r="M148" i="10"/>
  <c r="N148" i="10"/>
  <c r="M149" i="10"/>
  <c r="N149" i="10"/>
  <c r="M150" i="10"/>
  <c r="N150" i="10"/>
  <c r="M151" i="10"/>
  <c r="N151" i="10"/>
  <c r="K153" i="10"/>
  <c r="L153" i="10"/>
  <c r="M153" i="10"/>
  <c r="N153" i="10"/>
  <c r="L154" i="10"/>
  <c r="M154" i="10"/>
  <c r="N154" i="10"/>
  <c r="L155" i="10"/>
  <c r="M155" i="10"/>
  <c r="N155" i="10"/>
  <c r="N156" i="10"/>
  <c r="L157" i="10"/>
  <c r="M157" i="10"/>
  <c r="N157" i="10"/>
  <c r="L158" i="10"/>
  <c r="M158" i="10"/>
  <c r="N158" i="10"/>
  <c r="L160" i="10"/>
  <c r="M160" i="10"/>
  <c r="N160" i="10"/>
  <c r="L161" i="10"/>
  <c r="M161" i="10"/>
  <c r="N161" i="10"/>
  <c r="M162" i="10"/>
  <c r="N162" i="10"/>
  <c r="L163" i="10"/>
  <c r="M163" i="10"/>
  <c r="N163" i="10"/>
  <c r="L164" i="10"/>
  <c r="M164" i="10"/>
  <c r="N164" i="10"/>
  <c r="L165" i="10"/>
  <c r="M165" i="10"/>
  <c r="N165" i="10"/>
  <c r="K167" i="10"/>
  <c r="L167" i="10"/>
  <c r="M167" i="10"/>
  <c r="N167" i="10"/>
  <c r="L168" i="10"/>
  <c r="M168" i="10"/>
  <c r="N168" i="10"/>
  <c r="E19" i="9"/>
  <c r="E18" i="9"/>
  <c r="E17" i="9"/>
  <c r="E16" i="9"/>
  <c r="E71" i="9"/>
  <c r="E70" i="9"/>
  <c r="E66" i="9"/>
  <c r="E65" i="9"/>
  <c r="E64" i="9"/>
  <c r="E63" i="9"/>
  <c r="E61" i="9"/>
  <c r="E60" i="9"/>
  <c r="E59" i="9"/>
  <c r="E58" i="9"/>
  <c r="E49" i="9"/>
  <c r="E48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24" i="9"/>
  <c r="D50" i="9"/>
  <c r="C50" i="9"/>
  <c r="E52" i="9"/>
  <c r="E53" i="9"/>
  <c r="E54" i="9"/>
  <c r="E55" i="9"/>
  <c r="E56" i="9"/>
  <c r="E51" i="9"/>
  <c r="L64" i="5"/>
  <c r="M64" i="5"/>
  <c r="N64" i="5"/>
  <c r="O64" i="5"/>
  <c r="M65" i="5"/>
  <c r="N65" i="5"/>
  <c r="O65" i="5"/>
  <c r="H25" i="5"/>
  <c r="I25" i="5"/>
  <c r="J25" i="5"/>
  <c r="K25" i="5"/>
  <c r="I26" i="5"/>
  <c r="J26" i="5"/>
  <c r="I29" i="5"/>
  <c r="J29" i="5"/>
  <c r="K29" i="5"/>
  <c r="I30" i="5"/>
  <c r="I31" i="5"/>
  <c r="J31" i="5"/>
  <c r="K31" i="5"/>
  <c r="I33" i="5"/>
  <c r="J33" i="5"/>
  <c r="K33" i="5"/>
  <c r="H35" i="5"/>
  <c r="J37" i="5"/>
  <c r="J38" i="5"/>
  <c r="H39" i="5"/>
  <c r="I39" i="5"/>
  <c r="J39" i="5"/>
  <c r="K39" i="5"/>
  <c r="I41" i="5"/>
  <c r="J41" i="5"/>
  <c r="K41" i="5"/>
  <c r="I42" i="5"/>
  <c r="J42" i="5"/>
  <c r="K42" i="5"/>
  <c r="K45" i="5"/>
  <c r="I47" i="5"/>
  <c r="J47" i="5"/>
  <c r="K47" i="5"/>
  <c r="H49" i="5"/>
  <c r="I49" i="5"/>
  <c r="J49" i="5"/>
  <c r="K49" i="5"/>
  <c r="I50" i="5"/>
  <c r="H51" i="5"/>
  <c r="I51" i="5"/>
  <c r="J51" i="5"/>
  <c r="K51" i="5"/>
  <c r="H53" i="5"/>
  <c r="I53" i="5"/>
  <c r="J53" i="5"/>
  <c r="K53" i="5"/>
  <c r="H55" i="5"/>
  <c r="I55" i="5"/>
  <c r="J55" i="5"/>
  <c r="K55" i="5"/>
  <c r="I58" i="5"/>
  <c r="J58" i="5"/>
  <c r="K58" i="5"/>
  <c r="H59" i="5"/>
  <c r="I59" i="5"/>
  <c r="J59" i="5"/>
  <c r="K59" i="5"/>
  <c r="H60" i="5"/>
  <c r="I60" i="5"/>
  <c r="J60" i="5"/>
  <c r="K60" i="5"/>
  <c r="J23" i="5"/>
  <c r="I20" i="5"/>
  <c r="H19" i="5"/>
  <c r="I19" i="5"/>
  <c r="J19" i="5"/>
  <c r="K19" i="5"/>
  <c r="N159" i="10" l="1"/>
  <c r="H23" i="5"/>
  <c r="I27" i="5"/>
  <c r="I28" i="5" s="1"/>
  <c r="K21" i="5"/>
  <c r="J12" i="10"/>
  <c r="N152" i="10"/>
  <c r="M159" i="10"/>
  <c r="J27" i="5"/>
  <c r="J28" i="5" s="1"/>
  <c r="N145" i="10"/>
  <c r="H119" i="10"/>
  <c r="N102" i="10"/>
  <c r="J62" i="5"/>
  <c r="H28" i="5"/>
  <c r="G17" i="14"/>
  <c r="J35" i="14"/>
  <c r="I35" i="14"/>
  <c r="I133" i="14" s="1"/>
  <c r="G88" i="14"/>
  <c r="M42" i="14"/>
  <c r="M45" i="14"/>
  <c r="N42" i="14"/>
  <c r="M64" i="14"/>
  <c r="N17" i="14"/>
  <c r="M70" i="14"/>
  <c r="H35" i="14"/>
  <c r="H133" i="14" s="1"/>
  <c r="M88" i="14"/>
  <c r="N59" i="14"/>
  <c r="M52" i="14"/>
  <c r="M37" i="14"/>
  <c r="G66" i="10"/>
  <c r="H30" i="5" s="1"/>
  <c r="H32" i="5" s="1"/>
  <c r="K23" i="5"/>
  <c r="I137" i="10"/>
  <c r="L102" i="10"/>
  <c r="D102" i="10"/>
  <c r="J119" i="10"/>
  <c r="E50" i="9"/>
  <c r="J96" i="10"/>
  <c r="K105" i="10"/>
  <c r="G96" i="10"/>
  <c r="J133" i="14"/>
  <c r="I62" i="5"/>
  <c r="H49" i="10"/>
  <c r="I49" i="10"/>
  <c r="I166" i="10" s="1"/>
  <c r="I169" i="10" s="1"/>
  <c r="I119" i="10"/>
  <c r="M84" i="10"/>
  <c r="H62" i="5"/>
  <c r="M120" i="10"/>
  <c r="M106" i="10"/>
  <c r="J56" i="5"/>
  <c r="J57" i="5" s="1"/>
  <c r="G35" i="14"/>
  <c r="H137" i="10"/>
  <c r="H166" i="10" s="1"/>
  <c r="H169" i="10" s="1"/>
  <c r="J137" i="10"/>
  <c r="G145" i="10"/>
  <c r="G138" i="10" s="1"/>
  <c r="G137" i="10" s="1"/>
  <c r="C104" i="10"/>
  <c r="L106" i="10"/>
  <c r="N97" i="10"/>
  <c r="N133" i="10"/>
  <c r="M111" i="10"/>
  <c r="M97" i="10"/>
  <c r="I32" i="5"/>
  <c r="N120" i="10"/>
  <c r="N111" i="10"/>
  <c r="N106" i="10"/>
  <c r="L97" i="10"/>
  <c r="L84" i="10"/>
  <c r="M133" i="10"/>
  <c r="N124" i="10"/>
  <c r="L66" i="10"/>
  <c r="J21" i="5"/>
  <c r="J24" i="5" s="1"/>
  <c r="N54" i="10"/>
  <c r="L20" i="10"/>
  <c r="L13" i="10" s="1"/>
  <c r="L12" i="10" s="1"/>
  <c r="N20" i="10"/>
  <c r="G124" i="10"/>
  <c r="H45" i="5" s="1"/>
  <c r="H46" i="5" s="1"/>
  <c r="G20" i="10"/>
  <c r="M54" i="10"/>
  <c r="L54" i="10"/>
  <c r="I52" i="5"/>
  <c r="J40" i="5"/>
  <c r="I57" i="5"/>
  <c r="H52" i="5"/>
  <c r="J36" i="5"/>
  <c r="M20" i="10"/>
  <c r="K62" i="5"/>
  <c r="J52" i="5"/>
  <c r="K52" i="5"/>
  <c r="I38" i="5"/>
  <c r="K28" i="5"/>
  <c r="K57" i="5"/>
  <c r="K46" i="5"/>
  <c r="J46" i="5"/>
  <c r="I46" i="5"/>
  <c r="K40" i="5"/>
  <c r="H40" i="5"/>
  <c r="I36" i="5"/>
  <c r="H36" i="5"/>
  <c r="K36" i="5"/>
  <c r="K32" i="5"/>
  <c r="J32" i="5"/>
  <c r="J49" i="10"/>
  <c r="I21" i="5"/>
  <c r="I23" i="5"/>
  <c r="D69" i="9"/>
  <c r="D68" i="9" s="1"/>
  <c r="E69" i="9"/>
  <c r="E68" i="9" s="1"/>
  <c r="D57" i="9"/>
  <c r="D46" i="9"/>
  <c r="D23" i="9"/>
  <c r="D22" i="9" s="1"/>
  <c r="D20" i="9" s="1"/>
  <c r="D72" i="9" s="1"/>
  <c r="E23" i="9"/>
  <c r="D14" i="9"/>
  <c r="K24" i="5" l="1"/>
  <c r="K63" i="5" s="1"/>
  <c r="J63" i="5"/>
  <c r="G49" i="10"/>
  <c r="M96" i="10"/>
  <c r="G133" i="14"/>
  <c r="K104" i="10"/>
  <c r="K102" i="10" s="1"/>
  <c r="C102" i="10"/>
  <c r="G119" i="10"/>
  <c r="J166" i="10"/>
  <c r="J169" i="10" s="1"/>
  <c r="N96" i="10"/>
  <c r="H56" i="5"/>
  <c r="H57" i="5" s="1"/>
  <c r="G13" i="10"/>
  <c r="G12" i="10" s="1"/>
  <c r="N119" i="10"/>
  <c r="I40" i="5"/>
  <c r="J66" i="5"/>
  <c r="I24" i="5"/>
  <c r="D135" i="10"/>
  <c r="L135" i="10" s="1"/>
  <c r="L133" i="10" s="1"/>
  <c r="D126" i="10"/>
  <c r="L126" i="10" s="1"/>
  <c r="D55" i="14"/>
  <c r="L55" i="14" s="1"/>
  <c r="L54" i="14" s="1"/>
  <c r="L52" i="14" s="1"/>
  <c r="F55" i="14"/>
  <c r="N55" i="14" s="1"/>
  <c r="F94" i="14"/>
  <c r="N94" i="14" s="1"/>
  <c r="I63" i="5" l="1"/>
  <c r="N54" i="14"/>
  <c r="G166" i="10"/>
  <c r="G169" i="10" s="1"/>
  <c r="H21" i="5"/>
  <c r="H24" i="5" s="1"/>
  <c r="K66" i="5"/>
  <c r="E27" i="14"/>
  <c r="M27" i="14" s="1"/>
  <c r="H63" i="5" l="1"/>
  <c r="H66" i="5" s="1"/>
  <c r="M24" i="14"/>
  <c r="N52" i="14"/>
  <c r="I66" i="5"/>
  <c r="F47" i="10"/>
  <c r="N47" i="10" s="1"/>
  <c r="D89" i="14"/>
  <c r="E89" i="14"/>
  <c r="C94" i="14"/>
  <c r="K94" i="14" s="1"/>
  <c r="F93" i="14"/>
  <c r="N93" i="14" s="1"/>
  <c r="M17" i="14" l="1"/>
  <c r="E147" i="10"/>
  <c r="M147" i="10" s="1"/>
  <c r="M145" i="10" s="1"/>
  <c r="D65" i="5" l="1"/>
  <c r="L65" i="5" s="1"/>
  <c r="C168" i="10"/>
  <c r="K168" i="10" s="1"/>
  <c r="E24" i="14" l="1"/>
  <c r="F24" i="14"/>
  <c r="E68" i="10"/>
  <c r="E66" i="10" l="1"/>
  <c r="M68" i="10"/>
  <c r="M66" i="10" s="1"/>
  <c r="C21" i="9"/>
  <c r="E21" i="9" s="1"/>
  <c r="D22" i="14"/>
  <c r="L22" i="14" s="1"/>
  <c r="L21" i="14" s="1"/>
  <c r="E85" i="14" l="1"/>
  <c r="M85" i="14" s="1"/>
  <c r="F64" i="10"/>
  <c r="N64" i="10" s="1"/>
  <c r="N61" i="10" s="1"/>
  <c r="E64" i="10"/>
  <c r="M64" i="10" s="1"/>
  <c r="M61" i="10" s="1"/>
  <c r="D64" i="10"/>
  <c r="L64" i="10" s="1"/>
  <c r="L61" i="10" s="1"/>
  <c r="F82" i="14"/>
  <c r="N82" i="14" s="1"/>
  <c r="C95" i="10" l="1"/>
  <c r="K95" i="10" s="1"/>
  <c r="K94" i="10" s="1"/>
  <c r="F83" i="10"/>
  <c r="N83" i="10" s="1"/>
  <c r="E83" i="10"/>
  <c r="M83" i="10" s="1"/>
  <c r="M79" i="10" s="1"/>
  <c r="D83" i="10"/>
  <c r="L83" i="10" s="1"/>
  <c r="E84" i="14"/>
  <c r="M84" i="14" s="1"/>
  <c r="F84" i="14"/>
  <c r="N84" i="14" s="1"/>
  <c r="D84" i="14"/>
  <c r="L84" i="14" s="1"/>
  <c r="F92" i="10"/>
  <c r="N92" i="10" s="1"/>
  <c r="N89" i="10" s="1"/>
  <c r="D92" i="10"/>
  <c r="L92" i="10" s="1"/>
  <c r="L89" i="10" s="1"/>
  <c r="E92" i="10"/>
  <c r="M92" i="10" s="1"/>
  <c r="M89" i="10" s="1"/>
  <c r="F77" i="10"/>
  <c r="N77" i="10" s="1"/>
  <c r="N75" i="10" s="1"/>
  <c r="D77" i="10"/>
  <c r="L77" i="10" s="1"/>
  <c r="E78" i="10"/>
  <c r="M78" i="10" s="1"/>
  <c r="M75" i="10" s="1"/>
  <c r="D78" i="10"/>
  <c r="L78" i="10" s="1"/>
  <c r="C83" i="14"/>
  <c r="K83" i="14" s="1"/>
  <c r="C85" i="14"/>
  <c r="K85" i="14" s="1"/>
  <c r="C82" i="14"/>
  <c r="K82" i="14" s="1"/>
  <c r="D86" i="14"/>
  <c r="E86" i="14"/>
  <c r="F86" i="14"/>
  <c r="C87" i="14"/>
  <c r="K87" i="14" s="1"/>
  <c r="K86" i="14" s="1"/>
  <c r="D74" i="10"/>
  <c r="L74" i="10" s="1"/>
  <c r="L71" i="10" s="1"/>
  <c r="F53" i="10"/>
  <c r="N53" i="10" s="1"/>
  <c r="N50" i="10" s="1"/>
  <c r="E53" i="10"/>
  <c r="M53" i="10" s="1"/>
  <c r="M50" i="10" s="1"/>
  <c r="D53" i="10"/>
  <c r="L53" i="10" s="1"/>
  <c r="L50" i="10" s="1"/>
  <c r="D23" i="14"/>
  <c r="L23" i="14" s="1"/>
  <c r="L75" i="10" l="1"/>
  <c r="M80" i="14"/>
  <c r="C86" i="14"/>
  <c r="C22" i="14"/>
  <c r="K22" i="14" s="1"/>
  <c r="K21" i="14" s="1"/>
  <c r="E80" i="14"/>
  <c r="C23" i="14"/>
  <c r="K23" i="14" s="1"/>
  <c r="C84" i="14"/>
  <c r="K84" i="14" s="1"/>
  <c r="F81" i="14"/>
  <c r="N81" i="14" s="1"/>
  <c r="D81" i="14"/>
  <c r="L81" i="14" s="1"/>
  <c r="L80" i="14" s="1"/>
  <c r="D27" i="14"/>
  <c r="L27" i="14" s="1"/>
  <c r="C69" i="14"/>
  <c r="K69" i="14" s="1"/>
  <c r="K68" i="14" s="1"/>
  <c r="D144" i="10"/>
  <c r="L144" i="10" s="1"/>
  <c r="D33" i="14"/>
  <c r="L33" i="14" s="1"/>
  <c r="D32" i="14"/>
  <c r="L32" i="14" s="1"/>
  <c r="L31" i="14" s="1"/>
  <c r="D129" i="14"/>
  <c r="E129" i="14"/>
  <c r="F129" i="14"/>
  <c r="D131" i="14"/>
  <c r="L131" i="14" s="1"/>
  <c r="D25" i="14"/>
  <c r="L25" i="14" s="1"/>
  <c r="D125" i="14"/>
  <c r="E125" i="14"/>
  <c r="F125" i="14"/>
  <c r="N80" i="14" l="1"/>
  <c r="L24" i="14"/>
  <c r="L17" i="14" s="1"/>
  <c r="D24" i="14"/>
  <c r="D80" i="14"/>
  <c r="F80" i="14"/>
  <c r="C81" i="14"/>
  <c r="K81" i="14" s="1"/>
  <c r="K80" i="14" s="1"/>
  <c r="E95" i="14"/>
  <c r="F95" i="14"/>
  <c r="C99" i="14"/>
  <c r="K99" i="14" s="1"/>
  <c r="D84" i="10"/>
  <c r="E84" i="10"/>
  <c r="E111" i="14"/>
  <c r="F81" i="10"/>
  <c r="N81" i="10" s="1"/>
  <c r="N79" i="10" s="1"/>
  <c r="C127" i="14"/>
  <c r="K127" i="14" s="1"/>
  <c r="E126" i="10"/>
  <c r="M126" i="10" s="1"/>
  <c r="M124" i="10" s="1"/>
  <c r="M119" i="10" s="1"/>
  <c r="N76" i="14" l="1"/>
  <c r="C80" i="14"/>
  <c r="F17" i="10"/>
  <c r="C45" i="9"/>
  <c r="E45" i="9" s="1"/>
  <c r="N17" i="10" l="1"/>
  <c r="N13" i="10" s="1"/>
  <c r="N12" i="10" s="1"/>
  <c r="D115" i="14"/>
  <c r="L115" i="14" s="1"/>
  <c r="L111" i="14" s="1"/>
  <c r="D116" i="14"/>
  <c r="L116" i="14" s="1"/>
  <c r="E144" i="10"/>
  <c r="M144" i="10" s="1"/>
  <c r="D78" i="14"/>
  <c r="L78" i="14" s="1"/>
  <c r="L77" i="14" s="1"/>
  <c r="L76" i="14" s="1"/>
  <c r="L35" i="14" s="1"/>
  <c r="E78" i="14"/>
  <c r="M78" i="14" s="1"/>
  <c r="C79" i="14"/>
  <c r="K79" i="14" s="1"/>
  <c r="M77" i="14" l="1"/>
  <c r="D111" i="14"/>
  <c r="D117" i="10"/>
  <c r="L117" i="10" s="1"/>
  <c r="D116" i="10"/>
  <c r="L116" i="10" s="1"/>
  <c r="D113" i="10"/>
  <c r="L113" i="10" s="1"/>
  <c r="L111" i="10" s="1"/>
  <c r="D110" i="10"/>
  <c r="L110" i="10" s="1"/>
  <c r="C131" i="14"/>
  <c r="K131" i="14" s="1"/>
  <c r="C124" i="14"/>
  <c r="K124" i="14" s="1"/>
  <c r="C123" i="14"/>
  <c r="K123" i="14" s="1"/>
  <c r="C122" i="14"/>
  <c r="K122" i="14" s="1"/>
  <c r="C121" i="14"/>
  <c r="K121" i="14" s="1"/>
  <c r="C120" i="14"/>
  <c r="K120" i="14" s="1"/>
  <c r="C118" i="14"/>
  <c r="K118" i="14" s="1"/>
  <c r="C117" i="14"/>
  <c r="K117" i="14" s="1"/>
  <c r="C116" i="14"/>
  <c r="K116" i="14" s="1"/>
  <c r="C114" i="14"/>
  <c r="K114" i="14" s="1"/>
  <c r="C51" i="14"/>
  <c r="K51" i="14" s="1"/>
  <c r="M76" i="14" l="1"/>
  <c r="L96" i="10"/>
  <c r="F90" i="14"/>
  <c r="F89" i="14" l="1"/>
  <c r="N90" i="14"/>
  <c r="E17" i="10"/>
  <c r="E58" i="14"/>
  <c r="M58" i="14" s="1"/>
  <c r="C129" i="10"/>
  <c r="K129" i="10" s="1"/>
  <c r="N89" i="14" l="1"/>
  <c r="M57" i="14"/>
  <c r="M17" i="10"/>
  <c r="M13" i="10" s="1"/>
  <c r="M12" i="10" s="1"/>
  <c r="D131" i="10"/>
  <c r="L131" i="10" s="1"/>
  <c r="L124" i="10" s="1"/>
  <c r="C47" i="9"/>
  <c r="E47" i="9" s="1"/>
  <c r="E46" i="9" s="1"/>
  <c r="E22" i="9" s="1"/>
  <c r="E20" i="9" s="1"/>
  <c r="F74" i="10"/>
  <c r="E74" i="10"/>
  <c r="C73" i="10"/>
  <c r="K73" i="10" s="1"/>
  <c r="M56" i="14" l="1"/>
  <c r="F71" i="10"/>
  <c r="N74" i="10"/>
  <c r="N71" i="10" s="1"/>
  <c r="E71" i="10"/>
  <c r="M74" i="10"/>
  <c r="M71" i="10" s="1"/>
  <c r="M49" i="10" s="1"/>
  <c r="D71" i="10"/>
  <c r="C74" i="10"/>
  <c r="F70" i="10"/>
  <c r="E140" i="10"/>
  <c r="M140" i="10" s="1"/>
  <c r="M138" i="10" s="1"/>
  <c r="D140" i="10"/>
  <c r="L140" i="10" s="1"/>
  <c r="D77" i="14"/>
  <c r="D76" i="14" s="1"/>
  <c r="E77" i="14"/>
  <c r="E76" i="14" s="1"/>
  <c r="F77" i="14"/>
  <c r="F76" i="14" s="1"/>
  <c r="C78" i="14"/>
  <c r="K78" i="14" s="1"/>
  <c r="K77" i="14" s="1"/>
  <c r="K76" i="14" s="1"/>
  <c r="D122" i="10"/>
  <c r="L122" i="10" s="1"/>
  <c r="L120" i="10" s="1"/>
  <c r="L119" i="10" s="1"/>
  <c r="D62" i="14"/>
  <c r="E62" i="14"/>
  <c r="C63" i="14"/>
  <c r="K63" i="14" s="1"/>
  <c r="K62" i="14" s="1"/>
  <c r="F88" i="10"/>
  <c r="N88" i="10" s="1"/>
  <c r="N84" i="10" s="1"/>
  <c r="E156" i="10"/>
  <c r="M156" i="10" s="1"/>
  <c r="M152" i="10" s="1"/>
  <c r="D156" i="10"/>
  <c r="L156" i="10" s="1"/>
  <c r="D162" i="10"/>
  <c r="L162" i="10" s="1"/>
  <c r="L159" i="10" s="1"/>
  <c r="D151" i="10"/>
  <c r="L151" i="10" s="1"/>
  <c r="D149" i="10"/>
  <c r="L149" i="10" s="1"/>
  <c r="D148" i="10"/>
  <c r="L148" i="10" s="1"/>
  <c r="D147" i="10"/>
  <c r="L147" i="10" s="1"/>
  <c r="D150" i="10"/>
  <c r="L150" i="10" s="1"/>
  <c r="M35" i="14" l="1"/>
  <c r="C71" i="10"/>
  <c r="K74" i="10"/>
  <c r="K71" i="10" s="1"/>
  <c r="N70" i="10"/>
  <c r="N66" i="10" s="1"/>
  <c r="N49" i="10" s="1"/>
  <c r="F66" i="10"/>
  <c r="L145" i="10"/>
  <c r="L138" i="10" s="1"/>
  <c r="L152" i="10"/>
  <c r="M137" i="10"/>
  <c r="M166" i="10" s="1"/>
  <c r="M169" i="10" s="1"/>
  <c r="C62" i="14"/>
  <c r="C77" i="14"/>
  <c r="C76" i="14" s="1"/>
  <c r="F84" i="10"/>
  <c r="D96" i="14"/>
  <c r="L96" i="14" s="1"/>
  <c r="L95" i="14" s="1"/>
  <c r="L88" i="14" s="1"/>
  <c r="L133" i="14" s="1"/>
  <c r="F119" i="14"/>
  <c r="N119" i="14" s="1"/>
  <c r="D31" i="14"/>
  <c r="E31" i="14"/>
  <c r="F31" i="14"/>
  <c r="D21" i="14"/>
  <c r="E21" i="14"/>
  <c r="F21" i="14"/>
  <c r="D19" i="14"/>
  <c r="E19" i="14"/>
  <c r="F19" i="14"/>
  <c r="C25" i="14"/>
  <c r="K25" i="14" s="1"/>
  <c r="C26" i="14"/>
  <c r="K26" i="14" s="1"/>
  <c r="C27" i="14"/>
  <c r="K27" i="14" s="1"/>
  <c r="C28" i="14"/>
  <c r="K28" i="14" s="1"/>
  <c r="C29" i="14"/>
  <c r="K29" i="14" s="1"/>
  <c r="C30" i="14"/>
  <c r="K30" i="14" s="1"/>
  <c r="C32" i="14"/>
  <c r="K32" i="14" s="1"/>
  <c r="K31" i="14" s="1"/>
  <c r="C33" i="14"/>
  <c r="K33" i="14" s="1"/>
  <c r="C20" i="14"/>
  <c r="K20" i="14" s="1"/>
  <c r="K19" i="14" s="1"/>
  <c r="K24" i="14" l="1"/>
  <c r="K17" i="14" s="1"/>
  <c r="N111" i="14"/>
  <c r="M133" i="14"/>
  <c r="L137" i="10"/>
  <c r="D17" i="14"/>
  <c r="E17" i="14"/>
  <c r="F17" i="14"/>
  <c r="D95" i="14"/>
  <c r="C19" i="14"/>
  <c r="F111" i="14"/>
  <c r="C21" i="14"/>
  <c r="C24" i="14"/>
  <c r="C31" i="14"/>
  <c r="N88" i="14" l="1"/>
  <c r="C17" i="14"/>
  <c r="C132" i="14"/>
  <c r="K132" i="14" s="1"/>
  <c r="C130" i="14"/>
  <c r="K130" i="14" s="1"/>
  <c r="K129" i="14" s="1"/>
  <c r="C128" i="14"/>
  <c r="K128" i="14" s="1"/>
  <c r="C126" i="14"/>
  <c r="K126" i="14" s="1"/>
  <c r="C119" i="14"/>
  <c r="K119" i="14" s="1"/>
  <c r="C115" i="14"/>
  <c r="K115" i="14" s="1"/>
  <c r="C113" i="14"/>
  <c r="K113" i="14" s="1"/>
  <c r="C112" i="14"/>
  <c r="K112" i="14" s="1"/>
  <c r="C110" i="14"/>
  <c r="K110" i="14" s="1"/>
  <c r="K109" i="14" s="1"/>
  <c r="F109" i="14"/>
  <c r="E109" i="14"/>
  <c r="D109" i="14"/>
  <c r="C108" i="14"/>
  <c r="K108" i="14" s="1"/>
  <c r="C107" i="14"/>
  <c r="K107" i="14" s="1"/>
  <c r="C106" i="14"/>
  <c r="K106" i="14" s="1"/>
  <c r="C105" i="14"/>
  <c r="K105" i="14" s="1"/>
  <c r="C104" i="14"/>
  <c r="K104" i="14" s="1"/>
  <c r="C103" i="14"/>
  <c r="K103" i="14" s="1"/>
  <c r="C101" i="14"/>
  <c r="K101" i="14" s="1"/>
  <c r="C100" i="14"/>
  <c r="K100" i="14" s="1"/>
  <c r="C98" i="14"/>
  <c r="K98" i="14" s="1"/>
  <c r="C97" i="14"/>
  <c r="K97" i="14" s="1"/>
  <c r="C96" i="14"/>
  <c r="K96" i="14" s="1"/>
  <c r="C93" i="14"/>
  <c r="K93" i="14" s="1"/>
  <c r="C92" i="14"/>
  <c r="K92" i="14" s="1"/>
  <c r="C91" i="14"/>
  <c r="K91" i="14" s="1"/>
  <c r="C75" i="14"/>
  <c r="K75" i="14" s="1"/>
  <c r="K74" i="14" s="1"/>
  <c r="F74" i="14"/>
  <c r="E74" i="14"/>
  <c r="D74" i="14"/>
  <c r="C73" i="14"/>
  <c r="K73" i="14" s="1"/>
  <c r="K72" i="14" s="1"/>
  <c r="K70" i="14" s="1"/>
  <c r="F72" i="14"/>
  <c r="E72" i="14"/>
  <c r="D72" i="14"/>
  <c r="F68" i="14"/>
  <c r="E68" i="14"/>
  <c r="D68" i="14"/>
  <c r="F67" i="14"/>
  <c r="N67" i="14" s="1"/>
  <c r="E66" i="14"/>
  <c r="D66" i="14"/>
  <c r="C65" i="14"/>
  <c r="C61" i="14"/>
  <c r="K61" i="14" s="1"/>
  <c r="K60" i="14" s="1"/>
  <c r="K59" i="14" s="1"/>
  <c r="E60" i="14"/>
  <c r="E59" i="14" s="1"/>
  <c r="D60" i="14"/>
  <c r="C58" i="14"/>
  <c r="F57" i="14"/>
  <c r="F56" i="14" s="1"/>
  <c r="E57" i="14"/>
  <c r="E56" i="14" s="1"/>
  <c r="D57" i="14"/>
  <c r="C55" i="14"/>
  <c r="K55" i="14" s="1"/>
  <c r="K54" i="14" s="1"/>
  <c r="K52" i="14" s="1"/>
  <c r="F54" i="14"/>
  <c r="F52" i="14" s="1"/>
  <c r="E54" i="14"/>
  <c r="E52" i="14" s="1"/>
  <c r="D54" i="14"/>
  <c r="C50" i="14"/>
  <c r="K50" i="14" s="1"/>
  <c r="K49" i="14" s="1"/>
  <c r="F49" i="14"/>
  <c r="E49" i="14"/>
  <c r="D49" i="14"/>
  <c r="C48" i="14"/>
  <c r="K48" i="14" s="1"/>
  <c r="K47" i="14" s="1"/>
  <c r="K45" i="14" s="1"/>
  <c r="F47" i="14"/>
  <c r="E47" i="14"/>
  <c r="D47" i="14"/>
  <c r="C44" i="14"/>
  <c r="K44" i="14" s="1"/>
  <c r="K43" i="14" s="1"/>
  <c r="K42" i="14" s="1"/>
  <c r="F43" i="14"/>
  <c r="F42" i="14" s="1"/>
  <c r="E43" i="14"/>
  <c r="E42" i="14" s="1"/>
  <c r="D43" i="14"/>
  <c r="C41" i="14"/>
  <c r="K41" i="14" s="1"/>
  <c r="K40" i="14" s="1"/>
  <c r="F40" i="14"/>
  <c r="E40" i="14"/>
  <c r="D40" i="14"/>
  <c r="C39" i="14"/>
  <c r="K39" i="14" s="1"/>
  <c r="K38" i="14" s="1"/>
  <c r="K37" i="14" s="1"/>
  <c r="F38" i="14"/>
  <c r="E38" i="14"/>
  <c r="D38" i="14"/>
  <c r="K111" i="14" l="1"/>
  <c r="K125" i="14"/>
  <c r="N66" i="14"/>
  <c r="K95" i="14"/>
  <c r="K58" i="14"/>
  <c r="K57" i="14" s="1"/>
  <c r="K56" i="14" s="1"/>
  <c r="C57" i="14"/>
  <c r="C56" i="14" s="1"/>
  <c r="C72" i="14"/>
  <c r="C95" i="14"/>
  <c r="F66" i="14"/>
  <c r="F64" i="14" s="1"/>
  <c r="D56" i="14"/>
  <c r="C74" i="14"/>
  <c r="D88" i="14"/>
  <c r="C68" i="14"/>
  <c r="C38" i="14"/>
  <c r="C47" i="14"/>
  <c r="C49" i="14"/>
  <c r="C54" i="14"/>
  <c r="C52" i="14" s="1"/>
  <c r="E88" i="14"/>
  <c r="C109" i="14"/>
  <c r="C60" i="14"/>
  <c r="C59" i="14" s="1"/>
  <c r="D59" i="14"/>
  <c r="C40" i="14"/>
  <c r="C43" i="14"/>
  <c r="C42" i="14" s="1"/>
  <c r="D42" i="14"/>
  <c r="D52" i="14"/>
  <c r="F88" i="14"/>
  <c r="C111" i="14"/>
  <c r="C125" i="14"/>
  <c r="D64" i="14"/>
  <c r="C129" i="14"/>
  <c r="E37" i="14"/>
  <c r="F45" i="14"/>
  <c r="F37" i="14"/>
  <c r="D37" i="14"/>
  <c r="E45" i="14"/>
  <c r="F70" i="14"/>
  <c r="E70" i="14"/>
  <c r="D45" i="14"/>
  <c r="E64" i="14"/>
  <c r="D70" i="14"/>
  <c r="C90" i="14"/>
  <c r="C67" i="14"/>
  <c r="E60" i="5"/>
  <c r="M60" i="5" s="1"/>
  <c r="F60" i="5"/>
  <c r="N60" i="5" s="1"/>
  <c r="G60" i="5"/>
  <c r="O60" i="5" s="1"/>
  <c r="E58" i="5"/>
  <c r="M58" i="5" s="1"/>
  <c r="F58" i="5"/>
  <c r="N58" i="5" s="1"/>
  <c r="G58" i="5"/>
  <c r="O58" i="5" s="1"/>
  <c r="E59" i="5"/>
  <c r="M59" i="5" s="1"/>
  <c r="F59" i="5"/>
  <c r="N59" i="5" s="1"/>
  <c r="G59" i="5"/>
  <c r="O59" i="5" s="1"/>
  <c r="E53" i="5"/>
  <c r="M53" i="5" s="1"/>
  <c r="F53" i="5"/>
  <c r="N53" i="5" s="1"/>
  <c r="G53" i="5"/>
  <c r="O53" i="5" s="1"/>
  <c r="E55" i="5"/>
  <c r="M55" i="5" s="1"/>
  <c r="F55" i="5"/>
  <c r="N55" i="5" s="1"/>
  <c r="G55" i="5"/>
  <c r="O55" i="5" s="1"/>
  <c r="E47" i="5"/>
  <c r="M47" i="5" s="1"/>
  <c r="F47" i="5"/>
  <c r="N47" i="5" s="1"/>
  <c r="G47" i="5"/>
  <c r="O47" i="5" s="1"/>
  <c r="E49" i="5"/>
  <c r="M49" i="5" s="1"/>
  <c r="F49" i="5"/>
  <c r="N49" i="5" s="1"/>
  <c r="G49" i="5"/>
  <c r="O49" i="5" s="1"/>
  <c r="E51" i="5"/>
  <c r="M51" i="5" s="1"/>
  <c r="F51" i="5"/>
  <c r="N51" i="5" s="1"/>
  <c r="G51" i="5"/>
  <c r="O51" i="5" s="1"/>
  <c r="E42" i="5"/>
  <c r="M42" i="5" s="1"/>
  <c r="F42" i="5"/>
  <c r="N42" i="5" s="1"/>
  <c r="G42" i="5"/>
  <c r="O42" i="5" s="1"/>
  <c r="E41" i="5"/>
  <c r="M41" i="5" s="1"/>
  <c r="F41" i="5"/>
  <c r="N41" i="5" s="1"/>
  <c r="G41" i="5"/>
  <c r="O41" i="5" s="1"/>
  <c r="E39" i="5"/>
  <c r="M39" i="5" s="1"/>
  <c r="F39" i="5"/>
  <c r="N39" i="5" s="1"/>
  <c r="G39" i="5"/>
  <c r="O39" i="5" s="1"/>
  <c r="E33" i="5"/>
  <c r="M33" i="5" s="1"/>
  <c r="F33" i="5"/>
  <c r="N33" i="5" s="1"/>
  <c r="G33" i="5"/>
  <c r="O33" i="5" s="1"/>
  <c r="E34" i="5"/>
  <c r="M34" i="5" s="1"/>
  <c r="F34" i="5"/>
  <c r="N34" i="5" s="1"/>
  <c r="G34" i="5"/>
  <c r="O34" i="5" s="1"/>
  <c r="G29" i="5"/>
  <c r="O29" i="5" s="1"/>
  <c r="G31" i="5"/>
  <c r="O31" i="5" s="1"/>
  <c r="E29" i="5"/>
  <c r="M29" i="5" s="1"/>
  <c r="F29" i="5"/>
  <c r="N29" i="5" s="1"/>
  <c r="E31" i="5"/>
  <c r="M31" i="5" s="1"/>
  <c r="F31" i="5"/>
  <c r="N31" i="5" s="1"/>
  <c r="E25" i="5"/>
  <c r="M25" i="5" s="1"/>
  <c r="F25" i="5"/>
  <c r="N25" i="5" s="1"/>
  <c r="G25" i="5"/>
  <c r="O25" i="5" s="1"/>
  <c r="D133" i="10"/>
  <c r="E133" i="10"/>
  <c r="F133" i="10"/>
  <c r="D120" i="10"/>
  <c r="E120" i="10"/>
  <c r="F120" i="10"/>
  <c r="C136" i="10"/>
  <c r="K136" i="10" s="1"/>
  <c r="C135" i="10"/>
  <c r="K135" i="10" s="1"/>
  <c r="C132" i="10"/>
  <c r="K132" i="10" s="1"/>
  <c r="C131" i="10"/>
  <c r="K131" i="10" s="1"/>
  <c r="C130" i="10"/>
  <c r="K130" i="10" s="1"/>
  <c r="C128" i="10"/>
  <c r="K128" i="10" s="1"/>
  <c r="C127" i="10"/>
  <c r="K127" i="10" s="1"/>
  <c r="C126" i="10"/>
  <c r="K126" i="10" s="1"/>
  <c r="C123" i="10"/>
  <c r="K123" i="10" s="1"/>
  <c r="C122" i="10"/>
  <c r="K122" i="10" s="1"/>
  <c r="C118" i="10"/>
  <c r="K118" i="10" s="1"/>
  <c r="D111" i="10"/>
  <c r="E111" i="10"/>
  <c r="F111" i="10"/>
  <c r="D106" i="10"/>
  <c r="E106" i="10"/>
  <c r="F106" i="10"/>
  <c r="C117" i="10"/>
  <c r="K117" i="10" s="1"/>
  <c r="C116" i="10"/>
  <c r="K116" i="10" s="1"/>
  <c r="C115" i="10"/>
  <c r="K115" i="10" s="1"/>
  <c r="C114" i="10"/>
  <c r="K114" i="10" s="1"/>
  <c r="C113" i="10"/>
  <c r="K113" i="10" s="1"/>
  <c r="C110" i="10"/>
  <c r="K110" i="10" s="1"/>
  <c r="C109" i="10"/>
  <c r="K109" i="10" s="1"/>
  <c r="C108" i="10"/>
  <c r="K108" i="10" s="1"/>
  <c r="D97" i="10"/>
  <c r="E97" i="10"/>
  <c r="F97" i="10"/>
  <c r="G27" i="5" s="1"/>
  <c r="O27" i="5" s="1"/>
  <c r="C100" i="10"/>
  <c r="K100" i="10" s="1"/>
  <c r="C101" i="10"/>
  <c r="K101" i="10" s="1"/>
  <c r="C99" i="10"/>
  <c r="K99" i="10" s="1"/>
  <c r="D81" i="10"/>
  <c r="L81" i="10" s="1"/>
  <c r="L79" i="10" s="1"/>
  <c r="L49" i="10" s="1"/>
  <c r="L166" i="10" s="1"/>
  <c r="L169" i="10" s="1"/>
  <c r="K124" i="10" l="1"/>
  <c r="K120" i="10"/>
  <c r="K133" i="10"/>
  <c r="C89" i="14"/>
  <c r="K90" i="14"/>
  <c r="K89" i="14" s="1"/>
  <c r="K88" i="14" s="1"/>
  <c r="C66" i="14"/>
  <c r="K67" i="14"/>
  <c r="K66" i="14" s="1"/>
  <c r="K64" i="14" s="1"/>
  <c r="K35" i="14" s="1"/>
  <c r="N64" i="14"/>
  <c r="K111" i="10"/>
  <c r="K106" i="10"/>
  <c r="K97" i="10"/>
  <c r="F35" i="5"/>
  <c r="F44" i="5"/>
  <c r="N44" i="5" s="1"/>
  <c r="G35" i="5"/>
  <c r="O35" i="5" s="1"/>
  <c r="G44" i="5"/>
  <c r="O44" i="5" s="1"/>
  <c r="C70" i="14"/>
  <c r="F38" i="5"/>
  <c r="N38" i="5" s="1"/>
  <c r="G50" i="5"/>
  <c r="O50" i="5" s="1"/>
  <c r="C37" i="14"/>
  <c r="C45" i="14"/>
  <c r="G38" i="5"/>
  <c r="O38" i="5" s="1"/>
  <c r="F50" i="5"/>
  <c r="N50" i="5" s="1"/>
  <c r="C64" i="14"/>
  <c r="D31" i="5"/>
  <c r="L31" i="5" s="1"/>
  <c r="E38" i="5"/>
  <c r="M38" i="5" s="1"/>
  <c r="D35" i="14"/>
  <c r="D60" i="5"/>
  <c r="L60" i="5" s="1"/>
  <c r="E35" i="14"/>
  <c r="E133" i="14" s="1"/>
  <c r="D55" i="5"/>
  <c r="L55" i="5" s="1"/>
  <c r="E50" i="5"/>
  <c r="M50" i="5" s="1"/>
  <c r="D39" i="5"/>
  <c r="L39" i="5" s="1"/>
  <c r="D49" i="5"/>
  <c r="L49" i="5" s="1"/>
  <c r="E44" i="5"/>
  <c r="M44" i="5" s="1"/>
  <c r="F35" i="14"/>
  <c r="F133" i="14" s="1"/>
  <c r="C106" i="10"/>
  <c r="E96" i="10"/>
  <c r="E35" i="5"/>
  <c r="D96" i="10"/>
  <c r="C111" i="10"/>
  <c r="E27" i="5"/>
  <c r="M27" i="5" s="1"/>
  <c r="F27" i="5"/>
  <c r="N27" i="5" s="1"/>
  <c r="G36" i="5"/>
  <c r="O36" i="5" s="1"/>
  <c r="F96" i="10"/>
  <c r="C120" i="10"/>
  <c r="C133" i="10"/>
  <c r="C97" i="10"/>
  <c r="D89" i="10"/>
  <c r="E89" i="10"/>
  <c r="F89" i="10"/>
  <c r="C93" i="10"/>
  <c r="K93" i="10" s="1"/>
  <c r="C92" i="10"/>
  <c r="K92" i="10" s="1"/>
  <c r="C91" i="10"/>
  <c r="K91" i="10" s="1"/>
  <c r="K89" i="10" s="1"/>
  <c r="C88" i="10"/>
  <c r="K88" i="10" s="1"/>
  <c r="C86" i="10"/>
  <c r="K86" i="10" s="1"/>
  <c r="K84" i="10" s="1"/>
  <c r="D79" i="10"/>
  <c r="E79" i="10"/>
  <c r="F79" i="10"/>
  <c r="C82" i="10"/>
  <c r="K82" i="10" s="1"/>
  <c r="C83" i="10"/>
  <c r="K83" i="10" s="1"/>
  <c r="C81" i="10"/>
  <c r="K81" i="10" s="1"/>
  <c r="E75" i="10"/>
  <c r="C78" i="10"/>
  <c r="K78" i="10" s="1"/>
  <c r="K119" i="10" l="1"/>
  <c r="K133" i="14"/>
  <c r="N35" i="14"/>
  <c r="K96" i="10"/>
  <c r="K79" i="10"/>
  <c r="E36" i="5"/>
  <c r="M36" i="5" s="1"/>
  <c r="M35" i="5"/>
  <c r="F36" i="5"/>
  <c r="N36" i="5" s="1"/>
  <c r="N35" i="5"/>
  <c r="D35" i="5"/>
  <c r="L35" i="5" s="1"/>
  <c r="D38" i="5"/>
  <c r="L38" i="5" s="1"/>
  <c r="C35" i="14"/>
  <c r="D59" i="5"/>
  <c r="L59" i="5" s="1"/>
  <c r="D50" i="5"/>
  <c r="L50" i="5" s="1"/>
  <c r="D44" i="5"/>
  <c r="L44" i="5" s="1"/>
  <c r="D133" i="14"/>
  <c r="C88" i="14"/>
  <c r="F48" i="5"/>
  <c r="E43" i="5"/>
  <c r="M43" i="5" s="1"/>
  <c r="G48" i="5"/>
  <c r="E54" i="5"/>
  <c r="M54" i="5" s="1"/>
  <c r="F43" i="5"/>
  <c r="N43" i="5" s="1"/>
  <c r="F54" i="5"/>
  <c r="N54" i="5" s="1"/>
  <c r="F37" i="5"/>
  <c r="G43" i="5"/>
  <c r="O43" i="5" s="1"/>
  <c r="E48" i="5"/>
  <c r="G54" i="5"/>
  <c r="O54" i="5" s="1"/>
  <c r="C96" i="10"/>
  <c r="D27" i="5"/>
  <c r="L27" i="5" s="1"/>
  <c r="C84" i="10"/>
  <c r="C89" i="10"/>
  <c r="C79" i="10"/>
  <c r="D124" i="10"/>
  <c r="E124" i="10"/>
  <c r="F124" i="10"/>
  <c r="C124" i="10"/>
  <c r="N133" i="14" l="1"/>
  <c r="F40" i="5"/>
  <c r="N40" i="5" s="1"/>
  <c r="N37" i="5"/>
  <c r="G52" i="5"/>
  <c r="O52" i="5" s="1"/>
  <c r="O48" i="5"/>
  <c r="E52" i="5"/>
  <c r="M52" i="5" s="1"/>
  <c r="M48" i="5"/>
  <c r="F52" i="5"/>
  <c r="N52" i="5" s="1"/>
  <c r="N48" i="5"/>
  <c r="D54" i="5"/>
  <c r="L54" i="5" s="1"/>
  <c r="C133" i="14"/>
  <c r="D43" i="5"/>
  <c r="L43" i="5" s="1"/>
  <c r="D48" i="5"/>
  <c r="L48" i="5" s="1"/>
  <c r="D119" i="10"/>
  <c r="E45" i="5"/>
  <c r="E119" i="10"/>
  <c r="F45" i="5"/>
  <c r="C119" i="10"/>
  <c r="D45" i="5"/>
  <c r="L45" i="5" s="1"/>
  <c r="F119" i="10"/>
  <c r="G45" i="5"/>
  <c r="D34" i="5"/>
  <c r="L34" i="5" s="1"/>
  <c r="G46" i="5" l="1"/>
  <c r="O46" i="5" s="1"/>
  <c r="O45" i="5"/>
  <c r="F46" i="5"/>
  <c r="N46" i="5" s="1"/>
  <c r="N45" i="5"/>
  <c r="E46" i="5"/>
  <c r="M46" i="5" s="1"/>
  <c r="M45" i="5"/>
  <c r="D75" i="10"/>
  <c r="C77" i="10"/>
  <c r="K77" i="10" s="1"/>
  <c r="K75" i="10" s="1"/>
  <c r="F75" i="10"/>
  <c r="D61" i="10"/>
  <c r="E61" i="10"/>
  <c r="F61" i="10"/>
  <c r="C64" i="10"/>
  <c r="K64" i="10" s="1"/>
  <c r="C65" i="10"/>
  <c r="K65" i="10" s="1"/>
  <c r="C63" i="10"/>
  <c r="K63" i="10" s="1"/>
  <c r="C70" i="10"/>
  <c r="K70" i="10" s="1"/>
  <c r="C68" i="10"/>
  <c r="K68" i="10" l="1"/>
  <c r="K66" i="10" s="1"/>
  <c r="C66" i="10"/>
  <c r="K61" i="10"/>
  <c r="C75" i="10"/>
  <c r="C94" i="10"/>
  <c r="E30" i="5"/>
  <c r="D94" i="10"/>
  <c r="F30" i="5"/>
  <c r="G37" i="5"/>
  <c r="E37" i="5"/>
  <c r="E94" i="10"/>
  <c r="G30" i="5"/>
  <c r="E26" i="5"/>
  <c r="F94" i="10"/>
  <c r="F26" i="5"/>
  <c r="G26" i="5"/>
  <c r="C61" i="10"/>
  <c r="F140" i="10"/>
  <c r="N140" i="10" s="1"/>
  <c r="N138" i="10" s="1"/>
  <c r="N137" i="10" s="1"/>
  <c r="N166" i="10" s="1"/>
  <c r="N169" i="10" s="1"/>
  <c r="C141" i="10"/>
  <c r="K141" i="10" s="1"/>
  <c r="C142" i="10"/>
  <c r="K142" i="10" s="1"/>
  <c r="C144" i="10"/>
  <c r="K144" i="10" s="1"/>
  <c r="G40" i="5" l="1"/>
  <c r="O40" i="5" s="1"/>
  <c r="O37" i="5"/>
  <c r="F28" i="5"/>
  <c r="N28" i="5" s="1"/>
  <c r="N26" i="5"/>
  <c r="E40" i="5"/>
  <c r="M40" i="5" s="1"/>
  <c r="M37" i="5"/>
  <c r="E32" i="5"/>
  <c r="M32" i="5" s="1"/>
  <c r="M30" i="5"/>
  <c r="E28" i="5"/>
  <c r="M28" i="5" s="1"/>
  <c r="M26" i="5"/>
  <c r="G28" i="5"/>
  <c r="O28" i="5" s="1"/>
  <c r="O26" i="5"/>
  <c r="G32" i="5"/>
  <c r="O32" i="5" s="1"/>
  <c r="O30" i="5"/>
  <c r="F32" i="5"/>
  <c r="N32" i="5" s="1"/>
  <c r="N30" i="5"/>
  <c r="D37" i="5"/>
  <c r="D30" i="5"/>
  <c r="L30" i="5" s="1"/>
  <c r="D26" i="5"/>
  <c r="C140" i="10"/>
  <c r="K140" i="10" s="1"/>
  <c r="C60" i="10"/>
  <c r="K60" i="10" s="1"/>
  <c r="C56" i="10"/>
  <c r="K56" i="10" s="1"/>
  <c r="D50" i="10"/>
  <c r="E50" i="10"/>
  <c r="F50" i="10"/>
  <c r="C53" i="10"/>
  <c r="K53" i="10" s="1"/>
  <c r="C52" i="10"/>
  <c r="K52" i="10" s="1"/>
  <c r="C16" i="10"/>
  <c r="C17" i="10"/>
  <c r="K17" i="10" s="1"/>
  <c r="C18" i="10"/>
  <c r="K18" i="10" s="1"/>
  <c r="C19" i="10"/>
  <c r="K19" i="10" s="1"/>
  <c r="C15" i="10"/>
  <c r="K15" i="10" s="1"/>
  <c r="E19" i="5"/>
  <c r="M19" i="5" s="1"/>
  <c r="F19" i="5"/>
  <c r="N19" i="5" s="1"/>
  <c r="G19" i="5"/>
  <c r="O19" i="5" s="1"/>
  <c r="D19" i="5"/>
  <c r="L19" i="5" s="1"/>
  <c r="K50" i="10" l="1"/>
  <c r="K16" i="10"/>
  <c r="D28" i="5"/>
  <c r="L28" i="5" s="1"/>
  <c r="L26" i="5"/>
  <c r="D40" i="5"/>
  <c r="L40" i="5" s="1"/>
  <c r="L37" i="5"/>
  <c r="D25" i="5"/>
  <c r="L25" i="5" s="1"/>
  <c r="G20" i="5"/>
  <c r="O20" i="5" s="1"/>
  <c r="E20" i="5"/>
  <c r="M20" i="5" s="1"/>
  <c r="C50" i="10"/>
  <c r="F20" i="5"/>
  <c r="N20" i="5" s="1"/>
  <c r="D159" i="10"/>
  <c r="E159" i="10"/>
  <c r="F159" i="10"/>
  <c r="F152" i="10" s="1"/>
  <c r="C163" i="10"/>
  <c r="K163" i="10" s="1"/>
  <c r="C155" i="10"/>
  <c r="K155" i="10" s="1"/>
  <c r="C156" i="10"/>
  <c r="K156" i="10" s="1"/>
  <c r="C157" i="10"/>
  <c r="K157" i="10" s="1"/>
  <c r="C158" i="10"/>
  <c r="K158" i="10" s="1"/>
  <c r="C160" i="10"/>
  <c r="K160" i="10" s="1"/>
  <c r="C161" i="10"/>
  <c r="K161" i="10" s="1"/>
  <c r="C162" i="10"/>
  <c r="K162" i="10" s="1"/>
  <c r="C164" i="10"/>
  <c r="K164" i="10" s="1"/>
  <c r="C165" i="10"/>
  <c r="K165" i="10" s="1"/>
  <c r="C154" i="10"/>
  <c r="K154" i="10" s="1"/>
  <c r="K159" i="10" l="1"/>
  <c r="K152" i="10" s="1"/>
  <c r="D51" i="5"/>
  <c r="L51" i="5" s="1"/>
  <c r="G61" i="5"/>
  <c r="D152" i="10"/>
  <c r="E152" i="10"/>
  <c r="D20" i="5"/>
  <c r="L20" i="5" s="1"/>
  <c r="C159" i="10"/>
  <c r="C23" i="9"/>
  <c r="G62" i="5" l="1"/>
  <c r="O62" i="5" s="1"/>
  <c r="O61" i="5"/>
  <c r="F61" i="5"/>
  <c r="E61" i="5"/>
  <c r="C152" i="10"/>
  <c r="D57" i="10"/>
  <c r="E57" i="10"/>
  <c r="E54" i="10" s="1"/>
  <c r="F57" i="10"/>
  <c r="F54" i="10" s="1"/>
  <c r="C59" i="10"/>
  <c r="K59" i="10" s="1"/>
  <c r="K57" i="10" s="1"/>
  <c r="K54" i="10" s="1"/>
  <c r="K49" i="10" s="1"/>
  <c r="C23" i="10"/>
  <c r="K23" i="10" s="1"/>
  <c r="C24" i="10"/>
  <c r="K24" i="10" s="1"/>
  <c r="C25" i="10"/>
  <c r="K25" i="10" s="1"/>
  <c r="C26" i="10"/>
  <c r="K26" i="10" s="1"/>
  <c r="C27" i="10"/>
  <c r="K27" i="10" s="1"/>
  <c r="C28" i="10"/>
  <c r="K28" i="10" s="1"/>
  <c r="C29" i="10"/>
  <c r="K29" i="10" s="1"/>
  <c r="C30" i="10"/>
  <c r="K30" i="10" s="1"/>
  <c r="C31" i="10"/>
  <c r="K31" i="10" s="1"/>
  <c r="C32" i="10"/>
  <c r="K32" i="10" s="1"/>
  <c r="C33" i="10"/>
  <c r="K33" i="10" s="1"/>
  <c r="C34" i="10"/>
  <c r="K34" i="10" s="1"/>
  <c r="C35" i="10"/>
  <c r="K35" i="10" s="1"/>
  <c r="C36" i="10"/>
  <c r="K36" i="10" s="1"/>
  <c r="C37" i="10"/>
  <c r="K37" i="10" s="1"/>
  <c r="C38" i="10"/>
  <c r="K38" i="10" s="1"/>
  <c r="C39" i="10"/>
  <c r="K39" i="10" s="1"/>
  <c r="C42" i="10"/>
  <c r="K42" i="10" s="1"/>
  <c r="C43" i="10"/>
  <c r="K43" i="10" s="1"/>
  <c r="C44" i="10"/>
  <c r="K44" i="10" s="1"/>
  <c r="C45" i="10"/>
  <c r="K45" i="10" s="1"/>
  <c r="C46" i="10"/>
  <c r="K46" i="10" s="1"/>
  <c r="C47" i="10"/>
  <c r="K47" i="10" s="1"/>
  <c r="C48" i="10"/>
  <c r="K48" i="10" s="1"/>
  <c r="C22" i="10"/>
  <c r="K22" i="10" s="1"/>
  <c r="D20" i="10"/>
  <c r="D13" i="10" s="1"/>
  <c r="E20" i="10"/>
  <c r="E13" i="10" s="1"/>
  <c r="F20" i="10"/>
  <c r="F13" i="10" s="1"/>
  <c r="K20" i="10" l="1"/>
  <c r="K13" i="10" s="1"/>
  <c r="E62" i="5"/>
  <c r="M62" i="5" s="1"/>
  <c r="M61" i="5"/>
  <c r="F62" i="5"/>
  <c r="N62" i="5" s="1"/>
  <c r="N61" i="5"/>
  <c r="D61" i="5"/>
  <c r="L61" i="5" s="1"/>
  <c r="D54" i="10"/>
  <c r="C57" i="10"/>
  <c r="C54" i="10" s="1"/>
  <c r="D58" i="5"/>
  <c r="L58" i="5" s="1"/>
  <c r="D41" i="5"/>
  <c r="L41" i="5" s="1"/>
  <c r="D42" i="5"/>
  <c r="E49" i="10"/>
  <c r="F22" i="5"/>
  <c r="N22" i="5" s="1"/>
  <c r="D47" i="5"/>
  <c r="D29" i="5"/>
  <c r="F49" i="10"/>
  <c r="G22" i="5"/>
  <c r="O22" i="5" s="1"/>
  <c r="D53" i="5"/>
  <c r="L53" i="5" s="1"/>
  <c r="D33" i="5"/>
  <c r="C20" i="10"/>
  <c r="C13" i="10" s="1"/>
  <c r="C15" i="9"/>
  <c r="E15" i="9" s="1"/>
  <c r="E14" i="9" s="1"/>
  <c r="D145" i="10"/>
  <c r="E145" i="10"/>
  <c r="F145" i="10"/>
  <c r="C148" i="10"/>
  <c r="K148" i="10" s="1"/>
  <c r="C149" i="10"/>
  <c r="K149" i="10" s="1"/>
  <c r="C150" i="10"/>
  <c r="K150" i="10" s="1"/>
  <c r="C151" i="10"/>
  <c r="K151" i="10" s="1"/>
  <c r="C143" i="10"/>
  <c r="K143" i="10" s="1"/>
  <c r="C147" i="10"/>
  <c r="K147" i="10" s="1"/>
  <c r="D9" i="10"/>
  <c r="E9" i="10"/>
  <c r="F9" i="10"/>
  <c r="C11" i="10"/>
  <c r="K11" i="10" s="1"/>
  <c r="K9" i="10" s="1"/>
  <c r="K8" i="10" s="1"/>
  <c r="K145" i="10" l="1"/>
  <c r="K138" i="10" s="1"/>
  <c r="K137" i="10" s="1"/>
  <c r="K12" i="10"/>
  <c r="D46" i="5"/>
  <c r="L46" i="5" s="1"/>
  <c r="L42" i="5"/>
  <c r="D52" i="5"/>
  <c r="L52" i="5" s="1"/>
  <c r="L47" i="5"/>
  <c r="D36" i="5"/>
  <c r="L36" i="5" s="1"/>
  <c r="L33" i="5"/>
  <c r="D32" i="5"/>
  <c r="L32" i="5" s="1"/>
  <c r="L29" i="5"/>
  <c r="D49" i="10"/>
  <c r="D22" i="5"/>
  <c r="L22" i="5" s="1"/>
  <c r="C49" i="10"/>
  <c r="E22" i="5"/>
  <c r="M22" i="5" s="1"/>
  <c r="D62" i="5"/>
  <c r="L62" i="5" s="1"/>
  <c r="F8" i="10"/>
  <c r="G23" i="5"/>
  <c r="O23" i="5" s="1"/>
  <c r="E12" i="10"/>
  <c r="F21" i="5"/>
  <c r="N21" i="5" s="1"/>
  <c r="D12" i="10"/>
  <c r="E21" i="5"/>
  <c r="M21" i="5" s="1"/>
  <c r="F12" i="10"/>
  <c r="G21" i="5"/>
  <c r="O21" i="5" s="1"/>
  <c r="D8" i="10"/>
  <c r="E23" i="5"/>
  <c r="M23" i="5" s="1"/>
  <c r="E8" i="10"/>
  <c r="F23" i="5"/>
  <c r="N23" i="5" s="1"/>
  <c r="F138" i="10"/>
  <c r="C9" i="10"/>
  <c r="D138" i="10"/>
  <c r="E138" i="10"/>
  <c r="C145" i="10"/>
  <c r="C67" i="9"/>
  <c r="E67" i="9" s="1"/>
  <c r="C69" i="9"/>
  <c r="C68" i="9" s="1"/>
  <c r="C62" i="9"/>
  <c r="E62" i="9" s="1"/>
  <c r="E57" i="9" s="1"/>
  <c r="E72" i="9" s="1"/>
  <c r="C46" i="9"/>
  <c r="K166" i="10" l="1"/>
  <c r="K169" i="10" s="1"/>
  <c r="C22" i="9"/>
  <c r="C57" i="9"/>
  <c r="C138" i="10"/>
  <c r="E24" i="5"/>
  <c r="M24" i="5" s="1"/>
  <c r="C8" i="10"/>
  <c r="D23" i="5"/>
  <c r="L23" i="5" s="1"/>
  <c r="E137" i="10"/>
  <c r="E166" i="10" s="1"/>
  <c r="E169" i="10" s="1"/>
  <c r="F56" i="5"/>
  <c r="D137" i="10"/>
  <c r="E56" i="5"/>
  <c r="F137" i="10"/>
  <c r="F166" i="10" s="1"/>
  <c r="F169" i="10" s="1"/>
  <c r="G56" i="5"/>
  <c r="C12" i="10"/>
  <c r="D21" i="5"/>
  <c r="L21" i="5" s="1"/>
  <c r="G24" i="5"/>
  <c r="O24" i="5" s="1"/>
  <c r="F24" i="5"/>
  <c r="N24" i="5" s="1"/>
  <c r="C14" i="9"/>
  <c r="F57" i="5" l="1"/>
  <c r="N57" i="5" s="1"/>
  <c r="N63" i="5" s="1"/>
  <c r="N56" i="5"/>
  <c r="G57" i="5"/>
  <c r="O57" i="5" s="1"/>
  <c r="O63" i="5" s="1"/>
  <c r="O56" i="5"/>
  <c r="E57" i="5"/>
  <c r="M57" i="5" s="1"/>
  <c r="M63" i="5" s="1"/>
  <c r="M56" i="5"/>
  <c r="D56" i="5"/>
  <c r="C137" i="10"/>
  <c r="C166" i="10" s="1"/>
  <c r="C169" i="10" s="1"/>
  <c r="D166" i="10"/>
  <c r="D169" i="10" s="1"/>
  <c r="C20" i="9"/>
  <c r="C72" i="9" s="1"/>
  <c r="D24" i="5"/>
  <c r="L24" i="5" s="1"/>
  <c r="F63" i="5" l="1"/>
  <c r="G63" i="5"/>
  <c r="G66" i="5" s="1"/>
  <c r="O66" i="5" s="1"/>
  <c r="E63" i="5"/>
  <c r="D57" i="5"/>
  <c r="L57" i="5" s="1"/>
  <c r="L63" i="5" s="1"/>
  <c r="L56" i="5"/>
  <c r="A9" i="10"/>
  <c r="F66" i="5" l="1"/>
  <c r="N66" i="5" s="1"/>
  <c r="D63" i="5"/>
  <c r="D66" i="5" s="1"/>
  <c r="L66" i="5" s="1"/>
  <c r="E66" i="5"/>
  <c r="M66" i="5" s="1"/>
</calcChain>
</file>

<file path=xl/sharedStrings.xml><?xml version="1.0" encoding="utf-8"?>
<sst xmlns="http://schemas.openxmlformats.org/spreadsheetml/2006/main" count="522" uniqueCount="248">
  <si>
    <t>Eil. Nr.</t>
  </si>
  <si>
    <t>Iš viso</t>
  </si>
  <si>
    <t>iš jų:</t>
  </si>
  <si>
    <t>Savivaldybės administracija</t>
  </si>
  <si>
    <t>Miesto ūkio departamentas</t>
  </si>
  <si>
    <t>Ugdymo ir kultūros departamentas</t>
  </si>
  <si>
    <t>Socialinių reikalų departamentas</t>
  </si>
  <si>
    <t>PAJAMOS</t>
  </si>
  <si>
    <t>Pavadinimas</t>
  </si>
  <si>
    <t xml:space="preserve">Gyventojų pajamų mokestis </t>
  </si>
  <si>
    <t>Žemės mokestis</t>
  </si>
  <si>
    <t>Paveldimo turto mokestis</t>
  </si>
  <si>
    <t>Nekilnojamojo turto mokestis</t>
  </si>
  <si>
    <t>Mokestis už aplinkos teršimą</t>
  </si>
  <si>
    <t>Valstybės rinkliavos</t>
  </si>
  <si>
    <t>Vietinės rinkliavos</t>
  </si>
  <si>
    <t>Duomenų teikimas Suteiktos valstybės pagalbos registrui</t>
  </si>
  <si>
    <t xml:space="preserve">Dalyvavimas rengiant ir vykdant mobilizaciją </t>
  </si>
  <si>
    <t>Valstybinės kalbos vartojimo ir taisyklingumo kontrolė</t>
  </si>
  <si>
    <t>Civilinės būklės aktų registravimas</t>
  </si>
  <si>
    <t>Civilinės saugos organizavimas</t>
  </si>
  <si>
    <t>Gyventojų registro tvarkymas ir duomenų valstybės registrui teikimas</t>
  </si>
  <si>
    <t xml:space="preserve">Socialinės paslaugos </t>
  </si>
  <si>
    <t>Socialinėms išmokoms ir kompensacijoms skaičiuoti ir mokėti</t>
  </si>
  <si>
    <t>Socialinė parama mokiniams</t>
  </si>
  <si>
    <t>socialinės apsaugos</t>
  </si>
  <si>
    <t>Savivaldybių mokykloms (klasėms), turinčioms specialiųjų ugdymosi poreikio mokinių, finansuoti</t>
  </si>
  <si>
    <t>Dividendai</t>
  </si>
  <si>
    <t xml:space="preserve">Mokesčiai už valstybinius gamtos išteklius </t>
  </si>
  <si>
    <t>Pajamos už prekes ir paslaugas</t>
  </si>
  <si>
    <t>Įmokos už išlaikymą švietimo, socialinės apsaugos ir kitose įstaigose</t>
  </si>
  <si>
    <t>ASIGNAVIMAI</t>
  </si>
  <si>
    <t>Asignavimų valdytojas / programos pavadinimas</t>
  </si>
  <si>
    <t>išlaidoms</t>
  </si>
  <si>
    <t>turtui įsigyti</t>
  </si>
  <si>
    <t>iš viso</t>
  </si>
  <si>
    <t>iš jų darbo užmokes-čiui</t>
  </si>
  <si>
    <t>Savivaldybės kontrolės ir audito  tarnyba</t>
  </si>
  <si>
    <t>Savivaldybės valdymo  programa</t>
  </si>
  <si>
    <t>Savivaldybės tarybos aptarnavimas (savivaldybės biudžeto lėšos)</t>
  </si>
  <si>
    <t>Savivaldybės sekretoriato aptarnavimas (savivaldybės biudžeto lėšos)</t>
  </si>
  <si>
    <t>Savivaldybės administracijos veiklos užtikrinimas ir kitų priemonių vykdymas (savivaldybės biudžeto lėšos)</t>
  </si>
  <si>
    <t xml:space="preserve">Savivaldybės administracijos direktoriaus rezervas (savivaldybės biudžeto lėšos) </t>
  </si>
  <si>
    <t>Savivaldybės valdymo  programa (asignavimų valdytojo pajamų įmokos)</t>
  </si>
  <si>
    <t>Savivaldybės valdymo  programa (specialios tikslinės dotacijos valstybinėms (valstybės perduotoms savivaldybėms) funkcijoms atlikti lėšos)</t>
  </si>
  <si>
    <t>Jaunimo teisių apsauga</t>
  </si>
  <si>
    <t xml:space="preserve">Socialinių paslaugų administravimas </t>
  </si>
  <si>
    <t>Socialinėms išmokoms ir kompensacijoms skaičiuoti ir mokėti administravimas</t>
  </si>
  <si>
    <t>Socialinės paramos mokiniams administravimas</t>
  </si>
  <si>
    <t>Investicijų ir ekonomikos departamentas</t>
  </si>
  <si>
    <t>Savivaldybės valdymo  programa (savivaldybės biudžeto lėšos)</t>
  </si>
  <si>
    <t xml:space="preserve">Aplinkos apsaugos programa </t>
  </si>
  <si>
    <t>Aplinkos apsaugos programa (savivaldybės biudžeto lėšos)</t>
  </si>
  <si>
    <t>Aplinkos apsaugos rėmimo specialioji programa</t>
  </si>
  <si>
    <t>Miesto infrastruktūros objektų priežiūros ir modernizavimo programa (savivaldybės biudžeto lėšos)</t>
  </si>
  <si>
    <t xml:space="preserve">Ugdymo proceso užtikrinimo programa </t>
  </si>
  <si>
    <t>Ugdymo proceso užtikrinimo programa (savivaldybės biudžeto lėšos)</t>
  </si>
  <si>
    <t xml:space="preserve">Kūno kultūros ir sporto plėtros programa </t>
  </si>
  <si>
    <t xml:space="preserve">Kūno kultūros ir sporto plėtros programa (savivaldybės biudžeto lėšos) </t>
  </si>
  <si>
    <t>Socialinės atskirties mažinimo programa (savivaldybės biudžeto lėšos)</t>
  </si>
  <si>
    <t>Urbanistinės plėtros departamentas</t>
  </si>
  <si>
    <t>Aplinkos apsaugos programa</t>
  </si>
  <si>
    <t xml:space="preserve">Miesto infrastruktūros objektų priežiūros ir modernizavimo programa </t>
  </si>
  <si>
    <t>Miesto infrastruktūros objektų priežiūros ir modernizavimo programa (asignavimų valdytojo pajamų įmokos)</t>
  </si>
  <si>
    <t>Ugdymo proceso užtikrinimo programa (specialios tikslinės dotacijos savivaldybėms perduotoms įstaigoms išlaikyti lėšos)</t>
  </si>
  <si>
    <t>Ugdymo proceso užtikrinimo programa</t>
  </si>
  <si>
    <t>Ugdymo proceso užtikrinimo programa  (savivaldybės biudžeto lėšos)</t>
  </si>
  <si>
    <t>Ugdymo proceso užtikrinimo programa (specialios tikslinės dotacijos savivaldybių mokykloms (klasėms), turinčioms specialiųjų ugdymosi poreikio mokinių, finansuoti lėšos)</t>
  </si>
  <si>
    <t>Ugdymo proceso užtikrinimo programa (asignavimų valdytojo pajamų įmokos)</t>
  </si>
  <si>
    <t>Kūno kultūros ir sporto plėtros programa</t>
  </si>
  <si>
    <t>Kūno kultūros ir sporto plėtros programa (savivaldybės biudžeto lėšos)</t>
  </si>
  <si>
    <t>Kūno kultūros ir sporto plėtros programa (asignavimų valdytojo pajamų įmokos)</t>
  </si>
  <si>
    <t>Socialinės atskirties mažinimo programa</t>
  </si>
  <si>
    <t>Socialinės atskirties mažinimo programa (specialios tikslinės dotacijos valstybinėms (valstybės perduotoms savivaldybėms) funkcijoms atlikti lėšos)</t>
  </si>
  <si>
    <t>Socialinėms išmokoms ir kompensacijoms mokėti</t>
  </si>
  <si>
    <t>Socialinės atskirties mažinimo programa (specialios tikslinės dotacijos savivaldybėms perduotoms įstaigoms išlaikyti lėšos)</t>
  </si>
  <si>
    <t>Socialinės atskirties mažinimo programa (asignavimų valdytojo pajamų įmokos)</t>
  </si>
  <si>
    <t>Socialinės atskirties mažinimo programa (asignavimų valdytojo pajamų už gyvenamųjų patalpų nuomą įmokos)</t>
  </si>
  <si>
    <t>Sveikatos apsaugos programa</t>
  </si>
  <si>
    <t>Sveikatos apsaugos programa (specialios tikslinės dotacijos valstybinėms (valstybės perduotoms savivaldybėms) funkcijoms atlikti lėšos)</t>
  </si>
  <si>
    <t>Visuomenės sveikatos rėmimo specialioji programa</t>
  </si>
  <si>
    <t>Visuomenės sveikatos rėmimo specialioji programa (savivaldybės biudžeto lėšos)</t>
  </si>
  <si>
    <t xml:space="preserve">Iš viso </t>
  </si>
  <si>
    <t xml:space="preserve">                       Klaipėdos miesto savivaldybės tarybos</t>
  </si>
  <si>
    <t xml:space="preserve">                       2 priedas</t>
  </si>
  <si>
    <t>Programos pavadinimas</t>
  </si>
  <si>
    <t>Asignavimų valdytojas</t>
  </si>
  <si>
    <t>Smulkiojo ir vidutinio verslo plėtros programa</t>
  </si>
  <si>
    <t>Susisiekimo sistemos priežiūros ir plėtros programa</t>
  </si>
  <si>
    <t xml:space="preserve">                                                            Klaipėdos miesto savivaldybės tarybos</t>
  </si>
  <si>
    <t xml:space="preserve">                                                            1 priedas</t>
  </si>
  <si>
    <t>Klaipėdos miesto savivaldybės tarybos</t>
  </si>
  <si>
    <t>14.</t>
  </si>
  <si>
    <t>1.</t>
  </si>
  <si>
    <t>Miesto urbanistinio planavimo programa</t>
  </si>
  <si>
    <t>Iš viso programai</t>
  </si>
  <si>
    <t>2.</t>
  </si>
  <si>
    <t>Subalansuoto turizmo skatinimo ir vystymo programa</t>
  </si>
  <si>
    <t>3.</t>
  </si>
  <si>
    <t>5.</t>
  </si>
  <si>
    <t>6.</t>
  </si>
  <si>
    <t>7.</t>
  </si>
  <si>
    <t>9.</t>
  </si>
  <si>
    <t>Jaunimo politikos plėtros programa</t>
  </si>
  <si>
    <t>10.</t>
  </si>
  <si>
    <t>11.</t>
  </si>
  <si>
    <t>12.</t>
  </si>
  <si>
    <t xml:space="preserve">Iš viso: </t>
  </si>
  <si>
    <t>8.</t>
  </si>
  <si>
    <t>Gyvenamosios vietos deklaravimo ir gyvenamosios vietos neturinčių asmenų apskaitos duomenų tvarkymas</t>
  </si>
  <si>
    <t xml:space="preserve">Aplinkos apsaugos programa (savivaldybės biudžeto lėšos) </t>
  </si>
  <si>
    <t>Sveikatos apsaugos programa  (savivaldybės biudžeto lėšos)</t>
  </si>
  <si>
    <t>Sveikatos apsaugos programa (asignavimų valdytojo pajamų įmokos)</t>
  </si>
  <si>
    <t>Savivaldybei priskirtų archyvinių dokumentų tvarkymas</t>
  </si>
  <si>
    <t>Žemės ūkio funkcijoms atlikti</t>
  </si>
  <si>
    <t>Nuomos mokestis už valstybinę žemę</t>
  </si>
  <si>
    <t>Tūkst. Eur</t>
  </si>
  <si>
    <t>Iš viso:</t>
  </si>
  <si>
    <t xml:space="preserve">        Tūkst. Eur</t>
  </si>
  <si>
    <t>1. Asignavimų valdytojų pajamų įmokų likučio metų pradžioje lėšos</t>
  </si>
  <si>
    <t xml:space="preserve">Ugdymo ir kultūros departamentas </t>
  </si>
  <si>
    <t>2. Tikslinės paskirties lėšų likučio metų pradžioje lėšos</t>
  </si>
  <si>
    <t>2.1. Aplinkos apsaugos rėmimo specialiosios programos lėšų likučio metų pradžioje lėšos</t>
  </si>
  <si>
    <t xml:space="preserve">2.3. Vietinės rinkliavos už komunalinių atliekų surinkimą iš atliekų turėtojų ir atliekų tvarkytojų lėšų likučio metų pradžioje lėšos </t>
  </si>
  <si>
    <t xml:space="preserve">Miesto urbanistinio planavimo programa </t>
  </si>
  <si>
    <t>2.2. Visuomenės sveikatos rėmimo specialiosios programos lėšų likučio metų pradžioje lėšos</t>
  </si>
  <si>
    <t>3. Savivaldybės biudžeto lėšų likučio metų pradžioje lėšos</t>
  </si>
  <si>
    <t>Miesto infrastruktūros objektų priežiūros ir modernizavimo programa</t>
  </si>
  <si>
    <t>Kitos neišvardytos pajamos</t>
  </si>
  <si>
    <t>Finansavimo šaltinis / asignavimų valdytojas / programos pavadinimas</t>
  </si>
  <si>
    <t>Neveiksnių asmenų būklės peržiūrėjimui užtikrinti</t>
  </si>
  <si>
    <t xml:space="preserve">Savivaldybės valdymo  programa  </t>
  </si>
  <si>
    <t>Kultūros plėtros programa (savivaldybės biudžeto lėšos)</t>
  </si>
  <si>
    <t xml:space="preserve">Kultūros plėtros programa </t>
  </si>
  <si>
    <t>Kultūros plėtros programa (asignavimų valdytojo pajamų įmokos)</t>
  </si>
  <si>
    <t>Subalansuoto turizmo skatinimo ir vystymo programa  (savivaldybės biudžeto lėšos)</t>
  </si>
  <si>
    <t xml:space="preserve">Subalansuoto turizmo skatinimo ir vystymo programa </t>
  </si>
  <si>
    <t xml:space="preserve">Socialinės atskirties mažinimo programa </t>
  </si>
  <si>
    <t>iš jų kreditiniam įsiskolinimui dengti</t>
  </si>
  <si>
    <t>13.</t>
  </si>
  <si>
    <t>4.</t>
  </si>
  <si>
    <t>Pajamos už ilgalaikio ir trumpalaikio materialiojo turto nuomą</t>
  </si>
  <si>
    <t>Žemės realizavimo pajamos</t>
  </si>
  <si>
    <t>Pastatų ir statinių realizavimo pajamos</t>
  </si>
  <si>
    <t>Savivaldybių patvirtintoms užimtumo didinimo programoms įgyvendinti</t>
  </si>
  <si>
    <t>Valstybės garantuojamos pirminės teisinės pagalbos teikimas</t>
  </si>
  <si>
    <t xml:space="preserve">Būsto nuomos mokesčio daliai kompensuoti </t>
  </si>
  <si>
    <t xml:space="preserve">2.6. Vietinės rinkliavos už leidimo prekiauti ar teikti paslaugas miesto viešosiose vietose išdavimą lėšų  likučio metų pradžioje lėšos </t>
  </si>
  <si>
    <t>Savivaldybių patvirtintoms užimtumo didinimo programoms įgyvendinti administravimas</t>
  </si>
  <si>
    <t>Būsto nuomos mokesčio daliai kompensuoti administravimas</t>
  </si>
  <si>
    <t>Stiprinti sveikos gyvensenos įgūdžius bendruomenėse bei vykdyti visuomenės sveikatos stebėseną savivaldybėse</t>
  </si>
  <si>
    <t>Plėtoti sveiką gyvenseną ir stiprinti mokinių sveikatos įgūdžius ugdymo įstaigose</t>
  </si>
  <si>
    <t>Savivaldybės valdymo  programa (specialios tikslinės dotacijos savivaldybėms perduotoms įstaigoms išlaikyti lėšos)</t>
  </si>
  <si>
    <t xml:space="preserve">Europos Sąjungos finansinės paramos ir bendrojo finansavimo lėšos </t>
  </si>
  <si>
    <t>Susisiekimo sistemos priežiūros ir plėtros programa (savivaldybės biudžeto lėšos)</t>
  </si>
  <si>
    <t>Sveikatos apsaugos programa (Europos Sąjungos finansinės paramos ir bendrojo finansavimo lėšos)</t>
  </si>
  <si>
    <t>Socialinės atskirties mažinimo programa (Europos Sąjungos finansinės paramos ir bendrojo finansavimo lėšos)</t>
  </si>
  <si>
    <t>Ugdymo proceso užtikrinimo programa (Europos Sąjungos finansinės paramos ir bendrojo finansavimo lėšos)</t>
  </si>
  <si>
    <t>Kūno kultūros ir sporto plėtros programa (Europos Sąjungos finansinės paramos ir bendrojo finansavimo lėšos)</t>
  </si>
  <si>
    <t>Kultūros plėtros programa (Europos Sąjungos finansinės paramos ir bendrojo finansavimo lėšos)</t>
  </si>
  <si>
    <t>Susisiekimo sistemos priežiūros ir plėtros programa (Europos Sąjungos finansinės paramos ir bendrojo finansavimo lėšos)</t>
  </si>
  <si>
    <t>Aplinkos apsaugos programa (Europos Sąjungos finansinės paramos ir bendrojo finansavimo lėšos)</t>
  </si>
  <si>
    <t>Subalansuoto turizmo skatinimo ir vystymo programa  (Europos Sąjungos finansinės paramos ir bendrojo finansavimo lėšos)</t>
  </si>
  <si>
    <t>4 priedas</t>
  </si>
  <si>
    <t xml:space="preserve">ASIGNAVIMAI IŠ APYVARTINIŲ LĖŠŲ 2019 M. SAUSIO 1 D. LIKUČIO </t>
  </si>
  <si>
    <t>KLAIPĖDOS MIESTO SAVIVALDYBĖS 2019 METŲ BIUDŽETAS</t>
  </si>
  <si>
    <t>MOKESČIAI (2+...+6)</t>
  </si>
  <si>
    <t>Ugdymo reikmėms finansuoti</t>
  </si>
  <si>
    <t>švietimo (be ugdymo reikmėms finansuoti)</t>
  </si>
  <si>
    <t>Savivaldybės erdvinių duomenų rinkinių tvarkymas</t>
  </si>
  <si>
    <t>Ugdymo proceso užtikrinimo programa (specialios tikslinės dotacijos ugdymo reikmėms finansuoti lėšos)</t>
  </si>
  <si>
    <t>Pajamos iš baudų, konfiskuoto turto ir kitų netesybų</t>
  </si>
  <si>
    <t xml:space="preserve">Užtikrinti savižudybių prevencijos priemonių įgyvendinimą </t>
  </si>
  <si>
    <t>KLAIPĖDOS MIESTO SAVIVALDYBĖS 2019 METŲ BIUDŽETO ASIGNAVIMAI                                  PAGAL PROGRAMAS</t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</si>
  <si>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</si>
  <si>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</si>
  <si>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Jaunimo politikos plėtros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</si>
  <si>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Ugdymo proceso užtikrinimo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</si>
  <si>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 xml:space="preserve">(savivaldybės biudžeto lėšos) </t>
    </r>
  </si>
  <si>
    <r>
      <t>Socialinės atskirties mažinimo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</si>
  <si>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t xml:space="preserve">Sveikatos apsaugos programa 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</si>
  <si>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sz val="12"/>
        <rFont val="Times New Roman"/>
        <family val="1"/>
        <charset val="186"/>
      </rPr>
      <t>Savivaldybės valdymo  programa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(specialios tikslinės dotacijos valstybinėms (valstybės perduotoms savivaldybėms) funkcijoms atlikti lėšos)</t>
    </r>
  </si>
  <si>
    <r>
      <t xml:space="preserve">Smulkiojo ir vidutinio verslo plėtros programa </t>
    </r>
    <r>
      <rPr>
        <sz val="12"/>
        <rFont val="Times New Roman"/>
        <family val="1"/>
        <charset val="186"/>
      </rPr>
      <t>(savivaldybės biudžeto lėšos)</t>
    </r>
  </si>
  <si>
    <r>
      <rPr>
        <b/>
        <sz val="12"/>
        <rFont val="Times New Roman"/>
        <family val="1"/>
        <charset val="186"/>
      </rP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</si>
  <si>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>Ugdymo proceso užtikrinimo programa (paskolų lėšos)</t>
  </si>
  <si>
    <r>
      <t xml:space="preserve">Sveikatos apsaugos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</si>
  <si>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Socialinės atskirties mažinimo programa </t>
    </r>
    <r>
      <rPr>
        <sz val="12"/>
        <rFont val="Times New Roman"/>
        <family val="1"/>
        <charset val="186"/>
      </rPr>
      <t>(savivaldybės biudžeto lėšos)</t>
    </r>
  </si>
  <si>
    <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</si>
  <si>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r>
      <t>Kultūros plėtros programa</t>
    </r>
    <r>
      <rPr>
        <sz val="12"/>
        <rFont val="Times New Roman"/>
        <family val="1"/>
        <charset val="186"/>
      </rPr>
      <t xml:space="preserve"> (savivaldybės biudžeto lėšos)</t>
    </r>
  </si>
  <si>
    <r>
      <rPr>
        <b/>
        <sz val="12"/>
        <rFont val="Times New Roman"/>
        <family val="1"/>
        <charset val="186"/>
      </rPr>
      <t xml:space="preserve">Kūno kultūros ir sporto plėtros programa </t>
    </r>
    <r>
      <rPr>
        <sz val="12"/>
        <rFont val="Times New Roman"/>
        <family val="1"/>
        <charset val="186"/>
      </rPr>
      <t>(savivaldybės biudžeto lėšos)</t>
    </r>
  </si>
  <si>
    <t>2.4. Vietinės rinkliavos už naudojimąsi nustatytomis mokamomis vietomis automobiliams statyti Klaipėdos mieste lėšų likučio metų pradžioje lėšos</t>
  </si>
  <si>
    <t xml:space="preserve">2.5. Vietinės rinkliavos už leidimo atlikti kasinėjimo darbus Savivaldybės viešojo naudojimo teritorijoje lėšų  likučio metų pradžioje lėšos </t>
  </si>
  <si>
    <t>2.7. Už žemės pardavimą gautų lėšų likučio metų pradžioje lėšos</t>
  </si>
  <si>
    <t>2.8. Už privatizuotus butus gautų lėšų likučio metų pradžioje lėšos</t>
  </si>
  <si>
    <t>Kultūros plėtros programa</t>
  </si>
  <si>
    <r>
      <rPr>
        <b/>
        <sz val="12"/>
        <rFont val="Times New Roman"/>
        <family val="1"/>
        <charset val="186"/>
      </rPr>
      <t>Miesto infrastruktūros objektų priežiūros ir modernizavimo programa</t>
    </r>
    <r>
      <rPr>
        <sz val="12"/>
        <rFont val="Times New Roman"/>
        <family val="1"/>
        <charset val="186"/>
      </rPr>
      <t xml:space="preserve"> </t>
    </r>
  </si>
  <si>
    <t>Miesto infrastruktūros objektų priežiūros ir modernizavimo programa (Europos Sąjungos finansinės paramos ir bendrojo finansavimo lėšos)</t>
  </si>
  <si>
    <t xml:space="preserve">Dotacija neformaliajam vaikų švietimui  </t>
  </si>
  <si>
    <t>Ugdymo proceso užtikrinimo programa (dotacijos neformaliajam vaikų švietimui  lėšos)</t>
  </si>
  <si>
    <r>
      <rPr>
        <b/>
        <sz val="12"/>
        <rFont val="Times New Roman"/>
        <family val="1"/>
        <charset val="186"/>
      </rPr>
      <t xml:space="preserve">Miesto urbanistinio planavimo programa </t>
    </r>
    <r>
      <rPr>
        <sz val="12"/>
        <rFont val="Times New Roman"/>
        <family val="1"/>
        <charset val="186"/>
      </rPr>
      <t xml:space="preserve">(savivaldybės biudžeto lėšos) </t>
    </r>
  </si>
  <si>
    <t>Ugdymo proceso užtikrinimo programa (dotacijos  atsinaujinančių energijos šaltinių įdiegimui lėšos)</t>
  </si>
  <si>
    <t>Dotacija atsinaujinančių energijos šaltinių įdiegimui (ilgalaikiam materialiajam ir nematerialiajam turtui įsigyti)</t>
  </si>
  <si>
    <t>DOTACIJOS (8+9+37)</t>
  </si>
  <si>
    <t>Valstybinėms (valstybės perduotoms savivaldybėms) funkcijoms atlikti (11+...+31)</t>
  </si>
  <si>
    <t>Savivaldybėms perduotoms įstaigoms išlaikyti (34+35)</t>
  </si>
  <si>
    <t>paskoloms grąžinti</t>
  </si>
  <si>
    <t>15.</t>
  </si>
  <si>
    <t>16.</t>
  </si>
  <si>
    <t>17.</t>
  </si>
  <si>
    <t>Iš viso asignavimų (14-16):</t>
  </si>
  <si>
    <t>Iš viso išlaidų</t>
  </si>
  <si>
    <t xml:space="preserve">2.9. Europos Sąjungos finansinės paramos  ir bendrojo finansavimo lėšų likučio metų pradžioje lėšos </t>
  </si>
  <si>
    <t>Specialios tikslinės dotacijos (10+32+33+36)</t>
  </si>
  <si>
    <t>Dotacija asbesto turinčių gaminių atliekų surinkimui apvažiavimo būdu, transportavimui ir saugiam šalinimui finansuoti</t>
  </si>
  <si>
    <t>Aplinkos apsaugos programa (dotacijos asbesto turinčių gaminių atliekų surinkimui apvažiavimo būdu, transportavimui ir saugiam šalinimui finansuoti  lėšos)</t>
  </si>
  <si>
    <t xml:space="preserve">                                                            2019 m. vasario 21 d. sprendimo Nr. T2-37</t>
  </si>
  <si>
    <t xml:space="preserve">                       2019 m. vasario 21 d. sprendimo Nr. T2-37</t>
  </si>
  <si>
    <t>2019 m. vasario 21 d. sprendimo Nr. T2-37</t>
  </si>
  <si>
    <t xml:space="preserve">                                                                                   Lyginamasis variantas</t>
  </si>
  <si>
    <t>Lyginamasis variantas</t>
  </si>
  <si>
    <t>(Klaipėdos miesto savivaldybės tarybos</t>
  </si>
  <si>
    <t xml:space="preserve">2019 m.                   d. </t>
  </si>
  <si>
    <t>sprendimo Nr. T2-    redakcija)</t>
  </si>
  <si>
    <t xml:space="preserve">Pakeitimas </t>
  </si>
  <si>
    <t>Projektas</t>
  </si>
  <si>
    <t>Pakeitimas</t>
  </si>
  <si>
    <t>Patvirtinta</t>
  </si>
  <si>
    <t xml:space="preserve">                                                            (Klaipėdos miesto savivaldybės tarybos</t>
  </si>
  <si>
    <t xml:space="preserve">                                                            2019 m.                   d. </t>
  </si>
  <si>
    <t xml:space="preserve">                                                            sprendimo Nr. T2-    redakcija)</t>
  </si>
  <si>
    <t xml:space="preserve">                       (Klaipėdos miesto savivaldybės tarybos</t>
  </si>
  <si>
    <t xml:space="preserve">                       sprendimo Nr. T2-    redakcija)</t>
  </si>
  <si>
    <t xml:space="preserve">                       2019 m.                   d. </t>
  </si>
  <si>
    <t xml:space="preserve">Projektas </t>
  </si>
  <si>
    <t>Dotacija tarpinstitucinio bendradarbiavimo koordinatorių pareigybėms išlaikyti</t>
  </si>
  <si>
    <t>Dotacija vietinės reikšmės keliams tiesti, taisyti (remontuoti), rekonstruoti, prižiūrėti, saugaus eismo sąlygoms užtikrinti, šiems keliams inventorizuoti (einamiesiems tikslams)</t>
  </si>
  <si>
    <t>Dotacija vietinės reikšmės keliams tiesti, taisyti (remontuoti), rekonstruoti, prižiūrėti, saugaus eismo sąlygoms užtikrinti, šiems keliams inventorizuoti (ilgalaikiam materialiajam ir nematerialiajam turtui įsigyti)</t>
  </si>
  <si>
    <t>Kitos dotacijos ir lėšos iš kitų valdymo lygių (38+...+43)</t>
  </si>
  <si>
    <t>KITOS PAJAMOS (45+...+54)</t>
  </si>
  <si>
    <t>MATERIALIOJO IR NEMATERIALIOJO TURTO REALIZAVIMO PAJAMOS (56)</t>
  </si>
  <si>
    <t>Ilgalaikio materialiojo turto realizavimo pajamos (57+58)</t>
  </si>
  <si>
    <t>Iš viso pajamų (1+7+44+55)</t>
  </si>
  <si>
    <t>Savivaldybės valdymo  programa (dotacijos tarpinstitucinio bendradarbiavimo koordinatorių pareigybėms išlaikyti lėšos)</t>
  </si>
  <si>
    <t>Savivaldybės valdymo  programa (dotacijos  vietinės reikšmės keliams tiesti, taisyti (remontuoti), rekonstruoti, prižiūrėti, saugaus eismo sąlygoms užtikrinti, šiems keliams inventorizuoti lėšos)</t>
  </si>
  <si>
    <t>Susisiekimo sistemos priežiūros ir plėtros programa (dotacijos  vietinės reikšmės keliams tiesti, taisyti (remontuoti), rekonstruoti, prižiūrėti, saugaus eismo sąlygoms užtikrinti, šiems keliams inventorizuoti lėšos)</t>
  </si>
  <si>
    <r>
      <t>Susisiekimo sistemos priežiūros ir plėtros programa</t>
    </r>
    <r>
      <rPr>
        <sz val="12"/>
        <rFont val="Times New Roman"/>
        <family val="1"/>
        <charset val="186"/>
      </rPr>
      <t xml:space="preserve"> </t>
    </r>
  </si>
  <si>
    <t xml:space="preserve">Kūno kultūros ir sporto plėtros programa                         (paskolų lėšos) </t>
  </si>
  <si>
    <t>Iš viso asignavimų (159-161):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</si>
</sst>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.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1"/>
    <xf numFmtId="49" fontId="4" fillId="0" borderId="2" xfId="3" applyNumberFormat="1" applyFont="1" applyFill="1" applyBorder="1" applyAlignment="1" applyProtection="1">
      <alignment horizontal="left" wrapText="1"/>
      <protection hidden="1"/>
    </xf>
    <xf numFmtId="49" fontId="2" fillId="0" borderId="2" xfId="3" applyNumberFormat="1" applyFont="1" applyFill="1" applyBorder="1" applyAlignment="1" applyProtection="1">
      <alignment horizontal="left" wrapText="1"/>
      <protection hidden="1"/>
    </xf>
    <xf numFmtId="0" fontId="5" fillId="0" borderId="0" xfId="1" applyFont="1"/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2" fillId="0" borderId="0" xfId="1" applyFont="1" applyFill="1"/>
    <xf numFmtId="0" fontId="1" fillId="0" borderId="0" xfId="1" applyFont="1"/>
    <xf numFmtId="0" fontId="4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1" fillId="0" borderId="1" xfId="1" applyBorder="1"/>
    <xf numFmtId="164" fontId="4" fillId="0" borderId="2" xfId="1" applyNumberFormat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164" fontId="1" fillId="0" borderId="0" xfId="1" applyNumberFormat="1"/>
    <xf numFmtId="9" fontId="1" fillId="0" borderId="0" xfId="8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justify" vertical="justify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2" fillId="0" borderId="0" xfId="1" applyFont="1" applyFill="1" applyBorder="1"/>
    <xf numFmtId="22" fontId="2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/>
    <xf numFmtId="164" fontId="4" fillId="0" borderId="2" xfId="1" applyNumberFormat="1" applyFont="1" applyFill="1" applyBorder="1"/>
    <xf numFmtId="164" fontId="2" fillId="0" borderId="2" xfId="1" applyNumberFormat="1" applyFont="1" applyFill="1" applyBorder="1"/>
    <xf numFmtId="164" fontId="4" fillId="0" borderId="2" xfId="1" applyNumberFormat="1" applyFont="1" applyFill="1" applyBorder="1" applyAlignment="1">
      <alignment horizontal="left" wrapText="1"/>
    </xf>
    <xf numFmtId="0" fontId="4" fillId="0" borderId="0" xfId="1" applyFont="1" applyFill="1" applyAlignment="1"/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/>
    <xf numFmtId="164" fontId="2" fillId="0" borderId="2" xfId="1" applyNumberFormat="1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 applyProtection="1">
      <alignment horizontal="left" wrapText="1"/>
      <protection hidden="1"/>
    </xf>
    <xf numFmtId="0" fontId="2" fillId="0" borderId="2" xfId="0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9" fontId="2" fillId="0" borderId="0" xfId="8" applyFont="1" applyFill="1" applyBorder="1" applyAlignment="1">
      <alignment horizontal="center"/>
    </xf>
    <xf numFmtId="9" fontId="2" fillId="0" borderId="0" xfId="8" applyFont="1" applyFill="1" applyBorder="1" applyAlignment="1">
      <alignment horizontal="center" wrapText="1"/>
    </xf>
    <xf numFmtId="9" fontId="2" fillId="0" borderId="0" xfId="8" applyFont="1" applyFill="1" applyBorder="1"/>
    <xf numFmtId="0" fontId="4" fillId="0" borderId="2" xfId="0" applyFont="1" applyFill="1" applyBorder="1" applyAlignment="1">
      <alignment wrapText="1"/>
    </xf>
    <xf numFmtId="0" fontId="4" fillId="0" borderId="0" xfId="1" applyFont="1" applyFill="1" applyAlignment="1">
      <alignment horizontal="left"/>
    </xf>
    <xf numFmtId="164" fontId="2" fillId="0" borderId="2" xfId="1" applyNumberFormat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7" applyFont="1" applyFill="1" applyAlignment="1">
      <alignment horizontal="left"/>
    </xf>
    <xf numFmtId="0" fontId="2" fillId="0" borderId="0" xfId="7" applyFont="1" applyFill="1"/>
    <xf numFmtId="9" fontId="2" fillId="0" borderId="0" xfId="8" applyFont="1" applyFill="1"/>
    <xf numFmtId="0" fontId="1" fillId="0" borderId="0" xfId="1" applyBorder="1"/>
    <xf numFmtId="0" fontId="0" fillId="0" borderId="1" xfId="0" applyBorder="1"/>
    <xf numFmtId="0" fontId="2" fillId="0" borderId="0" xfId="0" applyFont="1" applyFill="1" applyBorder="1" applyAlignment="1">
      <alignment horizontal="left" vertical="justify"/>
    </xf>
    <xf numFmtId="0" fontId="2" fillId="0" borderId="0" xfId="1" applyFont="1" applyAlignment="1">
      <alignment horizontal="left"/>
    </xf>
    <xf numFmtId="0" fontId="2" fillId="0" borderId="0" xfId="1" applyFont="1" applyAlignment="1"/>
    <xf numFmtId="0" fontId="5" fillId="0" borderId="2" xfId="1" applyFont="1" applyFill="1" applyBorder="1"/>
    <xf numFmtId="0" fontId="2" fillId="0" borderId="0" xfId="0" applyFont="1" applyFill="1" applyBorder="1" applyAlignment="1">
      <alignment horizontal="left" vertical="justify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0" fillId="0" borderId="0" xfId="0" applyFill="1"/>
    <xf numFmtId="0" fontId="1" fillId="0" borderId="0" xfId="1" applyFill="1"/>
    <xf numFmtId="0" fontId="1" fillId="0" borderId="2" xfId="1" applyFill="1" applyBorder="1"/>
    <xf numFmtId="164" fontId="1" fillId="0" borderId="2" xfId="1" applyNumberFormat="1" applyFill="1" applyBorder="1"/>
    <xf numFmtId="0" fontId="4" fillId="0" borderId="2" xfId="1" applyFont="1" applyFill="1" applyBorder="1"/>
    <xf numFmtId="164" fontId="5" fillId="0" borderId="2" xfId="1" applyNumberFormat="1" applyFont="1" applyFill="1" applyBorder="1"/>
    <xf numFmtId="0" fontId="6" fillId="0" borderId="0" xfId="1" applyFont="1" applyFill="1" applyAlignment="1">
      <alignment horizontal="center"/>
    </xf>
    <xf numFmtId="0" fontId="5" fillId="0" borderId="0" xfId="1" applyFont="1" applyFill="1"/>
    <xf numFmtId="0" fontId="2" fillId="0" borderId="0" xfId="1" applyFont="1" applyFill="1" applyAlignment="1"/>
    <xf numFmtId="0" fontId="2" fillId="0" borderId="2" xfId="1" applyFont="1" applyFill="1" applyBorder="1"/>
    <xf numFmtId="9" fontId="1" fillId="0" borderId="0" xfId="8" applyFont="1" applyFill="1"/>
    <xf numFmtId="0" fontId="2" fillId="0" borderId="0" xfId="0" applyFont="1" applyFill="1" applyBorder="1" applyAlignment="1">
      <alignment horizontal="left" vertical="justify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9" fontId="2" fillId="0" borderId="2" xfId="8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9" fontId="2" fillId="0" borderId="7" xfId="8" applyFont="1" applyFill="1" applyBorder="1" applyAlignment="1">
      <alignment horizontal="center"/>
    </xf>
    <xf numFmtId="9" fontId="2" fillId="0" borderId="8" xfId="8" applyFont="1" applyFill="1" applyBorder="1" applyAlignment="1">
      <alignment horizontal="center"/>
    </xf>
    <xf numFmtId="9" fontId="2" fillId="0" borderId="6" xfId="8" applyFont="1" applyFill="1" applyBorder="1" applyAlignment="1">
      <alignment horizontal="center"/>
    </xf>
  </cellXfs>
  <cellStyles count="9">
    <cellStyle name="Įprastas" xfId="0" builtinId="0"/>
    <cellStyle name="Įprastas 2" xfId="1"/>
    <cellStyle name="Įprastas 3" xfId="2"/>
    <cellStyle name="Įprastas 3 2" xfId="7"/>
    <cellStyle name="Normal 2" xfId="4"/>
    <cellStyle name="Normal_SAVAPYSsssss" xfId="3"/>
    <cellStyle name="Procentai" xfId="8" builtinId="5"/>
    <cellStyle name="Procentai 2" xfId="5"/>
    <cellStyle name="Procentai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zoomScale="115" zoomScaleNormal="115" workbookViewId="0">
      <selection activeCell="A7" sqref="A7:E73"/>
    </sheetView>
  </sheetViews>
  <sheetFormatPr defaultRowHeight="12.75" x14ac:dyDescent="0.2"/>
  <cols>
    <col min="1" max="1" width="9.140625" style="1"/>
    <col min="2" max="2" width="60" style="1" customWidth="1"/>
    <col min="3" max="3" width="17.5703125" style="1" customWidth="1"/>
    <col min="4" max="4" width="11.42578125" style="1" customWidth="1"/>
    <col min="5" max="5" width="10.42578125" style="1" customWidth="1"/>
    <col min="6" max="184" width="9.140625" style="1"/>
    <col min="185" max="185" width="60" style="1" customWidth="1"/>
    <col min="186" max="186" width="17.28515625" style="1" customWidth="1"/>
    <col min="187" max="187" width="13.28515625" style="1" customWidth="1"/>
    <col min="188" max="188" width="12" style="1" customWidth="1"/>
    <col min="189" max="440" width="9.140625" style="1"/>
    <col min="441" max="441" width="60" style="1" customWidth="1"/>
    <col min="442" max="442" width="17.28515625" style="1" customWidth="1"/>
    <col min="443" max="443" width="13.28515625" style="1" customWidth="1"/>
    <col min="444" max="444" width="12" style="1" customWidth="1"/>
    <col min="445" max="696" width="9.140625" style="1"/>
    <col min="697" max="697" width="60" style="1" customWidth="1"/>
    <col min="698" max="698" width="17.28515625" style="1" customWidth="1"/>
    <col min="699" max="699" width="13.28515625" style="1" customWidth="1"/>
    <col min="700" max="700" width="12" style="1" customWidth="1"/>
    <col min="701" max="952" width="9.140625" style="1"/>
    <col min="953" max="953" width="60" style="1" customWidth="1"/>
    <col min="954" max="954" width="17.28515625" style="1" customWidth="1"/>
    <col min="955" max="955" width="13.28515625" style="1" customWidth="1"/>
    <col min="956" max="956" width="12" style="1" customWidth="1"/>
    <col min="957" max="1208" width="9.140625" style="1"/>
    <col min="1209" max="1209" width="60" style="1" customWidth="1"/>
    <col min="1210" max="1210" width="17.28515625" style="1" customWidth="1"/>
    <col min="1211" max="1211" width="13.28515625" style="1" customWidth="1"/>
    <col min="1212" max="1212" width="12" style="1" customWidth="1"/>
    <col min="1213" max="1464" width="9.140625" style="1"/>
    <col min="1465" max="1465" width="60" style="1" customWidth="1"/>
    <col min="1466" max="1466" width="17.28515625" style="1" customWidth="1"/>
    <col min="1467" max="1467" width="13.28515625" style="1" customWidth="1"/>
    <col min="1468" max="1468" width="12" style="1" customWidth="1"/>
    <col min="1469" max="1720" width="9.140625" style="1"/>
    <col min="1721" max="1721" width="60" style="1" customWidth="1"/>
    <col min="1722" max="1722" width="17.28515625" style="1" customWidth="1"/>
    <col min="1723" max="1723" width="13.28515625" style="1" customWidth="1"/>
    <col min="1724" max="1724" width="12" style="1" customWidth="1"/>
    <col min="1725" max="1976" width="9.140625" style="1"/>
    <col min="1977" max="1977" width="60" style="1" customWidth="1"/>
    <col min="1978" max="1978" width="17.28515625" style="1" customWidth="1"/>
    <col min="1979" max="1979" width="13.28515625" style="1" customWidth="1"/>
    <col min="1980" max="1980" width="12" style="1" customWidth="1"/>
    <col min="1981" max="2232" width="9.140625" style="1"/>
    <col min="2233" max="2233" width="60" style="1" customWidth="1"/>
    <col min="2234" max="2234" width="17.28515625" style="1" customWidth="1"/>
    <col min="2235" max="2235" width="13.28515625" style="1" customWidth="1"/>
    <col min="2236" max="2236" width="12" style="1" customWidth="1"/>
    <col min="2237" max="2488" width="9.140625" style="1"/>
    <col min="2489" max="2489" width="60" style="1" customWidth="1"/>
    <col min="2490" max="2490" width="17.28515625" style="1" customWidth="1"/>
    <col min="2491" max="2491" width="13.28515625" style="1" customWidth="1"/>
    <col min="2492" max="2492" width="12" style="1" customWidth="1"/>
    <col min="2493" max="2744" width="9.140625" style="1"/>
    <col min="2745" max="2745" width="60" style="1" customWidth="1"/>
    <col min="2746" max="2746" width="17.28515625" style="1" customWidth="1"/>
    <col min="2747" max="2747" width="13.28515625" style="1" customWidth="1"/>
    <col min="2748" max="2748" width="12" style="1" customWidth="1"/>
    <col min="2749" max="3000" width="9.140625" style="1"/>
    <col min="3001" max="3001" width="60" style="1" customWidth="1"/>
    <col min="3002" max="3002" width="17.28515625" style="1" customWidth="1"/>
    <col min="3003" max="3003" width="13.28515625" style="1" customWidth="1"/>
    <col min="3004" max="3004" width="12" style="1" customWidth="1"/>
    <col min="3005" max="3256" width="9.140625" style="1"/>
    <col min="3257" max="3257" width="60" style="1" customWidth="1"/>
    <col min="3258" max="3258" width="17.28515625" style="1" customWidth="1"/>
    <col min="3259" max="3259" width="13.28515625" style="1" customWidth="1"/>
    <col min="3260" max="3260" width="12" style="1" customWidth="1"/>
    <col min="3261" max="3512" width="9.140625" style="1"/>
    <col min="3513" max="3513" width="60" style="1" customWidth="1"/>
    <col min="3514" max="3514" width="17.28515625" style="1" customWidth="1"/>
    <col min="3515" max="3515" width="13.28515625" style="1" customWidth="1"/>
    <col min="3516" max="3516" width="12" style="1" customWidth="1"/>
    <col min="3517" max="3768" width="9.140625" style="1"/>
    <col min="3769" max="3769" width="60" style="1" customWidth="1"/>
    <col min="3770" max="3770" width="17.28515625" style="1" customWidth="1"/>
    <col min="3771" max="3771" width="13.28515625" style="1" customWidth="1"/>
    <col min="3772" max="3772" width="12" style="1" customWidth="1"/>
    <col min="3773" max="4024" width="9.140625" style="1"/>
    <col min="4025" max="4025" width="60" style="1" customWidth="1"/>
    <col min="4026" max="4026" width="17.28515625" style="1" customWidth="1"/>
    <col min="4027" max="4027" width="13.28515625" style="1" customWidth="1"/>
    <col min="4028" max="4028" width="12" style="1" customWidth="1"/>
    <col min="4029" max="4280" width="9.140625" style="1"/>
    <col min="4281" max="4281" width="60" style="1" customWidth="1"/>
    <col min="4282" max="4282" width="17.28515625" style="1" customWidth="1"/>
    <col min="4283" max="4283" width="13.28515625" style="1" customWidth="1"/>
    <col min="4284" max="4284" width="12" style="1" customWidth="1"/>
    <col min="4285" max="4536" width="9.140625" style="1"/>
    <col min="4537" max="4537" width="60" style="1" customWidth="1"/>
    <col min="4538" max="4538" width="17.28515625" style="1" customWidth="1"/>
    <col min="4539" max="4539" width="13.28515625" style="1" customWidth="1"/>
    <col min="4540" max="4540" width="12" style="1" customWidth="1"/>
    <col min="4541" max="4792" width="9.140625" style="1"/>
    <col min="4793" max="4793" width="60" style="1" customWidth="1"/>
    <col min="4794" max="4794" width="17.28515625" style="1" customWidth="1"/>
    <col min="4795" max="4795" width="13.28515625" style="1" customWidth="1"/>
    <col min="4796" max="4796" width="12" style="1" customWidth="1"/>
    <col min="4797" max="5048" width="9.140625" style="1"/>
    <col min="5049" max="5049" width="60" style="1" customWidth="1"/>
    <col min="5050" max="5050" width="17.28515625" style="1" customWidth="1"/>
    <col min="5051" max="5051" width="13.28515625" style="1" customWidth="1"/>
    <col min="5052" max="5052" width="12" style="1" customWidth="1"/>
    <col min="5053" max="5304" width="9.140625" style="1"/>
    <col min="5305" max="5305" width="60" style="1" customWidth="1"/>
    <col min="5306" max="5306" width="17.28515625" style="1" customWidth="1"/>
    <col min="5307" max="5307" width="13.28515625" style="1" customWidth="1"/>
    <col min="5308" max="5308" width="12" style="1" customWidth="1"/>
    <col min="5309" max="5560" width="9.140625" style="1"/>
    <col min="5561" max="5561" width="60" style="1" customWidth="1"/>
    <col min="5562" max="5562" width="17.28515625" style="1" customWidth="1"/>
    <col min="5563" max="5563" width="13.28515625" style="1" customWidth="1"/>
    <col min="5564" max="5564" width="12" style="1" customWidth="1"/>
    <col min="5565" max="5816" width="9.140625" style="1"/>
    <col min="5817" max="5817" width="60" style="1" customWidth="1"/>
    <col min="5818" max="5818" width="17.28515625" style="1" customWidth="1"/>
    <col min="5819" max="5819" width="13.28515625" style="1" customWidth="1"/>
    <col min="5820" max="5820" width="12" style="1" customWidth="1"/>
    <col min="5821" max="6072" width="9.140625" style="1"/>
    <col min="6073" max="6073" width="60" style="1" customWidth="1"/>
    <col min="6074" max="6074" width="17.28515625" style="1" customWidth="1"/>
    <col min="6075" max="6075" width="13.28515625" style="1" customWidth="1"/>
    <col min="6076" max="6076" width="12" style="1" customWidth="1"/>
    <col min="6077" max="6328" width="9.140625" style="1"/>
    <col min="6329" max="6329" width="60" style="1" customWidth="1"/>
    <col min="6330" max="6330" width="17.28515625" style="1" customWidth="1"/>
    <col min="6331" max="6331" width="13.28515625" style="1" customWidth="1"/>
    <col min="6332" max="6332" width="12" style="1" customWidth="1"/>
    <col min="6333" max="6584" width="9.140625" style="1"/>
    <col min="6585" max="6585" width="60" style="1" customWidth="1"/>
    <col min="6586" max="6586" width="17.28515625" style="1" customWidth="1"/>
    <col min="6587" max="6587" width="13.28515625" style="1" customWidth="1"/>
    <col min="6588" max="6588" width="12" style="1" customWidth="1"/>
    <col min="6589" max="6840" width="9.140625" style="1"/>
    <col min="6841" max="6841" width="60" style="1" customWidth="1"/>
    <col min="6842" max="6842" width="17.28515625" style="1" customWidth="1"/>
    <col min="6843" max="6843" width="13.28515625" style="1" customWidth="1"/>
    <col min="6844" max="6844" width="12" style="1" customWidth="1"/>
    <col min="6845" max="7096" width="9.140625" style="1"/>
    <col min="7097" max="7097" width="60" style="1" customWidth="1"/>
    <col min="7098" max="7098" width="17.28515625" style="1" customWidth="1"/>
    <col min="7099" max="7099" width="13.28515625" style="1" customWidth="1"/>
    <col min="7100" max="7100" width="12" style="1" customWidth="1"/>
    <col min="7101" max="7352" width="9.140625" style="1"/>
    <col min="7353" max="7353" width="60" style="1" customWidth="1"/>
    <col min="7354" max="7354" width="17.28515625" style="1" customWidth="1"/>
    <col min="7355" max="7355" width="13.28515625" style="1" customWidth="1"/>
    <col min="7356" max="7356" width="12" style="1" customWidth="1"/>
    <col min="7357" max="7608" width="9.140625" style="1"/>
    <col min="7609" max="7609" width="60" style="1" customWidth="1"/>
    <col min="7610" max="7610" width="17.28515625" style="1" customWidth="1"/>
    <col min="7611" max="7611" width="13.28515625" style="1" customWidth="1"/>
    <col min="7612" max="7612" width="12" style="1" customWidth="1"/>
    <col min="7613" max="7864" width="9.140625" style="1"/>
    <col min="7865" max="7865" width="60" style="1" customWidth="1"/>
    <col min="7866" max="7866" width="17.28515625" style="1" customWidth="1"/>
    <col min="7867" max="7867" width="13.28515625" style="1" customWidth="1"/>
    <col min="7868" max="7868" width="12" style="1" customWidth="1"/>
    <col min="7869" max="8120" width="9.140625" style="1"/>
    <col min="8121" max="8121" width="60" style="1" customWidth="1"/>
    <col min="8122" max="8122" width="17.28515625" style="1" customWidth="1"/>
    <col min="8123" max="8123" width="13.28515625" style="1" customWidth="1"/>
    <col min="8124" max="8124" width="12" style="1" customWidth="1"/>
    <col min="8125" max="8376" width="9.140625" style="1"/>
    <col min="8377" max="8377" width="60" style="1" customWidth="1"/>
    <col min="8378" max="8378" width="17.28515625" style="1" customWidth="1"/>
    <col min="8379" max="8379" width="13.28515625" style="1" customWidth="1"/>
    <col min="8380" max="8380" width="12" style="1" customWidth="1"/>
    <col min="8381" max="8632" width="9.140625" style="1"/>
    <col min="8633" max="8633" width="60" style="1" customWidth="1"/>
    <col min="8634" max="8634" width="17.28515625" style="1" customWidth="1"/>
    <col min="8635" max="8635" width="13.28515625" style="1" customWidth="1"/>
    <col min="8636" max="8636" width="12" style="1" customWidth="1"/>
    <col min="8637" max="8888" width="9.140625" style="1"/>
    <col min="8889" max="8889" width="60" style="1" customWidth="1"/>
    <col min="8890" max="8890" width="17.28515625" style="1" customWidth="1"/>
    <col min="8891" max="8891" width="13.28515625" style="1" customWidth="1"/>
    <col min="8892" max="8892" width="12" style="1" customWidth="1"/>
    <col min="8893" max="9144" width="9.140625" style="1"/>
    <col min="9145" max="9145" width="60" style="1" customWidth="1"/>
    <col min="9146" max="9146" width="17.28515625" style="1" customWidth="1"/>
    <col min="9147" max="9147" width="13.28515625" style="1" customWidth="1"/>
    <col min="9148" max="9148" width="12" style="1" customWidth="1"/>
    <col min="9149" max="9400" width="9.140625" style="1"/>
    <col min="9401" max="9401" width="60" style="1" customWidth="1"/>
    <col min="9402" max="9402" width="17.28515625" style="1" customWidth="1"/>
    <col min="9403" max="9403" width="13.28515625" style="1" customWidth="1"/>
    <col min="9404" max="9404" width="12" style="1" customWidth="1"/>
    <col min="9405" max="9656" width="9.140625" style="1"/>
    <col min="9657" max="9657" width="60" style="1" customWidth="1"/>
    <col min="9658" max="9658" width="17.28515625" style="1" customWidth="1"/>
    <col min="9659" max="9659" width="13.28515625" style="1" customWidth="1"/>
    <col min="9660" max="9660" width="12" style="1" customWidth="1"/>
    <col min="9661" max="9912" width="9.140625" style="1"/>
    <col min="9913" max="9913" width="60" style="1" customWidth="1"/>
    <col min="9914" max="9914" width="17.28515625" style="1" customWidth="1"/>
    <col min="9915" max="9915" width="13.28515625" style="1" customWidth="1"/>
    <col min="9916" max="9916" width="12" style="1" customWidth="1"/>
    <col min="9917" max="10168" width="9.140625" style="1"/>
    <col min="10169" max="10169" width="60" style="1" customWidth="1"/>
    <col min="10170" max="10170" width="17.28515625" style="1" customWidth="1"/>
    <col min="10171" max="10171" width="13.28515625" style="1" customWidth="1"/>
    <col min="10172" max="10172" width="12" style="1" customWidth="1"/>
    <col min="10173" max="10424" width="9.140625" style="1"/>
    <col min="10425" max="10425" width="60" style="1" customWidth="1"/>
    <col min="10426" max="10426" width="17.28515625" style="1" customWidth="1"/>
    <col min="10427" max="10427" width="13.28515625" style="1" customWidth="1"/>
    <col min="10428" max="10428" width="12" style="1" customWidth="1"/>
    <col min="10429" max="10680" width="9.140625" style="1"/>
    <col min="10681" max="10681" width="60" style="1" customWidth="1"/>
    <col min="10682" max="10682" width="17.28515625" style="1" customWidth="1"/>
    <col min="10683" max="10683" width="13.28515625" style="1" customWidth="1"/>
    <col min="10684" max="10684" width="12" style="1" customWidth="1"/>
    <col min="10685" max="10936" width="9.140625" style="1"/>
    <col min="10937" max="10937" width="60" style="1" customWidth="1"/>
    <col min="10938" max="10938" width="17.28515625" style="1" customWidth="1"/>
    <col min="10939" max="10939" width="13.28515625" style="1" customWidth="1"/>
    <col min="10940" max="10940" width="12" style="1" customWidth="1"/>
    <col min="10941" max="11192" width="9.140625" style="1"/>
    <col min="11193" max="11193" width="60" style="1" customWidth="1"/>
    <col min="11194" max="11194" width="17.28515625" style="1" customWidth="1"/>
    <col min="11195" max="11195" width="13.28515625" style="1" customWidth="1"/>
    <col min="11196" max="11196" width="12" style="1" customWidth="1"/>
    <col min="11197" max="11448" width="9.140625" style="1"/>
    <col min="11449" max="11449" width="60" style="1" customWidth="1"/>
    <col min="11450" max="11450" width="17.28515625" style="1" customWidth="1"/>
    <col min="11451" max="11451" width="13.28515625" style="1" customWidth="1"/>
    <col min="11452" max="11452" width="12" style="1" customWidth="1"/>
    <col min="11453" max="11704" width="9.140625" style="1"/>
    <col min="11705" max="11705" width="60" style="1" customWidth="1"/>
    <col min="11706" max="11706" width="17.28515625" style="1" customWidth="1"/>
    <col min="11707" max="11707" width="13.28515625" style="1" customWidth="1"/>
    <col min="11708" max="11708" width="12" style="1" customWidth="1"/>
    <col min="11709" max="11960" width="9.140625" style="1"/>
    <col min="11961" max="11961" width="60" style="1" customWidth="1"/>
    <col min="11962" max="11962" width="17.28515625" style="1" customWidth="1"/>
    <col min="11963" max="11963" width="13.28515625" style="1" customWidth="1"/>
    <col min="11964" max="11964" width="12" style="1" customWidth="1"/>
    <col min="11965" max="12216" width="9.140625" style="1"/>
    <col min="12217" max="12217" width="60" style="1" customWidth="1"/>
    <col min="12218" max="12218" width="17.28515625" style="1" customWidth="1"/>
    <col min="12219" max="12219" width="13.28515625" style="1" customWidth="1"/>
    <col min="12220" max="12220" width="12" style="1" customWidth="1"/>
    <col min="12221" max="12472" width="9.140625" style="1"/>
    <col min="12473" max="12473" width="60" style="1" customWidth="1"/>
    <col min="12474" max="12474" width="17.28515625" style="1" customWidth="1"/>
    <col min="12475" max="12475" width="13.28515625" style="1" customWidth="1"/>
    <col min="12476" max="12476" width="12" style="1" customWidth="1"/>
    <col min="12477" max="12728" width="9.140625" style="1"/>
    <col min="12729" max="12729" width="60" style="1" customWidth="1"/>
    <col min="12730" max="12730" width="17.28515625" style="1" customWidth="1"/>
    <col min="12731" max="12731" width="13.28515625" style="1" customWidth="1"/>
    <col min="12732" max="12732" width="12" style="1" customWidth="1"/>
    <col min="12733" max="12984" width="9.140625" style="1"/>
    <col min="12985" max="12985" width="60" style="1" customWidth="1"/>
    <col min="12986" max="12986" width="17.28515625" style="1" customWidth="1"/>
    <col min="12987" max="12987" width="13.28515625" style="1" customWidth="1"/>
    <col min="12988" max="12988" width="12" style="1" customWidth="1"/>
    <col min="12989" max="13240" width="9.140625" style="1"/>
    <col min="13241" max="13241" width="60" style="1" customWidth="1"/>
    <col min="13242" max="13242" width="17.28515625" style="1" customWidth="1"/>
    <col min="13243" max="13243" width="13.28515625" style="1" customWidth="1"/>
    <col min="13244" max="13244" width="12" style="1" customWidth="1"/>
    <col min="13245" max="13496" width="9.140625" style="1"/>
    <col min="13497" max="13497" width="60" style="1" customWidth="1"/>
    <col min="13498" max="13498" width="17.28515625" style="1" customWidth="1"/>
    <col min="13499" max="13499" width="13.28515625" style="1" customWidth="1"/>
    <col min="13500" max="13500" width="12" style="1" customWidth="1"/>
    <col min="13501" max="13752" width="9.140625" style="1"/>
    <col min="13753" max="13753" width="60" style="1" customWidth="1"/>
    <col min="13754" max="13754" width="17.28515625" style="1" customWidth="1"/>
    <col min="13755" max="13755" width="13.28515625" style="1" customWidth="1"/>
    <col min="13756" max="13756" width="12" style="1" customWidth="1"/>
    <col min="13757" max="14008" width="9.140625" style="1"/>
    <col min="14009" max="14009" width="60" style="1" customWidth="1"/>
    <col min="14010" max="14010" width="17.28515625" style="1" customWidth="1"/>
    <col min="14011" max="14011" width="13.28515625" style="1" customWidth="1"/>
    <col min="14012" max="14012" width="12" style="1" customWidth="1"/>
    <col min="14013" max="14264" width="9.140625" style="1"/>
    <col min="14265" max="14265" width="60" style="1" customWidth="1"/>
    <col min="14266" max="14266" width="17.28515625" style="1" customWidth="1"/>
    <col min="14267" max="14267" width="13.28515625" style="1" customWidth="1"/>
    <col min="14268" max="14268" width="12" style="1" customWidth="1"/>
    <col min="14269" max="14520" width="9.140625" style="1"/>
    <col min="14521" max="14521" width="60" style="1" customWidth="1"/>
    <col min="14522" max="14522" width="17.28515625" style="1" customWidth="1"/>
    <col min="14523" max="14523" width="13.28515625" style="1" customWidth="1"/>
    <col min="14524" max="14524" width="12" style="1" customWidth="1"/>
    <col min="14525" max="14776" width="9.140625" style="1"/>
    <col min="14777" max="14777" width="60" style="1" customWidth="1"/>
    <col min="14778" max="14778" width="17.28515625" style="1" customWidth="1"/>
    <col min="14779" max="14779" width="13.28515625" style="1" customWidth="1"/>
    <col min="14780" max="14780" width="12" style="1" customWidth="1"/>
    <col min="14781" max="15032" width="9.140625" style="1"/>
    <col min="15033" max="15033" width="60" style="1" customWidth="1"/>
    <col min="15034" max="15034" width="17.28515625" style="1" customWidth="1"/>
    <col min="15035" max="15035" width="13.28515625" style="1" customWidth="1"/>
    <col min="15036" max="15036" width="12" style="1" customWidth="1"/>
    <col min="15037" max="15288" width="9.140625" style="1"/>
    <col min="15289" max="15289" width="60" style="1" customWidth="1"/>
    <col min="15290" max="15290" width="17.28515625" style="1" customWidth="1"/>
    <col min="15291" max="15291" width="13.28515625" style="1" customWidth="1"/>
    <col min="15292" max="15292" width="12" style="1" customWidth="1"/>
    <col min="15293" max="15544" width="9.140625" style="1"/>
    <col min="15545" max="15545" width="60" style="1" customWidth="1"/>
    <col min="15546" max="15546" width="17.28515625" style="1" customWidth="1"/>
    <col min="15547" max="15547" width="13.28515625" style="1" customWidth="1"/>
    <col min="15548" max="15548" width="12" style="1" customWidth="1"/>
    <col min="15549" max="15800" width="9.140625" style="1"/>
    <col min="15801" max="15801" width="60" style="1" customWidth="1"/>
    <col min="15802" max="15802" width="17.28515625" style="1" customWidth="1"/>
    <col min="15803" max="15803" width="13.28515625" style="1" customWidth="1"/>
    <col min="15804" max="15804" width="12" style="1" customWidth="1"/>
    <col min="15805" max="16056" width="9.140625" style="1"/>
    <col min="16057" max="16057" width="60" style="1" customWidth="1"/>
    <col min="16058" max="16058" width="17.28515625" style="1" customWidth="1"/>
    <col min="16059" max="16059" width="13.28515625" style="1" customWidth="1"/>
    <col min="16060" max="16060" width="12" style="1" customWidth="1"/>
    <col min="16061" max="16384" width="9.140625" style="1"/>
  </cols>
  <sheetData>
    <row r="1" spans="1:5" ht="15.75" x14ac:dyDescent="0.25">
      <c r="B1" s="29" t="s">
        <v>218</v>
      </c>
    </row>
    <row r="2" spans="1:5" customFormat="1" ht="16.5" customHeight="1" x14ac:dyDescent="0.25">
      <c r="A2" s="20"/>
      <c r="B2" s="81" t="s">
        <v>89</v>
      </c>
      <c r="C2" s="81"/>
    </row>
    <row r="3" spans="1:5" customFormat="1" ht="14.25" customHeight="1" x14ac:dyDescent="0.25">
      <c r="A3" s="20"/>
      <c r="B3" s="81" t="s">
        <v>215</v>
      </c>
      <c r="C3" s="81"/>
    </row>
    <row r="4" spans="1:5" customFormat="1" ht="15.75" x14ac:dyDescent="0.25">
      <c r="A4" s="21"/>
      <c r="B4" s="81" t="s">
        <v>90</v>
      </c>
      <c r="C4" s="81"/>
    </row>
    <row r="5" spans="1:5" customFormat="1" ht="15.75" x14ac:dyDescent="0.25">
      <c r="A5" s="21"/>
      <c r="B5" s="58" t="s">
        <v>227</v>
      </c>
      <c r="C5" s="57"/>
    </row>
    <row r="6" spans="1:5" customFormat="1" ht="15.75" x14ac:dyDescent="0.25">
      <c r="A6" s="21"/>
      <c r="B6" s="59" t="s">
        <v>228</v>
      </c>
      <c r="C6" s="57"/>
    </row>
    <row r="7" spans="1:5" customFormat="1" ht="15.75" x14ac:dyDescent="0.25">
      <c r="A7" s="21"/>
      <c r="B7" s="69" t="s">
        <v>229</v>
      </c>
      <c r="C7" s="61"/>
      <c r="D7" s="70"/>
      <c r="E7" s="70"/>
    </row>
    <row r="8" spans="1:5" ht="12.75" customHeight="1" x14ac:dyDescent="0.25">
      <c r="A8" s="22"/>
      <c r="B8" s="23"/>
      <c r="C8" s="23"/>
      <c r="D8" s="71"/>
      <c r="E8" s="71"/>
    </row>
    <row r="9" spans="1:5" ht="15.75" x14ac:dyDescent="0.25">
      <c r="A9" s="24"/>
      <c r="B9" s="25" t="s">
        <v>165</v>
      </c>
      <c r="C9" s="26"/>
      <c r="D9" s="71"/>
      <c r="E9" s="71"/>
    </row>
    <row r="10" spans="1:5" ht="11.25" customHeight="1" x14ac:dyDescent="0.25">
      <c r="A10" s="22"/>
      <c r="B10" s="25"/>
      <c r="C10" s="27"/>
      <c r="D10" s="71"/>
      <c r="E10" s="71"/>
    </row>
    <row r="11" spans="1:5" ht="15.75" x14ac:dyDescent="0.25">
      <c r="A11" s="22"/>
      <c r="B11" s="28" t="s">
        <v>7</v>
      </c>
      <c r="C11" s="26" t="s">
        <v>118</v>
      </c>
      <c r="D11" s="71"/>
      <c r="E11" s="71"/>
    </row>
    <row r="12" spans="1:5" ht="42.75" customHeight="1" x14ac:dyDescent="0.2">
      <c r="A12" s="64" t="s">
        <v>0</v>
      </c>
      <c r="B12" s="64" t="s">
        <v>8</v>
      </c>
      <c r="C12" s="64" t="s">
        <v>82</v>
      </c>
      <c r="D12" s="66" t="s">
        <v>223</v>
      </c>
      <c r="E12" s="66" t="s">
        <v>224</v>
      </c>
    </row>
    <row r="13" spans="1:5" s="8" customFormat="1" ht="15.75" x14ac:dyDescent="0.25">
      <c r="A13" s="62">
        <v>1</v>
      </c>
      <c r="B13" s="62">
        <v>2</v>
      </c>
      <c r="C13" s="62">
        <v>3</v>
      </c>
      <c r="D13" s="62">
        <v>3</v>
      </c>
      <c r="E13" s="62">
        <v>3</v>
      </c>
    </row>
    <row r="14" spans="1:5" ht="15.75" customHeight="1" x14ac:dyDescent="0.25">
      <c r="A14" s="11">
        <v>1</v>
      </c>
      <c r="B14" s="9" t="s">
        <v>166</v>
      </c>
      <c r="C14" s="14">
        <f>SUM(C15:C19)</f>
        <v>97959</v>
      </c>
      <c r="D14" s="14">
        <f t="shared" ref="D14:E14" si="0">SUM(D15:D19)</f>
        <v>0</v>
      </c>
      <c r="E14" s="14">
        <f t="shared" si="0"/>
        <v>97959</v>
      </c>
    </row>
    <row r="15" spans="1:5" ht="15" customHeight="1" x14ac:dyDescent="0.25">
      <c r="A15" s="11">
        <v>2</v>
      </c>
      <c r="B15" s="10" t="s">
        <v>9</v>
      </c>
      <c r="C15" s="15">
        <f>88906+13+15</f>
        <v>88934</v>
      </c>
      <c r="D15" s="72"/>
      <c r="E15" s="73">
        <f t="shared" ref="E15:E19" si="1">+C15+D15</f>
        <v>88934</v>
      </c>
    </row>
    <row r="16" spans="1:5" ht="15" customHeight="1" x14ac:dyDescent="0.25">
      <c r="A16" s="11">
        <v>3</v>
      </c>
      <c r="B16" s="10" t="s">
        <v>10</v>
      </c>
      <c r="C16" s="15">
        <v>400</v>
      </c>
      <c r="D16" s="72"/>
      <c r="E16" s="73">
        <f t="shared" si="1"/>
        <v>400</v>
      </c>
    </row>
    <row r="17" spans="1:5" ht="15" customHeight="1" x14ac:dyDescent="0.25">
      <c r="A17" s="11">
        <v>4</v>
      </c>
      <c r="B17" s="10" t="s">
        <v>11</v>
      </c>
      <c r="C17" s="15">
        <v>70</v>
      </c>
      <c r="D17" s="72"/>
      <c r="E17" s="73">
        <f t="shared" si="1"/>
        <v>70</v>
      </c>
    </row>
    <row r="18" spans="1:5" ht="15" customHeight="1" x14ac:dyDescent="0.25">
      <c r="A18" s="11">
        <v>5</v>
      </c>
      <c r="B18" s="10" t="s">
        <v>12</v>
      </c>
      <c r="C18" s="15">
        <v>8170</v>
      </c>
      <c r="D18" s="72"/>
      <c r="E18" s="73">
        <f t="shared" si="1"/>
        <v>8170</v>
      </c>
    </row>
    <row r="19" spans="1:5" ht="15" customHeight="1" x14ac:dyDescent="0.25">
      <c r="A19" s="11">
        <v>6</v>
      </c>
      <c r="B19" s="10" t="s">
        <v>13</v>
      </c>
      <c r="C19" s="15">
        <v>385</v>
      </c>
      <c r="D19" s="72"/>
      <c r="E19" s="73">
        <f t="shared" si="1"/>
        <v>385</v>
      </c>
    </row>
    <row r="20" spans="1:5" ht="15.75" x14ac:dyDescent="0.25">
      <c r="A20" s="11">
        <v>7</v>
      </c>
      <c r="B20" s="9" t="s">
        <v>202</v>
      </c>
      <c r="C20" s="14">
        <f>+C21+C22+C50</f>
        <v>65504.2</v>
      </c>
      <c r="D20" s="14">
        <f t="shared" ref="D20:E20" si="2">+D21+D22+D50</f>
        <v>5494.6</v>
      </c>
      <c r="E20" s="14">
        <f t="shared" si="2"/>
        <v>70998.8</v>
      </c>
    </row>
    <row r="21" spans="1:5" ht="31.5" x14ac:dyDescent="0.25">
      <c r="A21" s="11">
        <v>8</v>
      </c>
      <c r="B21" s="9" t="s">
        <v>153</v>
      </c>
      <c r="C21" s="14">
        <f>152.6+18241.8</f>
        <v>18394.400000000001</v>
      </c>
      <c r="D21" s="74">
        <f>730.3+69.8</f>
        <v>800.1</v>
      </c>
      <c r="E21" s="75">
        <f t="shared" ref="E21" si="3">+C21+D21</f>
        <v>19194.5</v>
      </c>
    </row>
    <row r="22" spans="1:5" ht="15.75" customHeight="1" x14ac:dyDescent="0.25">
      <c r="A22" s="11">
        <v>9</v>
      </c>
      <c r="B22" s="9" t="s">
        <v>212</v>
      </c>
      <c r="C22" s="14">
        <f>+C23+C45+C46+C49</f>
        <v>46724.3</v>
      </c>
      <c r="D22" s="14">
        <f t="shared" ref="D22:E22" si="4">+D23+D45+D46+D49</f>
        <v>-20</v>
      </c>
      <c r="E22" s="14">
        <f t="shared" si="4"/>
        <v>46704.3</v>
      </c>
    </row>
    <row r="23" spans="1:5" ht="33.75" customHeight="1" x14ac:dyDescent="0.25">
      <c r="A23" s="11">
        <v>10</v>
      </c>
      <c r="B23" s="10" t="s">
        <v>203</v>
      </c>
      <c r="C23" s="43">
        <f>SUM(C24:C44)</f>
        <v>6163.3</v>
      </c>
      <c r="D23" s="43">
        <f t="shared" ref="D23:E23" si="5">SUM(D24:D44)</f>
        <v>-20</v>
      </c>
      <c r="E23" s="43">
        <f t="shared" si="5"/>
        <v>6143.3</v>
      </c>
    </row>
    <row r="24" spans="1:5" ht="15.75" x14ac:dyDescent="0.25">
      <c r="A24" s="11">
        <v>11</v>
      </c>
      <c r="B24" s="5" t="s">
        <v>16</v>
      </c>
      <c r="C24" s="15">
        <v>0.6</v>
      </c>
      <c r="D24" s="72"/>
      <c r="E24" s="73">
        <f>+C24+D24</f>
        <v>0.6</v>
      </c>
    </row>
    <row r="25" spans="1:5" ht="15.75" customHeight="1" x14ac:dyDescent="0.25">
      <c r="A25" s="11">
        <v>12</v>
      </c>
      <c r="B25" s="5" t="s">
        <v>17</v>
      </c>
      <c r="C25" s="15">
        <v>19</v>
      </c>
      <c r="D25" s="72"/>
      <c r="E25" s="73">
        <f t="shared" ref="E25:E49" si="6">+C25+D25</f>
        <v>19</v>
      </c>
    </row>
    <row r="26" spans="1:5" ht="15.75" customHeight="1" x14ac:dyDescent="0.25">
      <c r="A26" s="11">
        <v>13</v>
      </c>
      <c r="B26" s="5" t="s">
        <v>20</v>
      </c>
      <c r="C26" s="15">
        <v>62</v>
      </c>
      <c r="D26" s="72"/>
      <c r="E26" s="73">
        <f t="shared" si="6"/>
        <v>62</v>
      </c>
    </row>
    <row r="27" spans="1:5" ht="15.75" customHeight="1" x14ac:dyDescent="0.25">
      <c r="A27" s="11">
        <v>14</v>
      </c>
      <c r="B27" s="5" t="s">
        <v>18</v>
      </c>
      <c r="C27" s="15">
        <v>15</v>
      </c>
      <c r="D27" s="72"/>
      <c r="E27" s="73">
        <f t="shared" si="6"/>
        <v>15</v>
      </c>
    </row>
    <row r="28" spans="1:5" ht="15.75" customHeight="1" x14ac:dyDescent="0.25">
      <c r="A28" s="11">
        <v>15</v>
      </c>
      <c r="B28" s="5" t="s">
        <v>113</v>
      </c>
      <c r="C28" s="15">
        <v>73.3</v>
      </c>
      <c r="D28" s="72"/>
      <c r="E28" s="73">
        <f t="shared" si="6"/>
        <v>73.3</v>
      </c>
    </row>
    <row r="29" spans="1:5" ht="15.75" customHeight="1" x14ac:dyDescent="0.25">
      <c r="A29" s="11">
        <v>16</v>
      </c>
      <c r="B29" s="5" t="s">
        <v>145</v>
      </c>
      <c r="C29" s="15">
        <v>36.4</v>
      </c>
      <c r="D29" s="72"/>
      <c r="E29" s="73">
        <f t="shared" si="6"/>
        <v>36.4</v>
      </c>
    </row>
    <row r="30" spans="1:5" ht="15.75" customHeight="1" x14ac:dyDescent="0.25">
      <c r="A30" s="11">
        <v>17</v>
      </c>
      <c r="B30" s="5" t="s">
        <v>19</v>
      </c>
      <c r="C30" s="15">
        <v>90.5</v>
      </c>
      <c r="D30" s="72"/>
      <c r="E30" s="73">
        <f t="shared" si="6"/>
        <v>90.5</v>
      </c>
    </row>
    <row r="31" spans="1:5" ht="32.25" customHeight="1" x14ac:dyDescent="0.25">
      <c r="A31" s="11">
        <v>18</v>
      </c>
      <c r="B31" s="5" t="s">
        <v>109</v>
      </c>
      <c r="C31" s="15">
        <v>21.5</v>
      </c>
      <c r="D31" s="72"/>
      <c r="E31" s="73">
        <f t="shared" si="6"/>
        <v>21.5</v>
      </c>
    </row>
    <row r="32" spans="1:5" ht="34.5" customHeight="1" x14ac:dyDescent="0.25">
      <c r="A32" s="11">
        <v>19</v>
      </c>
      <c r="B32" s="5" t="s">
        <v>21</v>
      </c>
      <c r="C32" s="15">
        <v>2.6</v>
      </c>
      <c r="D32" s="72"/>
      <c r="E32" s="73">
        <f t="shared" si="6"/>
        <v>2.6</v>
      </c>
    </row>
    <row r="33" spans="1:5" ht="15.75" customHeight="1" x14ac:dyDescent="0.25">
      <c r="A33" s="11">
        <v>20</v>
      </c>
      <c r="B33" s="5" t="s">
        <v>114</v>
      </c>
      <c r="C33" s="15">
        <v>5.4</v>
      </c>
      <c r="D33" s="72"/>
      <c r="E33" s="73">
        <f t="shared" si="6"/>
        <v>5.4</v>
      </c>
    </row>
    <row r="34" spans="1:5" ht="19.5" customHeight="1" x14ac:dyDescent="0.25">
      <c r="A34" s="11">
        <v>21</v>
      </c>
      <c r="B34" s="10" t="s">
        <v>45</v>
      </c>
      <c r="C34" s="15">
        <v>16</v>
      </c>
      <c r="D34" s="72"/>
      <c r="E34" s="73">
        <f t="shared" si="6"/>
        <v>16</v>
      </c>
    </row>
    <row r="35" spans="1:5" ht="31.5" x14ac:dyDescent="0.25">
      <c r="A35" s="11">
        <v>22</v>
      </c>
      <c r="B35" s="5" t="s">
        <v>144</v>
      </c>
      <c r="C35" s="15">
        <v>219</v>
      </c>
      <c r="D35" s="72"/>
      <c r="E35" s="73">
        <f t="shared" si="6"/>
        <v>219</v>
      </c>
    </row>
    <row r="36" spans="1:5" ht="15.75" customHeight="1" x14ac:dyDescent="0.25">
      <c r="A36" s="11">
        <v>23</v>
      </c>
      <c r="B36" s="5" t="s">
        <v>22</v>
      </c>
      <c r="C36" s="15">
        <v>3195.3</v>
      </c>
      <c r="D36" s="72"/>
      <c r="E36" s="73">
        <f t="shared" si="6"/>
        <v>3195.3</v>
      </c>
    </row>
    <row r="37" spans="1:5" ht="15.75" x14ac:dyDescent="0.25">
      <c r="A37" s="11">
        <v>24</v>
      </c>
      <c r="B37" s="5" t="s">
        <v>23</v>
      </c>
      <c r="C37" s="15">
        <v>835.1</v>
      </c>
      <c r="D37" s="72"/>
      <c r="E37" s="73">
        <f t="shared" si="6"/>
        <v>835.1</v>
      </c>
    </row>
    <row r="38" spans="1:5" ht="15.75" customHeight="1" x14ac:dyDescent="0.25">
      <c r="A38" s="11">
        <v>25</v>
      </c>
      <c r="B38" s="5" t="s">
        <v>24</v>
      </c>
      <c r="C38" s="15">
        <v>395.5</v>
      </c>
      <c r="D38" s="72">
        <v>-18.399999999999999</v>
      </c>
      <c r="E38" s="73">
        <f t="shared" si="6"/>
        <v>377.1</v>
      </c>
    </row>
    <row r="39" spans="1:5" ht="15.75" x14ac:dyDescent="0.25">
      <c r="A39" s="11">
        <v>26</v>
      </c>
      <c r="B39" s="5" t="s">
        <v>146</v>
      </c>
      <c r="C39" s="15">
        <v>54.7</v>
      </c>
      <c r="D39" s="72">
        <v>-1.6</v>
      </c>
      <c r="E39" s="73">
        <f t="shared" si="6"/>
        <v>53.1</v>
      </c>
    </row>
    <row r="40" spans="1:5" ht="32.25" customHeight="1" x14ac:dyDescent="0.25">
      <c r="A40" s="11">
        <v>27</v>
      </c>
      <c r="B40" s="5" t="s">
        <v>151</v>
      </c>
      <c r="C40" s="15">
        <v>795.4</v>
      </c>
      <c r="D40" s="72"/>
      <c r="E40" s="73">
        <f t="shared" si="6"/>
        <v>795.4</v>
      </c>
    </row>
    <row r="41" spans="1:5" ht="30" customHeight="1" x14ac:dyDescent="0.25">
      <c r="A41" s="11">
        <v>28</v>
      </c>
      <c r="B41" s="5" t="s">
        <v>150</v>
      </c>
      <c r="C41" s="15">
        <v>208.8</v>
      </c>
      <c r="D41" s="72"/>
      <c r="E41" s="73">
        <f t="shared" si="6"/>
        <v>208.8</v>
      </c>
    </row>
    <row r="42" spans="1:5" ht="15.75" x14ac:dyDescent="0.25">
      <c r="A42" s="11">
        <v>29</v>
      </c>
      <c r="B42" s="5" t="s">
        <v>172</v>
      </c>
      <c r="C42" s="15">
        <v>63.3</v>
      </c>
      <c r="D42" s="72"/>
      <c r="E42" s="73">
        <f t="shared" si="6"/>
        <v>63.3</v>
      </c>
    </row>
    <row r="43" spans="1:5" ht="18" customHeight="1" x14ac:dyDescent="0.25">
      <c r="A43" s="11">
        <v>30</v>
      </c>
      <c r="B43" s="5" t="s">
        <v>130</v>
      </c>
      <c r="C43" s="15">
        <v>4.5999999999999996</v>
      </c>
      <c r="D43" s="72"/>
      <c r="E43" s="73">
        <f t="shared" si="6"/>
        <v>4.5999999999999996</v>
      </c>
    </row>
    <row r="44" spans="1:5" ht="15" customHeight="1" x14ac:dyDescent="0.25">
      <c r="A44" s="11">
        <v>31</v>
      </c>
      <c r="B44" s="5" t="s">
        <v>169</v>
      </c>
      <c r="C44" s="15">
        <v>49.3</v>
      </c>
      <c r="D44" s="72"/>
      <c r="E44" s="73">
        <f t="shared" si="6"/>
        <v>49.3</v>
      </c>
    </row>
    <row r="45" spans="1:5" ht="15" customHeight="1" x14ac:dyDescent="0.25">
      <c r="A45" s="11">
        <v>32</v>
      </c>
      <c r="B45" s="10" t="s">
        <v>167</v>
      </c>
      <c r="C45" s="43">
        <f>39373+1.9</f>
        <v>39374.9</v>
      </c>
      <c r="D45" s="72"/>
      <c r="E45" s="73">
        <f t="shared" si="6"/>
        <v>39374.9</v>
      </c>
    </row>
    <row r="46" spans="1:5" ht="16.5" customHeight="1" x14ac:dyDescent="0.25">
      <c r="A46" s="11">
        <v>33</v>
      </c>
      <c r="B46" s="10" t="s">
        <v>204</v>
      </c>
      <c r="C46" s="15">
        <f>SUM(C47:C48)</f>
        <v>1184.5999999999999</v>
      </c>
      <c r="D46" s="15">
        <f t="shared" ref="D46:E46" si="7">SUM(D47:D48)</f>
        <v>0</v>
      </c>
      <c r="E46" s="15">
        <f t="shared" si="7"/>
        <v>1184.5999999999999</v>
      </c>
    </row>
    <row r="47" spans="1:5" ht="14.25" customHeight="1" x14ac:dyDescent="0.25">
      <c r="A47" s="11">
        <v>34</v>
      </c>
      <c r="B47" s="10" t="s">
        <v>168</v>
      </c>
      <c r="C47" s="15">
        <f>470.2+596.4</f>
        <v>1066.5999999999999</v>
      </c>
      <c r="D47" s="72"/>
      <c r="E47" s="73">
        <f t="shared" si="6"/>
        <v>1066.5999999999999</v>
      </c>
    </row>
    <row r="48" spans="1:5" ht="15.75" x14ac:dyDescent="0.25">
      <c r="A48" s="11">
        <v>35</v>
      </c>
      <c r="B48" s="10" t="s">
        <v>25</v>
      </c>
      <c r="C48" s="15">
        <v>118</v>
      </c>
      <c r="D48" s="72"/>
      <c r="E48" s="73">
        <f t="shared" si="6"/>
        <v>118</v>
      </c>
    </row>
    <row r="49" spans="1:5" ht="31.5" x14ac:dyDescent="0.25">
      <c r="A49" s="11">
        <v>36</v>
      </c>
      <c r="B49" s="10" t="s">
        <v>26</v>
      </c>
      <c r="C49" s="43">
        <v>1.5</v>
      </c>
      <c r="D49" s="72"/>
      <c r="E49" s="73">
        <f t="shared" si="6"/>
        <v>1.5</v>
      </c>
    </row>
    <row r="50" spans="1:5" ht="17.25" customHeight="1" x14ac:dyDescent="0.25">
      <c r="A50" s="11">
        <v>37</v>
      </c>
      <c r="B50" s="47" t="s">
        <v>237</v>
      </c>
      <c r="C50" s="16">
        <f>SUM(C51:C56)</f>
        <v>385.5</v>
      </c>
      <c r="D50" s="16">
        <f t="shared" ref="D50:E50" si="8">SUM(D51:D56)</f>
        <v>4714.5</v>
      </c>
      <c r="E50" s="16">
        <f t="shared" si="8"/>
        <v>5100</v>
      </c>
    </row>
    <row r="51" spans="1:5" ht="29.25" customHeight="1" x14ac:dyDescent="0.25">
      <c r="A51" s="11">
        <v>38</v>
      </c>
      <c r="B51" s="10" t="s">
        <v>201</v>
      </c>
      <c r="C51" s="15">
        <v>143</v>
      </c>
      <c r="D51" s="72"/>
      <c r="E51" s="73">
        <f>+C51+D51</f>
        <v>143</v>
      </c>
    </row>
    <row r="52" spans="1:5" ht="15.75" x14ac:dyDescent="0.25">
      <c r="A52" s="11">
        <v>39</v>
      </c>
      <c r="B52" s="42" t="s">
        <v>197</v>
      </c>
      <c r="C52" s="15">
        <v>237.1</v>
      </c>
      <c r="D52" s="72"/>
      <c r="E52" s="73">
        <f t="shared" ref="E52:E56" si="9">+C52+D52</f>
        <v>237.1</v>
      </c>
    </row>
    <row r="53" spans="1:5" ht="29.25" customHeight="1" x14ac:dyDescent="0.25">
      <c r="A53" s="11">
        <v>40</v>
      </c>
      <c r="B53" s="42" t="s">
        <v>213</v>
      </c>
      <c r="C53" s="15">
        <v>5.4</v>
      </c>
      <c r="D53" s="72"/>
      <c r="E53" s="73">
        <f t="shared" si="9"/>
        <v>5.4</v>
      </c>
    </row>
    <row r="54" spans="1:5" ht="29.25" customHeight="1" x14ac:dyDescent="0.25">
      <c r="A54" s="11">
        <v>41</v>
      </c>
      <c r="B54" s="47" t="s">
        <v>234</v>
      </c>
      <c r="C54" s="15"/>
      <c r="D54" s="60">
        <v>28.1</v>
      </c>
      <c r="E54" s="73">
        <f t="shared" si="9"/>
        <v>28.1</v>
      </c>
    </row>
    <row r="55" spans="1:5" ht="48" customHeight="1" x14ac:dyDescent="0.25">
      <c r="A55" s="11">
        <v>42</v>
      </c>
      <c r="B55" s="47" t="s">
        <v>235</v>
      </c>
      <c r="C55" s="15"/>
      <c r="D55" s="60">
        <v>1904.3</v>
      </c>
      <c r="E55" s="73">
        <f t="shared" si="9"/>
        <v>1904.3</v>
      </c>
    </row>
    <row r="56" spans="1:5" ht="63" x14ac:dyDescent="0.25">
      <c r="A56" s="11">
        <v>43</v>
      </c>
      <c r="B56" s="47" t="s">
        <v>236</v>
      </c>
      <c r="C56" s="15"/>
      <c r="D56" s="60">
        <f>4686.4-1904.3</f>
        <v>2782.1</v>
      </c>
      <c r="E56" s="73">
        <f t="shared" si="9"/>
        <v>2782.1</v>
      </c>
    </row>
    <row r="57" spans="1:5" ht="15.75" x14ac:dyDescent="0.25">
      <c r="A57" s="11">
        <v>44</v>
      </c>
      <c r="B57" s="9" t="s">
        <v>238</v>
      </c>
      <c r="C57" s="16">
        <f>SUM(C58:C67)</f>
        <v>18842.2</v>
      </c>
      <c r="D57" s="16">
        <f t="shared" ref="D57:E57" si="10">SUM(D58:D67)</f>
        <v>0</v>
      </c>
      <c r="E57" s="16">
        <f t="shared" si="10"/>
        <v>18842.2</v>
      </c>
    </row>
    <row r="58" spans="1:5" ht="15.75" x14ac:dyDescent="0.25">
      <c r="A58" s="11">
        <v>45</v>
      </c>
      <c r="B58" s="10" t="s">
        <v>27</v>
      </c>
      <c r="C58" s="15">
        <v>632</v>
      </c>
      <c r="D58" s="72"/>
      <c r="E58" s="73">
        <f t="shared" ref="E58:E67" si="11">+C58+D58</f>
        <v>632</v>
      </c>
    </row>
    <row r="59" spans="1:5" ht="15" customHeight="1" x14ac:dyDescent="0.25">
      <c r="A59" s="11">
        <v>46</v>
      </c>
      <c r="B59" s="10" t="s">
        <v>115</v>
      </c>
      <c r="C59" s="15">
        <v>2070</v>
      </c>
      <c r="D59" s="72"/>
      <c r="E59" s="73">
        <f t="shared" si="11"/>
        <v>2070</v>
      </c>
    </row>
    <row r="60" spans="1:5" ht="15.75" customHeight="1" x14ac:dyDescent="0.25">
      <c r="A60" s="11">
        <v>47</v>
      </c>
      <c r="B60" s="10" t="s">
        <v>28</v>
      </c>
      <c r="C60" s="15">
        <v>120</v>
      </c>
      <c r="D60" s="72"/>
      <c r="E60" s="73">
        <f t="shared" si="11"/>
        <v>120</v>
      </c>
    </row>
    <row r="61" spans="1:5" ht="15.75" x14ac:dyDescent="0.25">
      <c r="A61" s="11">
        <v>48</v>
      </c>
      <c r="B61" s="10" t="s">
        <v>29</v>
      </c>
      <c r="C61" s="15">
        <v>1522.1</v>
      </c>
      <c r="D61" s="72"/>
      <c r="E61" s="73">
        <f t="shared" si="11"/>
        <v>1522.1</v>
      </c>
    </row>
    <row r="62" spans="1:5" ht="15.75" x14ac:dyDescent="0.25">
      <c r="A62" s="11">
        <v>49</v>
      </c>
      <c r="B62" s="10" t="s">
        <v>141</v>
      </c>
      <c r="C62" s="15">
        <f>284.7+1096.3</f>
        <v>1381</v>
      </c>
      <c r="D62" s="72"/>
      <c r="E62" s="73">
        <f t="shared" si="11"/>
        <v>1381</v>
      </c>
    </row>
    <row r="63" spans="1:5" ht="31.5" x14ac:dyDescent="0.25">
      <c r="A63" s="11">
        <v>50</v>
      </c>
      <c r="B63" s="10" t="s">
        <v>30</v>
      </c>
      <c r="C63" s="15">
        <v>5371.5</v>
      </c>
      <c r="D63" s="72"/>
      <c r="E63" s="73">
        <f t="shared" si="11"/>
        <v>5371.5</v>
      </c>
    </row>
    <row r="64" spans="1:5" ht="15" customHeight="1" x14ac:dyDescent="0.25">
      <c r="A64" s="11">
        <v>51</v>
      </c>
      <c r="B64" s="10" t="s">
        <v>14</v>
      </c>
      <c r="C64" s="15">
        <v>126</v>
      </c>
      <c r="D64" s="72"/>
      <c r="E64" s="73">
        <f t="shared" si="11"/>
        <v>126</v>
      </c>
    </row>
    <row r="65" spans="1:5" ht="15.75" x14ac:dyDescent="0.25">
      <c r="A65" s="11">
        <v>52</v>
      </c>
      <c r="B65" s="10" t="s">
        <v>15</v>
      </c>
      <c r="C65" s="15">
        <v>7189.6</v>
      </c>
      <c r="D65" s="72"/>
      <c r="E65" s="73">
        <f t="shared" si="11"/>
        <v>7189.6</v>
      </c>
    </row>
    <row r="66" spans="1:5" ht="15.75" x14ac:dyDescent="0.25">
      <c r="A66" s="11">
        <v>53</v>
      </c>
      <c r="B66" s="10" t="s">
        <v>171</v>
      </c>
      <c r="C66" s="15">
        <v>250</v>
      </c>
      <c r="D66" s="72"/>
      <c r="E66" s="73">
        <f t="shared" si="11"/>
        <v>250</v>
      </c>
    </row>
    <row r="67" spans="1:5" ht="15.75" x14ac:dyDescent="0.25">
      <c r="A67" s="11">
        <v>54</v>
      </c>
      <c r="B67" s="10" t="s">
        <v>128</v>
      </c>
      <c r="C67" s="15">
        <f>160+20</f>
        <v>180</v>
      </c>
      <c r="D67" s="72"/>
      <c r="E67" s="73">
        <f t="shared" si="11"/>
        <v>180</v>
      </c>
    </row>
    <row r="68" spans="1:5" ht="31.5" x14ac:dyDescent="0.25">
      <c r="A68" s="11">
        <v>55</v>
      </c>
      <c r="B68" s="9" t="s">
        <v>239</v>
      </c>
      <c r="C68" s="30">
        <f>+C69</f>
        <v>1250</v>
      </c>
      <c r="D68" s="30">
        <f t="shared" ref="D68:E68" si="12">+D69</f>
        <v>0</v>
      </c>
      <c r="E68" s="30">
        <f t="shared" si="12"/>
        <v>1250</v>
      </c>
    </row>
    <row r="69" spans="1:5" ht="15.75" x14ac:dyDescent="0.25">
      <c r="A69" s="11">
        <v>56</v>
      </c>
      <c r="B69" s="9" t="s">
        <v>240</v>
      </c>
      <c r="C69" s="30">
        <f>+C70+C71</f>
        <v>1250</v>
      </c>
      <c r="D69" s="30">
        <f t="shared" ref="D69:E69" si="13">+D70+D71</f>
        <v>0</v>
      </c>
      <c r="E69" s="30">
        <f t="shared" si="13"/>
        <v>1250</v>
      </c>
    </row>
    <row r="70" spans="1:5" ht="15.75" x14ac:dyDescent="0.25">
      <c r="A70" s="11">
        <v>57</v>
      </c>
      <c r="B70" s="10" t="s">
        <v>142</v>
      </c>
      <c r="C70" s="31">
        <v>800</v>
      </c>
      <c r="D70" s="72"/>
      <c r="E70" s="73">
        <f t="shared" ref="E70:E71" si="14">+C70+D70</f>
        <v>800</v>
      </c>
    </row>
    <row r="71" spans="1:5" ht="15.75" x14ac:dyDescent="0.25">
      <c r="A71" s="11">
        <v>58</v>
      </c>
      <c r="B71" s="10" t="s">
        <v>143</v>
      </c>
      <c r="C71" s="31">
        <v>450</v>
      </c>
      <c r="D71" s="72"/>
      <c r="E71" s="73">
        <f t="shared" si="14"/>
        <v>450</v>
      </c>
    </row>
    <row r="72" spans="1:5" ht="15.75" x14ac:dyDescent="0.25">
      <c r="A72" s="11">
        <v>59</v>
      </c>
      <c r="B72" s="9" t="s">
        <v>241</v>
      </c>
      <c r="C72" s="30">
        <f>+C68+C57+C20+C14</f>
        <v>183555.4</v>
      </c>
      <c r="D72" s="30">
        <f t="shared" ref="D72:E72" si="15">+D68+D57+D20+D14</f>
        <v>5494.6</v>
      </c>
      <c r="E72" s="30">
        <f t="shared" si="15"/>
        <v>189050</v>
      </c>
    </row>
    <row r="73" spans="1:5" x14ac:dyDescent="0.2">
      <c r="A73" s="71"/>
      <c r="B73" s="71"/>
      <c r="C73" s="71"/>
      <c r="D73" s="71"/>
      <c r="E73" s="71"/>
    </row>
  </sheetData>
  <mergeCells count="3">
    <mergeCell ref="B2:C2"/>
    <mergeCell ref="B3:C3"/>
    <mergeCell ref="B4:C4"/>
  </mergeCells>
  <pageMargins left="0.9055118110236221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1"/>
  <sheetViews>
    <sheetView showZeros="0" tabSelected="1" zoomScaleNormal="100" workbookViewId="0">
      <pane xSplit="2" ySplit="7" topLeftCell="C80" activePane="bottomRight" state="frozen"/>
      <selection pane="topRight" activeCell="D1" sqref="D1"/>
      <selection pane="bottomLeft" activeCell="A7" sqref="A7"/>
      <selection pane="bottomRight" sqref="A1:N170"/>
    </sheetView>
  </sheetViews>
  <sheetFormatPr defaultColWidth="10.140625" defaultRowHeight="15" x14ac:dyDescent="0.2"/>
  <cols>
    <col min="1" max="1" width="6" style="12" customWidth="1"/>
    <col min="2" max="2" width="44" style="1" customWidth="1"/>
    <col min="3" max="3" width="10.7109375" style="1" customWidth="1"/>
    <col min="4" max="4" width="10.140625" style="1" customWidth="1"/>
    <col min="5" max="5" width="10.7109375" style="1" customWidth="1"/>
    <col min="6" max="6" width="10" style="1" customWidth="1"/>
    <col min="7" max="7" width="10.28515625" style="1" customWidth="1"/>
    <col min="8" max="15" width="10.140625" style="1" customWidth="1"/>
    <col min="16" max="75" width="10.140625" style="1"/>
    <col min="76" max="76" width="6" style="1" customWidth="1"/>
    <col min="77" max="77" width="44" style="1" customWidth="1"/>
    <col min="78" max="78" width="10.7109375" style="1" customWidth="1"/>
    <col min="79" max="79" width="10.140625" style="1" customWidth="1"/>
    <col min="80" max="80" width="10.7109375" style="1" customWidth="1"/>
    <col min="81" max="81" width="11.85546875" style="1" customWidth="1"/>
    <col min="82" max="331" width="10.140625" style="1"/>
    <col min="332" max="332" width="6" style="1" customWidth="1"/>
    <col min="333" max="333" width="44" style="1" customWidth="1"/>
    <col min="334" max="334" width="10.7109375" style="1" customWidth="1"/>
    <col min="335" max="335" width="10.140625" style="1" customWidth="1"/>
    <col min="336" max="336" width="10.7109375" style="1" customWidth="1"/>
    <col min="337" max="337" width="11.85546875" style="1" customWidth="1"/>
    <col min="338" max="587" width="10.140625" style="1"/>
    <col min="588" max="588" width="6" style="1" customWidth="1"/>
    <col min="589" max="589" width="44" style="1" customWidth="1"/>
    <col min="590" max="590" width="10.7109375" style="1" customWidth="1"/>
    <col min="591" max="591" width="10.140625" style="1" customWidth="1"/>
    <col min="592" max="592" width="10.7109375" style="1" customWidth="1"/>
    <col min="593" max="593" width="11.85546875" style="1" customWidth="1"/>
    <col min="594" max="843" width="10.140625" style="1"/>
    <col min="844" max="844" width="6" style="1" customWidth="1"/>
    <col min="845" max="845" width="44" style="1" customWidth="1"/>
    <col min="846" max="846" width="10.7109375" style="1" customWidth="1"/>
    <col min="847" max="847" width="10.140625" style="1" customWidth="1"/>
    <col min="848" max="848" width="10.7109375" style="1" customWidth="1"/>
    <col min="849" max="849" width="11.85546875" style="1" customWidth="1"/>
    <col min="850" max="1099" width="10.140625" style="1"/>
    <col min="1100" max="1100" width="6" style="1" customWidth="1"/>
    <col min="1101" max="1101" width="44" style="1" customWidth="1"/>
    <col min="1102" max="1102" width="10.7109375" style="1" customWidth="1"/>
    <col min="1103" max="1103" width="10.140625" style="1" customWidth="1"/>
    <col min="1104" max="1104" width="10.7109375" style="1" customWidth="1"/>
    <col min="1105" max="1105" width="11.85546875" style="1" customWidth="1"/>
    <col min="1106" max="1355" width="10.140625" style="1"/>
    <col min="1356" max="1356" width="6" style="1" customWidth="1"/>
    <col min="1357" max="1357" width="44" style="1" customWidth="1"/>
    <col min="1358" max="1358" width="10.7109375" style="1" customWidth="1"/>
    <col min="1359" max="1359" width="10.140625" style="1" customWidth="1"/>
    <col min="1360" max="1360" width="10.7109375" style="1" customWidth="1"/>
    <col min="1361" max="1361" width="11.85546875" style="1" customWidth="1"/>
    <col min="1362" max="1611" width="10.140625" style="1"/>
    <col min="1612" max="1612" width="6" style="1" customWidth="1"/>
    <col min="1613" max="1613" width="44" style="1" customWidth="1"/>
    <col min="1614" max="1614" width="10.7109375" style="1" customWidth="1"/>
    <col min="1615" max="1615" width="10.140625" style="1" customWidth="1"/>
    <col min="1616" max="1616" width="10.7109375" style="1" customWidth="1"/>
    <col min="1617" max="1617" width="11.85546875" style="1" customWidth="1"/>
    <col min="1618" max="1867" width="10.140625" style="1"/>
    <col min="1868" max="1868" width="6" style="1" customWidth="1"/>
    <col min="1869" max="1869" width="44" style="1" customWidth="1"/>
    <col min="1870" max="1870" width="10.7109375" style="1" customWidth="1"/>
    <col min="1871" max="1871" width="10.140625" style="1" customWidth="1"/>
    <col min="1872" max="1872" width="10.7109375" style="1" customWidth="1"/>
    <col min="1873" max="1873" width="11.85546875" style="1" customWidth="1"/>
    <col min="1874" max="2123" width="10.140625" style="1"/>
    <col min="2124" max="2124" width="6" style="1" customWidth="1"/>
    <col min="2125" max="2125" width="44" style="1" customWidth="1"/>
    <col min="2126" max="2126" width="10.7109375" style="1" customWidth="1"/>
    <col min="2127" max="2127" width="10.140625" style="1" customWidth="1"/>
    <col min="2128" max="2128" width="10.7109375" style="1" customWidth="1"/>
    <col min="2129" max="2129" width="11.85546875" style="1" customWidth="1"/>
    <col min="2130" max="2379" width="10.140625" style="1"/>
    <col min="2380" max="2380" width="6" style="1" customWidth="1"/>
    <col min="2381" max="2381" width="44" style="1" customWidth="1"/>
    <col min="2382" max="2382" width="10.7109375" style="1" customWidth="1"/>
    <col min="2383" max="2383" width="10.140625" style="1" customWidth="1"/>
    <col min="2384" max="2384" width="10.7109375" style="1" customWidth="1"/>
    <col min="2385" max="2385" width="11.85546875" style="1" customWidth="1"/>
    <col min="2386" max="2635" width="10.140625" style="1"/>
    <col min="2636" max="2636" width="6" style="1" customWidth="1"/>
    <col min="2637" max="2637" width="44" style="1" customWidth="1"/>
    <col min="2638" max="2638" width="10.7109375" style="1" customWidth="1"/>
    <col min="2639" max="2639" width="10.140625" style="1" customWidth="1"/>
    <col min="2640" max="2640" width="10.7109375" style="1" customWidth="1"/>
    <col min="2641" max="2641" width="11.85546875" style="1" customWidth="1"/>
    <col min="2642" max="2891" width="10.140625" style="1"/>
    <col min="2892" max="2892" width="6" style="1" customWidth="1"/>
    <col min="2893" max="2893" width="44" style="1" customWidth="1"/>
    <col min="2894" max="2894" width="10.7109375" style="1" customWidth="1"/>
    <col min="2895" max="2895" width="10.140625" style="1" customWidth="1"/>
    <col min="2896" max="2896" width="10.7109375" style="1" customWidth="1"/>
    <col min="2897" max="2897" width="11.85546875" style="1" customWidth="1"/>
    <col min="2898" max="3147" width="10.140625" style="1"/>
    <col min="3148" max="3148" width="6" style="1" customWidth="1"/>
    <col min="3149" max="3149" width="44" style="1" customWidth="1"/>
    <col min="3150" max="3150" width="10.7109375" style="1" customWidth="1"/>
    <col min="3151" max="3151" width="10.140625" style="1" customWidth="1"/>
    <col min="3152" max="3152" width="10.7109375" style="1" customWidth="1"/>
    <col min="3153" max="3153" width="11.85546875" style="1" customWidth="1"/>
    <col min="3154" max="3403" width="10.140625" style="1"/>
    <col min="3404" max="3404" width="6" style="1" customWidth="1"/>
    <col min="3405" max="3405" width="44" style="1" customWidth="1"/>
    <col min="3406" max="3406" width="10.7109375" style="1" customWidth="1"/>
    <col min="3407" max="3407" width="10.140625" style="1" customWidth="1"/>
    <col min="3408" max="3408" width="10.7109375" style="1" customWidth="1"/>
    <col min="3409" max="3409" width="11.85546875" style="1" customWidth="1"/>
    <col min="3410" max="3659" width="10.140625" style="1"/>
    <col min="3660" max="3660" width="6" style="1" customWidth="1"/>
    <col min="3661" max="3661" width="44" style="1" customWidth="1"/>
    <col min="3662" max="3662" width="10.7109375" style="1" customWidth="1"/>
    <col min="3663" max="3663" width="10.140625" style="1" customWidth="1"/>
    <col min="3664" max="3664" width="10.7109375" style="1" customWidth="1"/>
    <col min="3665" max="3665" width="11.85546875" style="1" customWidth="1"/>
    <col min="3666" max="3915" width="10.140625" style="1"/>
    <col min="3916" max="3916" width="6" style="1" customWidth="1"/>
    <col min="3917" max="3917" width="44" style="1" customWidth="1"/>
    <col min="3918" max="3918" width="10.7109375" style="1" customWidth="1"/>
    <col min="3919" max="3919" width="10.140625" style="1" customWidth="1"/>
    <col min="3920" max="3920" width="10.7109375" style="1" customWidth="1"/>
    <col min="3921" max="3921" width="11.85546875" style="1" customWidth="1"/>
    <col min="3922" max="4171" width="10.140625" style="1"/>
    <col min="4172" max="4172" width="6" style="1" customWidth="1"/>
    <col min="4173" max="4173" width="44" style="1" customWidth="1"/>
    <col min="4174" max="4174" width="10.7109375" style="1" customWidth="1"/>
    <col min="4175" max="4175" width="10.140625" style="1" customWidth="1"/>
    <col min="4176" max="4176" width="10.7109375" style="1" customWidth="1"/>
    <col min="4177" max="4177" width="11.85546875" style="1" customWidth="1"/>
    <col min="4178" max="4427" width="10.140625" style="1"/>
    <col min="4428" max="4428" width="6" style="1" customWidth="1"/>
    <col min="4429" max="4429" width="44" style="1" customWidth="1"/>
    <col min="4430" max="4430" width="10.7109375" style="1" customWidth="1"/>
    <col min="4431" max="4431" width="10.140625" style="1" customWidth="1"/>
    <col min="4432" max="4432" width="10.7109375" style="1" customWidth="1"/>
    <col min="4433" max="4433" width="11.85546875" style="1" customWidth="1"/>
    <col min="4434" max="4683" width="10.140625" style="1"/>
    <col min="4684" max="4684" width="6" style="1" customWidth="1"/>
    <col min="4685" max="4685" width="44" style="1" customWidth="1"/>
    <col min="4686" max="4686" width="10.7109375" style="1" customWidth="1"/>
    <col min="4687" max="4687" width="10.140625" style="1" customWidth="1"/>
    <col min="4688" max="4688" width="10.7109375" style="1" customWidth="1"/>
    <col min="4689" max="4689" width="11.85546875" style="1" customWidth="1"/>
    <col min="4690" max="4939" width="10.140625" style="1"/>
    <col min="4940" max="4940" width="6" style="1" customWidth="1"/>
    <col min="4941" max="4941" width="44" style="1" customWidth="1"/>
    <col min="4942" max="4942" width="10.7109375" style="1" customWidth="1"/>
    <col min="4943" max="4943" width="10.140625" style="1" customWidth="1"/>
    <col min="4944" max="4944" width="10.7109375" style="1" customWidth="1"/>
    <col min="4945" max="4945" width="11.85546875" style="1" customWidth="1"/>
    <col min="4946" max="5195" width="10.140625" style="1"/>
    <col min="5196" max="5196" width="6" style="1" customWidth="1"/>
    <col min="5197" max="5197" width="44" style="1" customWidth="1"/>
    <col min="5198" max="5198" width="10.7109375" style="1" customWidth="1"/>
    <col min="5199" max="5199" width="10.140625" style="1" customWidth="1"/>
    <col min="5200" max="5200" width="10.7109375" style="1" customWidth="1"/>
    <col min="5201" max="5201" width="11.85546875" style="1" customWidth="1"/>
    <col min="5202" max="5451" width="10.140625" style="1"/>
    <col min="5452" max="5452" width="6" style="1" customWidth="1"/>
    <col min="5453" max="5453" width="44" style="1" customWidth="1"/>
    <col min="5454" max="5454" width="10.7109375" style="1" customWidth="1"/>
    <col min="5455" max="5455" width="10.140625" style="1" customWidth="1"/>
    <col min="5456" max="5456" width="10.7109375" style="1" customWidth="1"/>
    <col min="5457" max="5457" width="11.85546875" style="1" customWidth="1"/>
    <col min="5458" max="5707" width="10.140625" style="1"/>
    <col min="5708" max="5708" width="6" style="1" customWidth="1"/>
    <col min="5709" max="5709" width="44" style="1" customWidth="1"/>
    <col min="5710" max="5710" width="10.7109375" style="1" customWidth="1"/>
    <col min="5711" max="5711" width="10.140625" style="1" customWidth="1"/>
    <col min="5712" max="5712" width="10.7109375" style="1" customWidth="1"/>
    <col min="5713" max="5713" width="11.85546875" style="1" customWidth="1"/>
    <col min="5714" max="5963" width="10.140625" style="1"/>
    <col min="5964" max="5964" width="6" style="1" customWidth="1"/>
    <col min="5965" max="5965" width="44" style="1" customWidth="1"/>
    <col min="5966" max="5966" width="10.7109375" style="1" customWidth="1"/>
    <col min="5967" max="5967" width="10.140625" style="1" customWidth="1"/>
    <col min="5968" max="5968" width="10.7109375" style="1" customWidth="1"/>
    <col min="5969" max="5969" width="11.85546875" style="1" customWidth="1"/>
    <col min="5970" max="6219" width="10.140625" style="1"/>
    <col min="6220" max="6220" width="6" style="1" customWidth="1"/>
    <col min="6221" max="6221" width="44" style="1" customWidth="1"/>
    <col min="6222" max="6222" width="10.7109375" style="1" customWidth="1"/>
    <col min="6223" max="6223" width="10.140625" style="1" customWidth="1"/>
    <col min="6224" max="6224" width="10.7109375" style="1" customWidth="1"/>
    <col min="6225" max="6225" width="11.85546875" style="1" customWidth="1"/>
    <col min="6226" max="6475" width="10.140625" style="1"/>
    <col min="6476" max="6476" width="6" style="1" customWidth="1"/>
    <col min="6477" max="6477" width="44" style="1" customWidth="1"/>
    <col min="6478" max="6478" width="10.7109375" style="1" customWidth="1"/>
    <col min="6479" max="6479" width="10.140625" style="1" customWidth="1"/>
    <col min="6480" max="6480" width="10.7109375" style="1" customWidth="1"/>
    <col min="6481" max="6481" width="11.85546875" style="1" customWidth="1"/>
    <col min="6482" max="6731" width="10.140625" style="1"/>
    <col min="6732" max="6732" width="6" style="1" customWidth="1"/>
    <col min="6733" max="6733" width="44" style="1" customWidth="1"/>
    <col min="6734" max="6734" width="10.7109375" style="1" customWidth="1"/>
    <col min="6735" max="6735" width="10.140625" style="1" customWidth="1"/>
    <col min="6736" max="6736" width="10.7109375" style="1" customWidth="1"/>
    <col min="6737" max="6737" width="11.85546875" style="1" customWidth="1"/>
    <col min="6738" max="6987" width="10.140625" style="1"/>
    <col min="6988" max="6988" width="6" style="1" customWidth="1"/>
    <col min="6989" max="6989" width="44" style="1" customWidth="1"/>
    <col min="6990" max="6990" width="10.7109375" style="1" customWidth="1"/>
    <col min="6991" max="6991" width="10.140625" style="1" customWidth="1"/>
    <col min="6992" max="6992" width="10.7109375" style="1" customWidth="1"/>
    <col min="6993" max="6993" width="11.85546875" style="1" customWidth="1"/>
    <col min="6994" max="7243" width="10.140625" style="1"/>
    <col min="7244" max="7244" width="6" style="1" customWidth="1"/>
    <col min="7245" max="7245" width="44" style="1" customWidth="1"/>
    <col min="7246" max="7246" width="10.7109375" style="1" customWidth="1"/>
    <col min="7247" max="7247" width="10.140625" style="1" customWidth="1"/>
    <col min="7248" max="7248" width="10.7109375" style="1" customWidth="1"/>
    <col min="7249" max="7249" width="11.85546875" style="1" customWidth="1"/>
    <col min="7250" max="7499" width="10.140625" style="1"/>
    <col min="7500" max="7500" width="6" style="1" customWidth="1"/>
    <col min="7501" max="7501" width="44" style="1" customWidth="1"/>
    <col min="7502" max="7502" width="10.7109375" style="1" customWidth="1"/>
    <col min="7503" max="7503" width="10.140625" style="1" customWidth="1"/>
    <col min="7504" max="7504" width="10.7109375" style="1" customWidth="1"/>
    <col min="7505" max="7505" width="11.85546875" style="1" customWidth="1"/>
    <col min="7506" max="7755" width="10.140625" style="1"/>
    <col min="7756" max="7756" width="6" style="1" customWidth="1"/>
    <col min="7757" max="7757" width="44" style="1" customWidth="1"/>
    <col min="7758" max="7758" width="10.7109375" style="1" customWidth="1"/>
    <col min="7759" max="7759" width="10.140625" style="1" customWidth="1"/>
    <col min="7760" max="7760" width="10.7109375" style="1" customWidth="1"/>
    <col min="7761" max="7761" width="11.85546875" style="1" customWidth="1"/>
    <col min="7762" max="8011" width="10.140625" style="1"/>
    <col min="8012" max="8012" width="6" style="1" customWidth="1"/>
    <col min="8013" max="8013" width="44" style="1" customWidth="1"/>
    <col min="8014" max="8014" width="10.7109375" style="1" customWidth="1"/>
    <col min="8015" max="8015" width="10.140625" style="1" customWidth="1"/>
    <col min="8016" max="8016" width="10.7109375" style="1" customWidth="1"/>
    <col min="8017" max="8017" width="11.85546875" style="1" customWidth="1"/>
    <col min="8018" max="8267" width="10.140625" style="1"/>
    <col min="8268" max="8268" width="6" style="1" customWidth="1"/>
    <col min="8269" max="8269" width="44" style="1" customWidth="1"/>
    <col min="8270" max="8270" width="10.7109375" style="1" customWidth="1"/>
    <col min="8271" max="8271" width="10.140625" style="1" customWidth="1"/>
    <col min="8272" max="8272" width="10.7109375" style="1" customWidth="1"/>
    <col min="8273" max="8273" width="11.85546875" style="1" customWidth="1"/>
    <col min="8274" max="8523" width="10.140625" style="1"/>
    <col min="8524" max="8524" width="6" style="1" customWidth="1"/>
    <col min="8525" max="8525" width="44" style="1" customWidth="1"/>
    <col min="8526" max="8526" width="10.7109375" style="1" customWidth="1"/>
    <col min="8527" max="8527" width="10.140625" style="1" customWidth="1"/>
    <col min="8528" max="8528" width="10.7109375" style="1" customWidth="1"/>
    <col min="8529" max="8529" width="11.85546875" style="1" customWidth="1"/>
    <col min="8530" max="8779" width="10.140625" style="1"/>
    <col min="8780" max="8780" width="6" style="1" customWidth="1"/>
    <col min="8781" max="8781" width="44" style="1" customWidth="1"/>
    <col min="8782" max="8782" width="10.7109375" style="1" customWidth="1"/>
    <col min="8783" max="8783" width="10.140625" style="1" customWidth="1"/>
    <col min="8784" max="8784" width="10.7109375" style="1" customWidth="1"/>
    <col min="8785" max="8785" width="11.85546875" style="1" customWidth="1"/>
    <col min="8786" max="9035" width="10.140625" style="1"/>
    <col min="9036" max="9036" width="6" style="1" customWidth="1"/>
    <col min="9037" max="9037" width="44" style="1" customWidth="1"/>
    <col min="9038" max="9038" width="10.7109375" style="1" customWidth="1"/>
    <col min="9039" max="9039" width="10.140625" style="1" customWidth="1"/>
    <col min="9040" max="9040" width="10.7109375" style="1" customWidth="1"/>
    <col min="9041" max="9041" width="11.85546875" style="1" customWidth="1"/>
    <col min="9042" max="9291" width="10.140625" style="1"/>
    <col min="9292" max="9292" width="6" style="1" customWidth="1"/>
    <col min="9293" max="9293" width="44" style="1" customWidth="1"/>
    <col min="9294" max="9294" width="10.7109375" style="1" customWidth="1"/>
    <col min="9295" max="9295" width="10.140625" style="1" customWidth="1"/>
    <col min="9296" max="9296" width="10.7109375" style="1" customWidth="1"/>
    <col min="9297" max="9297" width="11.85546875" style="1" customWidth="1"/>
    <col min="9298" max="9547" width="10.140625" style="1"/>
    <col min="9548" max="9548" width="6" style="1" customWidth="1"/>
    <col min="9549" max="9549" width="44" style="1" customWidth="1"/>
    <col min="9550" max="9550" width="10.7109375" style="1" customWidth="1"/>
    <col min="9551" max="9551" width="10.140625" style="1" customWidth="1"/>
    <col min="9552" max="9552" width="10.7109375" style="1" customWidth="1"/>
    <col min="9553" max="9553" width="11.85546875" style="1" customWidth="1"/>
    <col min="9554" max="9803" width="10.140625" style="1"/>
    <col min="9804" max="9804" width="6" style="1" customWidth="1"/>
    <col min="9805" max="9805" width="44" style="1" customWidth="1"/>
    <col min="9806" max="9806" width="10.7109375" style="1" customWidth="1"/>
    <col min="9807" max="9807" width="10.140625" style="1" customWidth="1"/>
    <col min="9808" max="9808" width="10.7109375" style="1" customWidth="1"/>
    <col min="9809" max="9809" width="11.85546875" style="1" customWidth="1"/>
    <col min="9810" max="10059" width="10.140625" style="1"/>
    <col min="10060" max="10060" width="6" style="1" customWidth="1"/>
    <col min="10061" max="10061" width="44" style="1" customWidth="1"/>
    <col min="10062" max="10062" width="10.7109375" style="1" customWidth="1"/>
    <col min="10063" max="10063" width="10.140625" style="1" customWidth="1"/>
    <col min="10064" max="10064" width="10.7109375" style="1" customWidth="1"/>
    <col min="10065" max="10065" width="11.85546875" style="1" customWidth="1"/>
    <col min="10066" max="10315" width="10.140625" style="1"/>
    <col min="10316" max="10316" width="6" style="1" customWidth="1"/>
    <col min="10317" max="10317" width="44" style="1" customWidth="1"/>
    <col min="10318" max="10318" width="10.7109375" style="1" customWidth="1"/>
    <col min="10319" max="10319" width="10.140625" style="1" customWidth="1"/>
    <col min="10320" max="10320" width="10.7109375" style="1" customWidth="1"/>
    <col min="10321" max="10321" width="11.85546875" style="1" customWidth="1"/>
    <col min="10322" max="10571" width="10.140625" style="1"/>
    <col min="10572" max="10572" width="6" style="1" customWidth="1"/>
    <col min="10573" max="10573" width="44" style="1" customWidth="1"/>
    <col min="10574" max="10574" width="10.7109375" style="1" customWidth="1"/>
    <col min="10575" max="10575" width="10.140625" style="1" customWidth="1"/>
    <col min="10576" max="10576" width="10.7109375" style="1" customWidth="1"/>
    <col min="10577" max="10577" width="11.85546875" style="1" customWidth="1"/>
    <col min="10578" max="10827" width="10.140625" style="1"/>
    <col min="10828" max="10828" width="6" style="1" customWidth="1"/>
    <col min="10829" max="10829" width="44" style="1" customWidth="1"/>
    <col min="10830" max="10830" width="10.7109375" style="1" customWidth="1"/>
    <col min="10831" max="10831" width="10.140625" style="1" customWidth="1"/>
    <col min="10832" max="10832" width="10.7109375" style="1" customWidth="1"/>
    <col min="10833" max="10833" width="11.85546875" style="1" customWidth="1"/>
    <col min="10834" max="11083" width="10.140625" style="1"/>
    <col min="11084" max="11084" width="6" style="1" customWidth="1"/>
    <col min="11085" max="11085" width="44" style="1" customWidth="1"/>
    <col min="11086" max="11086" width="10.7109375" style="1" customWidth="1"/>
    <col min="11087" max="11087" width="10.140625" style="1" customWidth="1"/>
    <col min="11088" max="11088" width="10.7109375" style="1" customWidth="1"/>
    <col min="11089" max="11089" width="11.85546875" style="1" customWidth="1"/>
    <col min="11090" max="11339" width="10.140625" style="1"/>
    <col min="11340" max="11340" width="6" style="1" customWidth="1"/>
    <col min="11341" max="11341" width="44" style="1" customWidth="1"/>
    <col min="11342" max="11342" width="10.7109375" style="1" customWidth="1"/>
    <col min="11343" max="11343" width="10.140625" style="1" customWidth="1"/>
    <col min="11344" max="11344" width="10.7109375" style="1" customWidth="1"/>
    <col min="11345" max="11345" width="11.85546875" style="1" customWidth="1"/>
    <col min="11346" max="11595" width="10.140625" style="1"/>
    <col min="11596" max="11596" width="6" style="1" customWidth="1"/>
    <col min="11597" max="11597" width="44" style="1" customWidth="1"/>
    <col min="11598" max="11598" width="10.7109375" style="1" customWidth="1"/>
    <col min="11599" max="11599" width="10.140625" style="1" customWidth="1"/>
    <col min="11600" max="11600" width="10.7109375" style="1" customWidth="1"/>
    <col min="11601" max="11601" width="11.85546875" style="1" customWidth="1"/>
    <col min="11602" max="11851" width="10.140625" style="1"/>
    <col min="11852" max="11852" width="6" style="1" customWidth="1"/>
    <col min="11853" max="11853" width="44" style="1" customWidth="1"/>
    <col min="11854" max="11854" width="10.7109375" style="1" customWidth="1"/>
    <col min="11855" max="11855" width="10.140625" style="1" customWidth="1"/>
    <col min="11856" max="11856" width="10.7109375" style="1" customWidth="1"/>
    <col min="11857" max="11857" width="11.85546875" style="1" customWidth="1"/>
    <col min="11858" max="12107" width="10.140625" style="1"/>
    <col min="12108" max="12108" width="6" style="1" customWidth="1"/>
    <col min="12109" max="12109" width="44" style="1" customWidth="1"/>
    <col min="12110" max="12110" width="10.7109375" style="1" customWidth="1"/>
    <col min="12111" max="12111" width="10.140625" style="1" customWidth="1"/>
    <col min="12112" max="12112" width="10.7109375" style="1" customWidth="1"/>
    <col min="12113" max="12113" width="11.85546875" style="1" customWidth="1"/>
    <col min="12114" max="12363" width="10.140625" style="1"/>
    <col min="12364" max="12364" width="6" style="1" customWidth="1"/>
    <col min="12365" max="12365" width="44" style="1" customWidth="1"/>
    <col min="12366" max="12366" width="10.7109375" style="1" customWidth="1"/>
    <col min="12367" max="12367" width="10.140625" style="1" customWidth="1"/>
    <col min="12368" max="12368" width="10.7109375" style="1" customWidth="1"/>
    <col min="12369" max="12369" width="11.85546875" style="1" customWidth="1"/>
    <col min="12370" max="12619" width="10.140625" style="1"/>
    <col min="12620" max="12620" width="6" style="1" customWidth="1"/>
    <col min="12621" max="12621" width="44" style="1" customWidth="1"/>
    <col min="12622" max="12622" width="10.7109375" style="1" customWidth="1"/>
    <col min="12623" max="12623" width="10.140625" style="1" customWidth="1"/>
    <col min="12624" max="12624" width="10.7109375" style="1" customWidth="1"/>
    <col min="12625" max="12625" width="11.85546875" style="1" customWidth="1"/>
    <col min="12626" max="12875" width="10.140625" style="1"/>
    <col min="12876" max="12876" width="6" style="1" customWidth="1"/>
    <col min="12877" max="12877" width="44" style="1" customWidth="1"/>
    <col min="12878" max="12878" width="10.7109375" style="1" customWidth="1"/>
    <col min="12879" max="12879" width="10.140625" style="1" customWidth="1"/>
    <col min="12880" max="12880" width="10.7109375" style="1" customWidth="1"/>
    <col min="12881" max="12881" width="11.85546875" style="1" customWidth="1"/>
    <col min="12882" max="13131" width="10.140625" style="1"/>
    <col min="13132" max="13132" width="6" style="1" customWidth="1"/>
    <col min="13133" max="13133" width="44" style="1" customWidth="1"/>
    <col min="13134" max="13134" width="10.7109375" style="1" customWidth="1"/>
    <col min="13135" max="13135" width="10.140625" style="1" customWidth="1"/>
    <col min="13136" max="13136" width="10.7109375" style="1" customWidth="1"/>
    <col min="13137" max="13137" width="11.85546875" style="1" customWidth="1"/>
    <col min="13138" max="13387" width="10.140625" style="1"/>
    <col min="13388" max="13388" width="6" style="1" customWidth="1"/>
    <col min="13389" max="13389" width="44" style="1" customWidth="1"/>
    <col min="13390" max="13390" width="10.7109375" style="1" customWidth="1"/>
    <col min="13391" max="13391" width="10.140625" style="1" customWidth="1"/>
    <col min="13392" max="13392" width="10.7109375" style="1" customWidth="1"/>
    <col min="13393" max="13393" width="11.85546875" style="1" customWidth="1"/>
    <col min="13394" max="13643" width="10.140625" style="1"/>
    <col min="13644" max="13644" width="6" style="1" customWidth="1"/>
    <col min="13645" max="13645" width="44" style="1" customWidth="1"/>
    <col min="13646" max="13646" width="10.7109375" style="1" customWidth="1"/>
    <col min="13647" max="13647" width="10.140625" style="1" customWidth="1"/>
    <col min="13648" max="13648" width="10.7109375" style="1" customWidth="1"/>
    <col min="13649" max="13649" width="11.85546875" style="1" customWidth="1"/>
    <col min="13650" max="13899" width="10.140625" style="1"/>
    <col min="13900" max="13900" width="6" style="1" customWidth="1"/>
    <col min="13901" max="13901" width="44" style="1" customWidth="1"/>
    <col min="13902" max="13902" width="10.7109375" style="1" customWidth="1"/>
    <col min="13903" max="13903" width="10.140625" style="1" customWidth="1"/>
    <col min="13904" max="13904" width="10.7109375" style="1" customWidth="1"/>
    <col min="13905" max="13905" width="11.85546875" style="1" customWidth="1"/>
    <col min="13906" max="14155" width="10.140625" style="1"/>
    <col min="14156" max="14156" width="6" style="1" customWidth="1"/>
    <col min="14157" max="14157" width="44" style="1" customWidth="1"/>
    <col min="14158" max="14158" width="10.7109375" style="1" customWidth="1"/>
    <col min="14159" max="14159" width="10.140625" style="1" customWidth="1"/>
    <col min="14160" max="14160" width="10.7109375" style="1" customWidth="1"/>
    <col min="14161" max="14161" width="11.85546875" style="1" customWidth="1"/>
    <col min="14162" max="14411" width="10.140625" style="1"/>
    <col min="14412" max="14412" width="6" style="1" customWidth="1"/>
    <col min="14413" max="14413" width="44" style="1" customWidth="1"/>
    <col min="14414" max="14414" width="10.7109375" style="1" customWidth="1"/>
    <col min="14415" max="14415" width="10.140625" style="1" customWidth="1"/>
    <col min="14416" max="14416" width="10.7109375" style="1" customWidth="1"/>
    <col min="14417" max="14417" width="11.85546875" style="1" customWidth="1"/>
    <col min="14418" max="14667" width="10.140625" style="1"/>
    <col min="14668" max="14668" width="6" style="1" customWidth="1"/>
    <col min="14669" max="14669" width="44" style="1" customWidth="1"/>
    <col min="14670" max="14670" width="10.7109375" style="1" customWidth="1"/>
    <col min="14671" max="14671" width="10.140625" style="1" customWidth="1"/>
    <col min="14672" max="14672" width="10.7109375" style="1" customWidth="1"/>
    <col min="14673" max="14673" width="11.85546875" style="1" customWidth="1"/>
    <col min="14674" max="14923" width="10.140625" style="1"/>
    <col min="14924" max="14924" width="6" style="1" customWidth="1"/>
    <col min="14925" max="14925" width="44" style="1" customWidth="1"/>
    <col min="14926" max="14926" width="10.7109375" style="1" customWidth="1"/>
    <col min="14927" max="14927" width="10.140625" style="1" customWidth="1"/>
    <col min="14928" max="14928" width="10.7109375" style="1" customWidth="1"/>
    <col min="14929" max="14929" width="11.85546875" style="1" customWidth="1"/>
    <col min="14930" max="15179" width="10.140625" style="1"/>
    <col min="15180" max="15180" width="6" style="1" customWidth="1"/>
    <col min="15181" max="15181" width="44" style="1" customWidth="1"/>
    <col min="15182" max="15182" width="10.7109375" style="1" customWidth="1"/>
    <col min="15183" max="15183" width="10.140625" style="1" customWidth="1"/>
    <col min="15184" max="15184" width="10.7109375" style="1" customWidth="1"/>
    <col min="15185" max="15185" width="11.85546875" style="1" customWidth="1"/>
    <col min="15186" max="15435" width="10.140625" style="1"/>
    <col min="15436" max="15436" width="6" style="1" customWidth="1"/>
    <col min="15437" max="15437" width="44" style="1" customWidth="1"/>
    <col min="15438" max="15438" width="10.7109375" style="1" customWidth="1"/>
    <col min="15439" max="15439" width="10.140625" style="1" customWidth="1"/>
    <col min="15440" max="15440" width="10.7109375" style="1" customWidth="1"/>
    <col min="15441" max="15441" width="11.85546875" style="1" customWidth="1"/>
    <col min="15442" max="15691" width="10.140625" style="1"/>
    <col min="15692" max="15692" width="6" style="1" customWidth="1"/>
    <col min="15693" max="15693" width="44" style="1" customWidth="1"/>
    <col min="15694" max="15694" width="10.7109375" style="1" customWidth="1"/>
    <col min="15695" max="15695" width="10.140625" style="1" customWidth="1"/>
    <col min="15696" max="15696" width="10.7109375" style="1" customWidth="1"/>
    <col min="15697" max="15697" width="11.85546875" style="1" customWidth="1"/>
    <col min="15698" max="15947" width="10.140625" style="1"/>
    <col min="15948" max="15948" width="6" style="1" customWidth="1"/>
    <col min="15949" max="15949" width="44" style="1" customWidth="1"/>
    <col min="15950" max="15950" width="10.7109375" style="1" customWidth="1"/>
    <col min="15951" max="15951" width="10.140625" style="1" customWidth="1"/>
    <col min="15952" max="15952" width="10.7109375" style="1" customWidth="1"/>
    <col min="15953" max="15953" width="11.85546875" style="1" customWidth="1"/>
    <col min="15954" max="16384" width="10.140625" style="1"/>
  </cols>
  <sheetData>
    <row r="1" spans="1:14" x14ac:dyDescent="0.2">
      <c r="A1" s="76"/>
      <c r="B1" s="71"/>
      <c r="C1" s="71"/>
      <c r="D1" s="71"/>
      <c r="E1" s="71"/>
      <c r="F1" s="71"/>
      <c r="G1" s="71"/>
      <c r="H1" s="71"/>
      <c r="I1" s="77" t="s">
        <v>219</v>
      </c>
      <c r="J1" s="71"/>
      <c r="K1" s="71"/>
      <c r="L1" s="71"/>
      <c r="M1" s="71"/>
      <c r="N1" s="71"/>
    </row>
    <row r="2" spans="1:14" ht="15.75" x14ac:dyDescent="0.25">
      <c r="A2" s="48" t="s">
        <v>31</v>
      </c>
      <c r="B2" s="7"/>
      <c r="C2" s="7"/>
      <c r="D2" s="7"/>
      <c r="E2" s="7"/>
      <c r="F2" s="7" t="s">
        <v>116</v>
      </c>
      <c r="G2" s="71"/>
      <c r="H2" s="71"/>
      <c r="I2" s="71"/>
      <c r="J2" s="71"/>
      <c r="K2" s="71"/>
      <c r="L2" s="71"/>
      <c r="M2" s="71"/>
      <c r="N2" s="71"/>
    </row>
    <row r="3" spans="1:14" ht="15.75" x14ac:dyDescent="0.25">
      <c r="A3" s="48"/>
      <c r="B3" s="7"/>
      <c r="C3" s="7"/>
      <c r="D3" s="82" t="s">
        <v>226</v>
      </c>
      <c r="E3" s="83"/>
      <c r="F3" s="84"/>
      <c r="G3" s="82" t="s">
        <v>225</v>
      </c>
      <c r="H3" s="83"/>
      <c r="I3" s="83"/>
      <c r="J3" s="84"/>
      <c r="K3" s="82" t="s">
        <v>224</v>
      </c>
      <c r="L3" s="83"/>
      <c r="M3" s="83"/>
      <c r="N3" s="84"/>
    </row>
    <row r="4" spans="1:14" ht="13.5" customHeight="1" x14ac:dyDescent="0.25">
      <c r="A4" s="85" t="s">
        <v>0</v>
      </c>
      <c r="B4" s="85" t="s">
        <v>32</v>
      </c>
      <c r="C4" s="85" t="s">
        <v>1</v>
      </c>
      <c r="D4" s="86" t="s">
        <v>2</v>
      </c>
      <c r="E4" s="86"/>
      <c r="F4" s="86"/>
      <c r="G4" s="85" t="s">
        <v>1</v>
      </c>
      <c r="H4" s="86" t="s">
        <v>2</v>
      </c>
      <c r="I4" s="86"/>
      <c r="J4" s="86"/>
      <c r="K4" s="85" t="s">
        <v>1</v>
      </c>
      <c r="L4" s="86" t="s">
        <v>2</v>
      </c>
      <c r="M4" s="86"/>
      <c r="N4" s="86"/>
    </row>
    <row r="5" spans="1:14" ht="15.75" customHeight="1" x14ac:dyDescent="0.25">
      <c r="A5" s="85"/>
      <c r="B5" s="85"/>
      <c r="C5" s="85"/>
      <c r="D5" s="85" t="s">
        <v>33</v>
      </c>
      <c r="E5" s="85"/>
      <c r="F5" s="85" t="s">
        <v>34</v>
      </c>
      <c r="G5" s="85"/>
      <c r="H5" s="85" t="s">
        <v>33</v>
      </c>
      <c r="I5" s="85"/>
      <c r="J5" s="85" t="s">
        <v>34</v>
      </c>
      <c r="K5" s="85"/>
      <c r="L5" s="85" t="s">
        <v>33</v>
      </c>
      <c r="M5" s="85"/>
      <c r="N5" s="85" t="s">
        <v>34</v>
      </c>
    </row>
    <row r="6" spans="1:14" ht="48" customHeight="1" x14ac:dyDescent="0.25">
      <c r="A6" s="85"/>
      <c r="B6" s="85"/>
      <c r="C6" s="85"/>
      <c r="D6" s="10" t="s">
        <v>35</v>
      </c>
      <c r="E6" s="10" t="s">
        <v>36</v>
      </c>
      <c r="F6" s="85"/>
      <c r="G6" s="85"/>
      <c r="H6" s="10" t="s">
        <v>35</v>
      </c>
      <c r="I6" s="10" t="s">
        <v>36</v>
      </c>
      <c r="J6" s="85"/>
      <c r="K6" s="85"/>
      <c r="L6" s="10" t="s">
        <v>35</v>
      </c>
      <c r="M6" s="10" t="s">
        <v>36</v>
      </c>
      <c r="N6" s="85"/>
    </row>
    <row r="7" spans="1:14" ht="15.75" x14ac:dyDescent="0.25">
      <c r="A7" s="63">
        <v>1</v>
      </c>
      <c r="B7" s="62">
        <v>2</v>
      </c>
      <c r="C7" s="63">
        <v>3</v>
      </c>
      <c r="D7" s="63">
        <v>4</v>
      </c>
      <c r="E7" s="63">
        <v>5</v>
      </c>
      <c r="F7" s="63">
        <v>6</v>
      </c>
      <c r="G7" s="63">
        <v>3</v>
      </c>
      <c r="H7" s="63">
        <v>4</v>
      </c>
      <c r="I7" s="63">
        <v>5</v>
      </c>
      <c r="J7" s="63">
        <v>6</v>
      </c>
      <c r="K7" s="63">
        <v>3</v>
      </c>
      <c r="L7" s="63">
        <v>4</v>
      </c>
      <c r="M7" s="63">
        <v>5</v>
      </c>
      <c r="N7" s="63">
        <v>6</v>
      </c>
    </row>
    <row r="8" spans="1:14" ht="15.75" x14ac:dyDescent="0.25">
      <c r="A8" s="11">
        <v>1</v>
      </c>
      <c r="B8" s="6" t="s">
        <v>37</v>
      </c>
      <c r="C8" s="30">
        <f>+C9</f>
        <v>234</v>
      </c>
      <c r="D8" s="30">
        <f t="shared" ref="D8:N8" si="0">+D9</f>
        <v>233</v>
      </c>
      <c r="E8" s="30">
        <f t="shared" si="0"/>
        <v>221.5</v>
      </c>
      <c r="F8" s="30">
        <f t="shared" si="0"/>
        <v>1</v>
      </c>
      <c r="G8" s="30">
        <f t="shared" si="0"/>
        <v>0</v>
      </c>
      <c r="H8" s="30">
        <f t="shared" si="0"/>
        <v>0</v>
      </c>
      <c r="I8" s="30">
        <f t="shared" si="0"/>
        <v>0</v>
      </c>
      <c r="J8" s="30">
        <f t="shared" si="0"/>
        <v>0</v>
      </c>
      <c r="K8" s="30">
        <f t="shared" si="0"/>
        <v>234</v>
      </c>
      <c r="L8" s="30">
        <f t="shared" si="0"/>
        <v>233</v>
      </c>
      <c r="M8" s="30">
        <f t="shared" si="0"/>
        <v>221.5</v>
      </c>
      <c r="N8" s="30">
        <f t="shared" si="0"/>
        <v>1</v>
      </c>
    </row>
    <row r="9" spans="1:14" ht="15.75" x14ac:dyDescent="0.25">
      <c r="A9" s="11">
        <f>+A8+1</f>
        <v>2</v>
      </c>
      <c r="B9" s="6" t="s">
        <v>38</v>
      </c>
      <c r="C9" s="30">
        <f>+C11</f>
        <v>234</v>
      </c>
      <c r="D9" s="30">
        <f t="shared" ref="D9:F9" si="1">+D11</f>
        <v>233</v>
      </c>
      <c r="E9" s="30">
        <f t="shared" si="1"/>
        <v>221.5</v>
      </c>
      <c r="F9" s="30">
        <f t="shared" si="1"/>
        <v>1</v>
      </c>
      <c r="G9" s="30">
        <f t="shared" ref="G9:N9" si="2">+G11</f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0">
        <f t="shared" si="2"/>
        <v>234</v>
      </c>
      <c r="L9" s="30">
        <f t="shared" si="2"/>
        <v>233</v>
      </c>
      <c r="M9" s="30">
        <f t="shared" si="2"/>
        <v>221.5</v>
      </c>
      <c r="N9" s="30">
        <f t="shared" si="2"/>
        <v>1</v>
      </c>
    </row>
    <row r="10" spans="1:14" ht="15.75" x14ac:dyDescent="0.25">
      <c r="A10" s="11">
        <f t="shared" ref="A10:A73" si="3">+A9+1</f>
        <v>3</v>
      </c>
      <c r="B10" s="62" t="s">
        <v>2</v>
      </c>
      <c r="C10" s="30"/>
      <c r="D10" s="30"/>
      <c r="E10" s="30"/>
      <c r="F10" s="30"/>
      <c r="G10" s="31"/>
      <c r="H10" s="31"/>
      <c r="I10" s="31"/>
      <c r="J10" s="31"/>
      <c r="K10" s="31">
        <f t="shared" ref="K10:K74" si="4">+C10+G10</f>
        <v>0</v>
      </c>
      <c r="L10" s="31">
        <f t="shared" ref="L10:L74" si="5">+D10+H10</f>
        <v>0</v>
      </c>
      <c r="M10" s="31">
        <f t="shared" ref="M10:M74" si="6">+E10+I10</f>
        <v>0</v>
      </c>
      <c r="N10" s="31">
        <f t="shared" ref="N10:N74" si="7">+F10+J10</f>
        <v>0</v>
      </c>
    </row>
    <row r="11" spans="1:14" ht="31.5" x14ac:dyDescent="0.25">
      <c r="A11" s="11">
        <f t="shared" si="3"/>
        <v>4</v>
      </c>
      <c r="B11" s="5" t="s">
        <v>50</v>
      </c>
      <c r="C11" s="31">
        <f>+D11+F11</f>
        <v>234</v>
      </c>
      <c r="D11" s="31">
        <v>233</v>
      </c>
      <c r="E11" s="31">
        <v>221.5</v>
      </c>
      <c r="F11" s="31">
        <v>1</v>
      </c>
      <c r="G11" s="31"/>
      <c r="H11" s="31"/>
      <c r="I11" s="31"/>
      <c r="J11" s="31"/>
      <c r="K11" s="31">
        <f t="shared" si="4"/>
        <v>234</v>
      </c>
      <c r="L11" s="31">
        <f t="shared" si="5"/>
        <v>233</v>
      </c>
      <c r="M11" s="31">
        <f t="shared" si="6"/>
        <v>221.5</v>
      </c>
      <c r="N11" s="31">
        <f t="shared" si="7"/>
        <v>1</v>
      </c>
    </row>
    <row r="12" spans="1:14" ht="15.75" x14ac:dyDescent="0.25">
      <c r="A12" s="11">
        <f t="shared" si="3"/>
        <v>5</v>
      </c>
      <c r="B12" s="6" t="s">
        <v>3</v>
      </c>
      <c r="C12" s="30">
        <f>+C13+C42+C43+C44+C45+C46+C47+C48</f>
        <v>15321.5</v>
      </c>
      <c r="D12" s="30">
        <f>+D13+D42+D43+D44+D45+D46+D47+D48</f>
        <v>11461.8</v>
      </c>
      <c r="E12" s="30">
        <f>+E13+E42+E43+E44+E45+E46+E47+E48</f>
        <v>8296.7000000000007</v>
      </c>
      <c r="F12" s="30">
        <f>+F13+F42+F43+F44+F45+F46+F47+F48</f>
        <v>3859.7</v>
      </c>
      <c r="G12" s="30">
        <f t="shared" ref="G12:N12" si="8">+G13+G42+G43+G44+G45+G46+G47+G48</f>
        <v>47.3</v>
      </c>
      <c r="H12" s="30">
        <f t="shared" si="8"/>
        <v>47.3</v>
      </c>
      <c r="I12" s="30">
        <f t="shared" si="8"/>
        <v>27.5</v>
      </c>
      <c r="J12" s="30">
        <f t="shared" si="8"/>
        <v>0</v>
      </c>
      <c r="K12" s="30">
        <f t="shared" si="8"/>
        <v>15368.8</v>
      </c>
      <c r="L12" s="30">
        <f t="shared" si="8"/>
        <v>11509.1</v>
      </c>
      <c r="M12" s="30">
        <f t="shared" si="8"/>
        <v>8324.2000000000007</v>
      </c>
      <c r="N12" s="30">
        <f t="shared" si="8"/>
        <v>3859.7</v>
      </c>
    </row>
    <row r="13" spans="1:14" ht="15.75" x14ac:dyDescent="0.25">
      <c r="A13" s="11">
        <f t="shared" si="3"/>
        <v>6</v>
      </c>
      <c r="B13" s="6" t="s">
        <v>38</v>
      </c>
      <c r="C13" s="30">
        <f>SUM(C15:C20)+C39+C40+C41</f>
        <v>13969.1</v>
      </c>
      <c r="D13" s="30">
        <f t="shared" ref="D13:N13" si="9">SUM(D15:D20)+D39+D40+D41</f>
        <v>10844.2</v>
      </c>
      <c r="E13" s="30">
        <f t="shared" si="9"/>
        <v>8296.7000000000007</v>
      </c>
      <c r="F13" s="30">
        <f t="shared" si="9"/>
        <v>3124.9</v>
      </c>
      <c r="G13" s="30">
        <f t="shared" si="9"/>
        <v>47.3</v>
      </c>
      <c r="H13" s="30">
        <f t="shared" si="9"/>
        <v>47.3</v>
      </c>
      <c r="I13" s="30">
        <f t="shared" si="9"/>
        <v>27.5</v>
      </c>
      <c r="J13" s="30">
        <f t="shared" si="9"/>
        <v>0</v>
      </c>
      <c r="K13" s="30">
        <f t="shared" si="9"/>
        <v>14016.4</v>
      </c>
      <c r="L13" s="30">
        <f t="shared" si="9"/>
        <v>10891.5</v>
      </c>
      <c r="M13" s="30">
        <f t="shared" si="9"/>
        <v>8324.2000000000007</v>
      </c>
      <c r="N13" s="30">
        <f t="shared" si="9"/>
        <v>3124.9</v>
      </c>
    </row>
    <row r="14" spans="1:14" ht="15.75" x14ac:dyDescent="0.25">
      <c r="A14" s="11">
        <f t="shared" si="3"/>
        <v>7</v>
      </c>
      <c r="B14" s="62" t="s">
        <v>2</v>
      </c>
      <c r="C14" s="30"/>
      <c r="D14" s="31"/>
      <c r="E14" s="31"/>
      <c r="F14" s="31"/>
      <c r="G14" s="31"/>
      <c r="H14" s="31"/>
      <c r="I14" s="31"/>
      <c r="J14" s="31"/>
      <c r="K14" s="31">
        <f t="shared" si="4"/>
        <v>0</v>
      </c>
      <c r="L14" s="31">
        <f t="shared" si="5"/>
        <v>0</v>
      </c>
      <c r="M14" s="31">
        <f t="shared" si="6"/>
        <v>0</v>
      </c>
      <c r="N14" s="31">
        <f t="shared" si="7"/>
        <v>0</v>
      </c>
    </row>
    <row r="15" spans="1:14" ht="31.5" x14ac:dyDescent="0.25">
      <c r="A15" s="11">
        <f t="shared" si="3"/>
        <v>8</v>
      </c>
      <c r="B15" s="5" t="s">
        <v>39</v>
      </c>
      <c r="C15" s="31">
        <f>+D15+F15</f>
        <v>366.7</v>
      </c>
      <c r="D15" s="31">
        <v>366.7</v>
      </c>
      <c r="E15" s="31">
        <v>155.9</v>
      </c>
      <c r="F15" s="31"/>
      <c r="G15" s="31"/>
      <c r="H15" s="31"/>
      <c r="I15" s="31"/>
      <c r="J15" s="31"/>
      <c r="K15" s="31">
        <f t="shared" si="4"/>
        <v>366.7</v>
      </c>
      <c r="L15" s="31">
        <f t="shared" si="5"/>
        <v>366.7</v>
      </c>
      <c r="M15" s="31">
        <f t="shared" si="6"/>
        <v>155.9</v>
      </c>
      <c r="N15" s="31">
        <f t="shared" si="7"/>
        <v>0</v>
      </c>
    </row>
    <row r="16" spans="1:14" ht="31.5" x14ac:dyDescent="0.25">
      <c r="A16" s="11">
        <f t="shared" si="3"/>
        <v>9</v>
      </c>
      <c r="B16" s="5" t="s">
        <v>40</v>
      </c>
      <c r="C16" s="31">
        <f t="shared" ref="C16:C19" si="10">+D16+F16</f>
        <v>215.1</v>
      </c>
      <c r="D16" s="31">
        <v>215.1</v>
      </c>
      <c r="E16" s="31">
        <v>198.9</v>
      </c>
      <c r="F16" s="31"/>
      <c r="G16" s="31"/>
      <c r="H16" s="31"/>
      <c r="I16" s="31"/>
      <c r="J16" s="31"/>
      <c r="K16" s="31">
        <f t="shared" si="4"/>
        <v>215.1</v>
      </c>
      <c r="L16" s="31">
        <f t="shared" si="5"/>
        <v>215.1</v>
      </c>
      <c r="M16" s="31">
        <f t="shared" si="6"/>
        <v>198.9</v>
      </c>
      <c r="N16" s="31">
        <f t="shared" si="7"/>
        <v>0</v>
      </c>
    </row>
    <row r="17" spans="1:14" ht="47.25" x14ac:dyDescent="0.25">
      <c r="A17" s="11">
        <f t="shared" si="3"/>
        <v>10</v>
      </c>
      <c r="B17" s="5" t="s">
        <v>41</v>
      </c>
      <c r="C17" s="31">
        <f t="shared" si="10"/>
        <v>12695.5</v>
      </c>
      <c r="D17" s="31">
        <v>9685.7999999999993</v>
      </c>
      <c r="E17" s="31">
        <f>7480.6-0.1</f>
        <v>7480.5</v>
      </c>
      <c r="F17" s="31">
        <f>105.5+2904.2</f>
        <v>3009.7</v>
      </c>
      <c r="G17" s="31"/>
      <c r="H17" s="31"/>
      <c r="I17" s="31"/>
      <c r="J17" s="31"/>
      <c r="K17" s="31">
        <f t="shared" si="4"/>
        <v>12695.5</v>
      </c>
      <c r="L17" s="31">
        <f t="shared" si="5"/>
        <v>9685.7999999999993</v>
      </c>
      <c r="M17" s="31">
        <f t="shared" si="6"/>
        <v>7480.5</v>
      </c>
      <c r="N17" s="31">
        <f t="shared" si="7"/>
        <v>3009.7</v>
      </c>
    </row>
    <row r="18" spans="1:14" ht="31.5" x14ac:dyDescent="0.25">
      <c r="A18" s="11">
        <f t="shared" si="3"/>
        <v>11</v>
      </c>
      <c r="B18" s="5" t="s">
        <v>42</v>
      </c>
      <c r="C18" s="31">
        <f t="shared" si="10"/>
        <v>29</v>
      </c>
      <c r="D18" s="31">
        <v>29</v>
      </c>
      <c r="E18" s="31"/>
      <c r="F18" s="31"/>
      <c r="G18" s="31"/>
      <c r="H18" s="31"/>
      <c r="I18" s="31"/>
      <c r="J18" s="31"/>
      <c r="K18" s="31">
        <f t="shared" si="4"/>
        <v>29</v>
      </c>
      <c r="L18" s="31">
        <f t="shared" si="5"/>
        <v>29</v>
      </c>
      <c r="M18" s="31">
        <f t="shared" si="6"/>
        <v>0</v>
      </c>
      <c r="N18" s="31">
        <f t="shared" si="7"/>
        <v>0</v>
      </c>
    </row>
    <row r="19" spans="1:14" ht="31.5" x14ac:dyDescent="0.25">
      <c r="A19" s="11">
        <f t="shared" si="3"/>
        <v>12</v>
      </c>
      <c r="B19" s="5" t="s">
        <v>43</v>
      </c>
      <c r="C19" s="31">
        <f t="shared" si="10"/>
        <v>150</v>
      </c>
      <c r="D19" s="31">
        <v>34.799999999999997</v>
      </c>
      <c r="E19" s="31"/>
      <c r="F19" s="31">
        <v>115.2</v>
      </c>
      <c r="G19" s="31"/>
      <c r="H19" s="31"/>
      <c r="I19" s="31"/>
      <c r="J19" s="31"/>
      <c r="K19" s="31">
        <f t="shared" si="4"/>
        <v>150</v>
      </c>
      <c r="L19" s="31">
        <f t="shared" si="5"/>
        <v>34.799999999999997</v>
      </c>
      <c r="M19" s="31">
        <f t="shared" si="6"/>
        <v>0</v>
      </c>
      <c r="N19" s="31">
        <f t="shared" si="7"/>
        <v>115.2</v>
      </c>
    </row>
    <row r="20" spans="1:14" ht="63" x14ac:dyDescent="0.25">
      <c r="A20" s="11">
        <f t="shared" si="3"/>
        <v>13</v>
      </c>
      <c r="B20" s="5" t="s">
        <v>44</v>
      </c>
      <c r="C20" s="31">
        <f>SUM(C22:C38)</f>
        <v>508.3</v>
      </c>
      <c r="D20" s="31">
        <f t="shared" ref="D20:N20" si="11">SUM(D22:D38)</f>
        <v>508.3</v>
      </c>
      <c r="E20" s="31">
        <f t="shared" si="11"/>
        <v>457</v>
      </c>
      <c r="F20" s="31">
        <f t="shared" si="11"/>
        <v>0</v>
      </c>
      <c r="G20" s="31">
        <f t="shared" si="11"/>
        <v>-0.8</v>
      </c>
      <c r="H20" s="31">
        <f t="shared" si="11"/>
        <v>-0.8</v>
      </c>
      <c r="I20" s="31">
        <f t="shared" si="11"/>
        <v>-0.2</v>
      </c>
      <c r="J20" s="31">
        <f t="shared" si="11"/>
        <v>0</v>
      </c>
      <c r="K20" s="31">
        <f t="shared" si="11"/>
        <v>507.5</v>
      </c>
      <c r="L20" s="31">
        <f t="shared" si="11"/>
        <v>507.5</v>
      </c>
      <c r="M20" s="31">
        <f t="shared" si="11"/>
        <v>456.8</v>
      </c>
      <c r="N20" s="31">
        <f t="shared" si="11"/>
        <v>0</v>
      </c>
    </row>
    <row r="21" spans="1:14" ht="15.75" x14ac:dyDescent="0.25">
      <c r="A21" s="11">
        <f t="shared" si="3"/>
        <v>14</v>
      </c>
      <c r="B21" s="62" t="s">
        <v>2</v>
      </c>
      <c r="C21" s="30"/>
      <c r="D21" s="31"/>
      <c r="E21" s="31"/>
      <c r="F21" s="31"/>
      <c r="G21" s="31"/>
      <c r="H21" s="31"/>
      <c r="I21" s="31"/>
      <c r="J21" s="31"/>
      <c r="K21" s="31">
        <f t="shared" si="4"/>
        <v>0</v>
      </c>
      <c r="L21" s="31">
        <f t="shared" si="5"/>
        <v>0</v>
      </c>
      <c r="M21" s="31">
        <f t="shared" si="6"/>
        <v>0</v>
      </c>
      <c r="N21" s="31">
        <f t="shared" si="7"/>
        <v>0</v>
      </c>
    </row>
    <row r="22" spans="1:14" ht="31.5" x14ac:dyDescent="0.25">
      <c r="A22" s="11">
        <f t="shared" si="3"/>
        <v>15</v>
      </c>
      <c r="B22" s="5" t="s">
        <v>16</v>
      </c>
      <c r="C22" s="31">
        <f>+D22+F22</f>
        <v>0.6</v>
      </c>
      <c r="D22" s="31">
        <v>0.6</v>
      </c>
      <c r="E22" s="31">
        <v>0.6</v>
      </c>
      <c r="F22" s="31"/>
      <c r="G22" s="31">
        <f>+H22+J22</f>
        <v>0</v>
      </c>
      <c r="H22" s="31"/>
      <c r="I22" s="31"/>
      <c r="J22" s="31"/>
      <c r="K22" s="31">
        <f t="shared" si="4"/>
        <v>0.6</v>
      </c>
      <c r="L22" s="31">
        <f t="shared" si="5"/>
        <v>0.6</v>
      </c>
      <c r="M22" s="31">
        <f t="shared" si="6"/>
        <v>0.6</v>
      </c>
      <c r="N22" s="31">
        <f t="shared" si="7"/>
        <v>0</v>
      </c>
    </row>
    <row r="23" spans="1:14" ht="15.75" x14ac:dyDescent="0.25">
      <c r="A23" s="11">
        <f t="shared" si="3"/>
        <v>16</v>
      </c>
      <c r="B23" s="5" t="s">
        <v>17</v>
      </c>
      <c r="C23" s="31">
        <f t="shared" ref="C23:C48" si="12">+D23+F23</f>
        <v>19</v>
      </c>
      <c r="D23" s="31">
        <v>19</v>
      </c>
      <c r="E23" s="31">
        <v>17.5</v>
      </c>
      <c r="F23" s="31"/>
      <c r="G23" s="31">
        <f t="shared" ref="G23:G48" si="13">+H23+J23</f>
        <v>0</v>
      </c>
      <c r="H23" s="31"/>
      <c r="I23" s="31"/>
      <c r="J23" s="31"/>
      <c r="K23" s="31">
        <f t="shared" si="4"/>
        <v>19</v>
      </c>
      <c r="L23" s="31">
        <f t="shared" si="5"/>
        <v>19</v>
      </c>
      <c r="M23" s="31">
        <f t="shared" si="6"/>
        <v>17.5</v>
      </c>
      <c r="N23" s="31">
        <f t="shared" si="7"/>
        <v>0</v>
      </c>
    </row>
    <row r="24" spans="1:14" ht="31.5" x14ac:dyDescent="0.25">
      <c r="A24" s="11">
        <f t="shared" si="3"/>
        <v>17</v>
      </c>
      <c r="B24" s="5" t="s">
        <v>18</v>
      </c>
      <c r="C24" s="31">
        <f t="shared" si="12"/>
        <v>15</v>
      </c>
      <c r="D24" s="31">
        <v>15</v>
      </c>
      <c r="E24" s="31">
        <v>14.5</v>
      </c>
      <c r="F24" s="31"/>
      <c r="G24" s="31">
        <f t="shared" si="13"/>
        <v>0</v>
      </c>
      <c r="H24" s="31"/>
      <c r="I24" s="31">
        <v>0.3</v>
      </c>
      <c r="J24" s="31"/>
      <c r="K24" s="31">
        <f t="shared" si="4"/>
        <v>15</v>
      </c>
      <c r="L24" s="31">
        <f t="shared" si="5"/>
        <v>15</v>
      </c>
      <c r="M24" s="31">
        <f t="shared" si="6"/>
        <v>14.8</v>
      </c>
      <c r="N24" s="31">
        <f t="shared" si="7"/>
        <v>0</v>
      </c>
    </row>
    <row r="25" spans="1:14" ht="31.5" x14ac:dyDescent="0.25">
      <c r="A25" s="11">
        <f t="shared" si="3"/>
        <v>18</v>
      </c>
      <c r="B25" s="5" t="s">
        <v>113</v>
      </c>
      <c r="C25" s="31">
        <f t="shared" si="12"/>
        <v>73.3</v>
      </c>
      <c r="D25" s="31">
        <v>73.3</v>
      </c>
      <c r="E25" s="31">
        <v>57.5</v>
      </c>
      <c r="F25" s="31"/>
      <c r="G25" s="31">
        <f t="shared" si="13"/>
        <v>0</v>
      </c>
      <c r="H25" s="31"/>
      <c r="I25" s="31"/>
      <c r="J25" s="31"/>
      <c r="K25" s="31">
        <f t="shared" si="4"/>
        <v>73.3</v>
      </c>
      <c r="L25" s="31">
        <f t="shared" si="5"/>
        <v>73.3</v>
      </c>
      <c r="M25" s="31">
        <f t="shared" si="6"/>
        <v>57.5</v>
      </c>
      <c r="N25" s="31">
        <f t="shared" si="7"/>
        <v>0</v>
      </c>
    </row>
    <row r="26" spans="1:14" ht="31.5" x14ac:dyDescent="0.25">
      <c r="A26" s="11">
        <f t="shared" si="3"/>
        <v>19</v>
      </c>
      <c r="B26" s="5" t="s">
        <v>145</v>
      </c>
      <c r="C26" s="31">
        <f t="shared" si="12"/>
        <v>36.4</v>
      </c>
      <c r="D26" s="31">
        <v>36.4</v>
      </c>
      <c r="E26" s="31">
        <v>32.200000000000003</v>
      </c>
      <c r="F26" s="31"/>
      <c r="G26" s="31">
        <f t="shared" si="13"/>
        <v>0</v>
      </c>
      <c r="H26" s="31"/>
      <c r="I26" s="31"/>
      <c r="J26" s="31"/>
      <c r="K26" s="31">
        <f t="shared" si="4"/>
        <v>36.4</v>
      </c>
      <c r="L26" s="31">
        <f t="shared" si="5"/>
        <v>36.4</v>
      </c>
      <c r="M26" s="31">
        <f t="shared" si="6"/>
        <v>32.200000000000003</v>
      </c>
      <c r="N26" s="31">
        <f t="shared" si="7"/>
        <v>0</v>
      </c>
    </row>
    <row r="27" spans="1:14" ht="15.75" x14ac:dyDescent="0.25">
      <c r="A27" s="11">
        <f t="shared" si="3"/>
        <v>20</v>
      </c>
      <c r="B27" s="5" t="s">
        <v>19</v>
      </c>
      <c r="C27" s="31">
        <f t="shared" si="12"/>
        <v>90.5</v>
      </c>
      <c r="D27" s="31">
        <v>90.5</v>
      </c>
      <c r="E27" s="31">
        <v>88.8</v>
      </c>
      <c r="F27" s="31"/>
      <c r="G27" s="31">
        <f t="shared" si="13"/>
        <v>0</v>
      </c>
      <c r="H27" s="31"/>
      <c r="I27" s="31"/>
      <c r="J27" s="31"/>
      <c r="K27" s="31">
        <f t="shared" si="4"/>
        <v>90.5</v>
      </c>
      <c r="L27" s="31">
        <f t="shared" si="5"/>
        <v>90.5</v>
      </c>
      <c r="M27" s="31">
        <f t="shared" si="6"/>
        <v>88.8</v>
      </c>
      <c r="N27" s="31">
        <f t="shared" si="7"/>
        <v>0</v>
      </c>
    </row>
    <row r="28" spans="1:14" ht="47.25" x14ac:dyDescent="0.25">
      <c r="A28" s="11">
        <f t="shared" si="3"/>
        <v>21</v>
      </c>
      <c r="B28" s="5" t="s">
        <v>109</v>
      </c>
      <c r="C28" s="31">
        <f t="shared" si="12"/>
        <v>21.5</v>
      </c>
      <c r="D28" s="31">
        <v>21.5</v>
      </c>
      <c r="E28" s="31">
        <v>21.1</v>
      </c>
      <c r="F28" s="31"/>
      <c r="G28" s="31">
        <f t="shared" si="13"/>
        <v>0</v>
      </c>
      <c r="H28" s="31"/>
      <c r="I28" s="31"/>
      <c r="J28" s="31"/>
      <c r="K28" s="31">
        <f t="shared" si="4"/>
        <v>21.5</v>
      </c>
      <c r="L28" s="31">
        <f t="shared" si="5"/>
        <v>21.5</v>
      </c>
      <c r="M28" s="31">
        <f t="shared" si="6"/>
        <v>21.1</v>
      </c>
      <c r="N28" s="31">
        <f t="shared" si="7"/>
        <v>0</v>
      </c>
    </row>
    <row r="29" spans="1:14" ht="31.5" x14ac:dyDescent="0.25">
      <c r="A29" s="11">
        <f t="shared" si="3"/>
        <v>22</v>
      </c>
      <c r="B29" s="5" t="s">
        <v>21</v>
      </c>
      <c r="C29" s="31">
        <f t="shared" si="12"/>
        <v>2.6</v>
      </c>
      <c r="D29" s="31">
        <v>2.6</v>
      </c>
      <c r="E29" s="31"/>
      <c r="F29" s="31"/>
      <c r="G29" s="31">
        <f t="shared" si="13"/>
        <v>0</v>
      </c>
      <c r="H29" s="31"/>
      <c r="I29" s="31"/>
      <c r="J29" s="31"/>
      <c r="K29" s="31">
        <f t="shared" si="4"/>
        <v>2.6</v>
      </c>
      <c r="L29" s="31">
        <f t="shared" si="5"/>
        <v>2.6</v>
      </c>
      <c r="M29" s="31">
        <f t="shared" si="6"/>
        <v>0</v>
      </c>
      <c r="N29" s="31">
        <f t="shared" si="7"/>
        <v>0</v>
      </c>
    </row>
    <row r="30" spans="1:14" ht="15.75" x14ac:dyDescent="0.25">
      <c r="A30" s="11">
        <f t="shared" si="3"/>
        <v>23</v>
      </c>
      <c r="B30" s="5" t="s">
        <v>20</v>
      </c>
      <c r="C30" s="31">
        <f t="shared" si="12"/>
        <v>62</v>
      </c>
      <c r="D30" s="31">
        <v>62</v>
      </c>
      <c r="E30" s="31">
        <v>52</v>
      </c>
      <c r="F30" s="31"/>
      <c r="G30" s="31">
        <f t="shared" si="13"/>
        <v>0</v>
      </c>
      <c r="H30" s="31"/>
      <c r="I30" s="31"/>
      <c r="J30" s="31"/>
      <c r="K30" s="31">
        <f t="shared" si="4"/>
        <v>62</v>
      </c>
      <c r="L30" s="31">
        <f t="shared" si="5"/>
        <v>62</v>
      </c>
      <c r="M30" s="31">
        <f t="shared" si="6"/>
        <v>52</v>
      </c>
      <c r="N30" s="31">
        <f t="shared" si="7"/>
        <v>0</v>
      </c>
    </row>
    <row r="31" spans="1:14" ht="15.75" x14ac:dyDescent="0.25">
      <c r="A31" s="11">
        <f t="shared" si="3"/>
        <v>24</v>
      </c>
      <c r="B31" s="10" t="s">
        <v>45</v>
      </c>
      <c r="C31" s="31">
        <f t="shared" si="12"/>
        <v>16</v>
      </c>
      <c r="D31" s="31">
        <v>16</v>
      </c>
      <c r="E31" s="31">
        <v>15.3</v>
      </c>
      <c r="F31" s="31"/>
      <c r="G31" s="31">
        <f t="shared" si="13"/>
        <v>0</v>
      </c>
      <c r="H31" s="31"/>
      <c r="I31" s="31"/>
      <c r="J31" s="31"/>
      <c r="K31" s="31">
        <f t="shared" si="4"/>
        <v>16</v>
      </c>
      <c r="L31" s="31">
        <f t="shared" si="5"/>
        <v>16</v>
      </c>
      <c r="M31" s="31">
        <f t="shared" si="6"/>
        <v>15.3</v>
      </c>
      <c r="N31" s="31">
        <f t="shared" si="7"/>
        <v>0</v>
      </c>
    </row>
    <row r="32" spans="1:14" ht="31.5" x14ac:dyDescent="0.25">
      <c r="A32" s="11">
        <f t="shared" si="3"/>
        <v>25</v>
      </c>
      <c r="B32" s="5" t="s">
        <v>148</v>
      </c>
      <c r="C32" s="31">
        <f t="shared" si="12"/>
        <v>8.4</v>
      </c>
      <c r="D32" s="31">
        <v>8.4</v>
      </c>
      <c r="E32" s="31">
        <v>8.1999999999999993</v>
      </c>
      <c r="F32" s="31"/>
      <c r="G32" s="31">
        <f t="shared" si="13"/>
        <v>0</v>
      </c>
      <c r="H32" s="31"/>
      <c r="I32" s="31"/>
      <c r="J32" s="31"/>
      <c r="K32" s="31">
        <f t="shared" si="4"/>
        <v>8.4</v>
      </c>
      <c r="L32" s="31">
        <f t="shared" si="5"/>
        <v>8.4</v>
      </c>
      <c r="M32" s="31">
        <f t="shared" si="6"/>
        <v>8.1999999999999993</v>
      </c>
      <c r="N32" s="31">
        <f t="shared" si="7"/>
        <v>0</v>
      </c>
    </row>
    <row r="33" spans="1:14" ht="15.75" x14ac:dyDescent="0.25">
      <c r="A33" s="11">
        <f t="shared" si="3"/>
        <v>26</v>
      </c>
      <c r="B33" s="5" t="s">
        <v>46</v>
      </c>
      <c r="C33" s="31">
        <f t="shared" si="12"/>
        <v>70.7</v>
      </c>
      <c r="D33" s="31">
        <v>70.7</v>
      </c>
      <c r="E33" s="31">
        <v>69.2</v>
      </c>
      <c r="F33" s="31"/>
      <c r="G33" s="31">
        <f t="shared" si="13"/>
        <v>0</v>
      </c>
      <c r="H33" s="31"/>
      <c r="I33" s="31"/>
      <c r="J33" s="31"/>
      <c r="K33" s="31">
        <f t="shared" si="4"/>
        <v>70.7</v>
      </c>
      <c r="L33" s="31">
        <f t="shared" si="5"/>
        <v>70.7</v>
      </c>
      <c r="M33" s="31">
        <f t="shared" si="6"/>
        <v>69.2</v>
      </c>
      <c r="N33" s="31">
        <f t="shared" si="7"/>
        <v>0</v>
      </c>
    </row>
    <row r="34" spans="1:14" ht="31.5" x14ac:dyDescent="0.25">
      <c r="A34" s="11">
        <f t="shared" si="3"/>
        <v>27</v>
      </c>
      <c r="B34" s="5" t="s">
        <v>47</v>
      </c>
      <c r="C34" s="31">
        <f t="shared" si="12"/>
        <v>24.3</v>
      </c>
      <c r="D34" s="31">
        <v>24.3</v>
      </c>
      <c r="E34" s="31">
        <v>19.8</v>
      </c>
      <c r="F34" s="31"/>
      <c r="G34" s="31">
        <f t="shared" si="13"/>
        <v>0</v>
      </c>
      <c r="H34" s="31"/>
      <c r="I34" s="31"/>
      <c r="J34" s="31"/>
      <c r="K34" s="31">
        <f t="shared" si="4"/>
        <v>24.3</v>
      </c>
      <c r="L34" s="31">
        <f t="shared" si="5"/>
        <v>24.3</v>
      </c>
      <c r="M34" s="31">
        <f t="shared" si="6"/>
        <v>19.8</v>
      </c>
      <c r="N34" s="31">
        <f t="shared" si="7"/>
        <v>0</v>
      </c>
    </row>
    <row r="35" spans="1:14" ht="15.75" x14ac:dyDescent="0.25">
      <c r="A35" s="11">
        <f t="shared" si="3"/>
        <v>28</v>
      </c>
      <c r="B35" s="5" t="s">
        <v>48</v>
      </c>
      <c r="C35" s="31">
        <f t="shared" si="12"/>
        <v>15.2</v>
      </c>
      <c r="D35" s="31">
        <v>15.2</v>
      </c>
      <c r="E35" s="31">
        <v>13.6</v>
      </c>
      <c r="F35" s="31"/>
      <c r="G35" s="31">
        <f t="shared" si="13"/>
        <v>-0.7</v>
      </c>
      <c r="H35" s="31">
        <v>-0.7</v>
      </c>
      <c r="I35" s="31">
        <v>-0.4</v>
      </c>
      <c r="J35" s="31"/>
      <c r="K35" s="31">
        <f t="shared" si="4"/>
        <v>14.5</v>
      </c>
      <c r="L35" s="31">
        <f t="shared" si="5"/>
        <v>14.5</v>
      </c>
      <c r="M35" s="31">
        <f t="shared" si="6"/>
        <v>13.2</v>
      </c>
      <c r="N35" s="31">
        <f t="shared" si="7"/>
        <v>0</v>
      </c>
    </row>
    <row r="36" spans="1:14" ht="31.5" x14ac:dyDescent="0.25">
      <c r="A36" s="11">
        <f t="shared" si="3"/>
        <v>29</v>
      </c>
      <c r="B36" s="5" t="s">
        <v>149</v>
      </c>
      <c r="C36" s="31">
        <f t="shared" si="12"/>
        <v>2.1</v>
      </c>
      <c r="D36" s="31">
        <v>2.1</v>
      </c>
      <c r="E36" s="31">
        <v>2</v>
      </c>
      <c r="F36" s="31"/>
      <c r="G36" s="31">
        <f t="shared" si="13"/>
        <v>-0.1</v>
      </c>
      <c r="H36" s="31">
        <v>-0.1</v>
      </c>
      <c r="I36" s="31">
        <v>-0.1</v>
      </c>
      <c r="J36" s="31"/>
      <c r="K36" s="31">
        <f t="shared" si="4"/>
        <v>2</v>
      </c>
      <c r="L36" s="31">
        <f t="shared" si="5"/>
        <v>2</v>
      </c>
      <c r="M36" s="31">
        <f t="shared" si="6"/>
        <v>1.9</v>
      </c>
      <c r="N36" s="31">
        <f t="shared" si="7"/>
        <v>0</v>
      </c>
    </row>
    <row r="37" spans="1:14" ht="47.25" x14ac:dyDescent="0.25">
      <c r="A37" s="11">
        <f t="shared" si="3"/>
        <v>30</v>
      </c>
      <c r="B37" s="5" t="s">
        <v>150</v>
      </c>
      <c r="C37" s="31">
        <f t="shared" si="12"/>
        <v>1.4</v>
      </c>
      <c r="D37" s="31">
        <v>1.4</v>
      </c>
      <c r="E37" s="31">
        <v>1.4</v>
      </c>
      <c r="F37" s="31"/>
      <c r="G37" s="31">
        <f t="shared" si="13"/>
        <v>0</v>
      </c>
      <c r="H37" s="31"/>
      <c r="I37" s="31"/>
      <c r="J37" s="31"/>
      <c r="K37" s="31">
        <f t="shared" si="4"/>
        <v>1.4</v>
      </c>
      <c r="L37" s="31">
        <f t="shared" si="5"/>
        <v>1.4</v>
      </c>
      <c r="M37" s="31">
        <f t="shared" si="6"/>
        <v>1.4</v>
      </c>
      <c r="N37" s="31">
        <f t="shared" si="7"/>
        <v>0</v>
      </c>
    </row>
    <row r="38" spans="1:14" ht="31.5" x14ac:dyDescent="0.25">
      <c r="A38" s="11">
        <f t="shared" si="3"/>
        <v>31</v>
      </c>
      <c r="B38" s="5" t="s">
        <v>169</v>
      </c>
      <c r="C38" s="31">
        <f t="shared" si="12"/>
        <v>49.3</v>
      </c>
      <c r="D38" s="31">
        <v>49.3</v>
      </c>
      <c r="E38" s="31">
        <v>43.3</v>
      </c>
      <c r="F38" s="31"/>
      <c r="G38" s="31">
        <f t="shared" si="13"/>
        <v>0</v>
      </c>
      <c r="H38" s="31"/>
      <c r="I38" s="31"/>
      <c r="J38" s="31"/>
      <c r="K38" s="31">
        <f t="shared" si="4"/>
        <v>49.3</v>
      </c>
      <c r="L38" s="31">
        <f t="shared" si="5"/>
        <v>49.3</v>
      </c>
      <c r="M38" s="31">
        <f t="shared" si="6"/>
        <v>43.3</v>
      </c>
      <c r="N38" s="31">
        <f t="shared" si="7"/>
        <v>0</v>
      </c>
    </row>
    <row r="39" spans="1:14" ht="47.25" x14ac:dyDescent="0.25">
      <c r="A39" s="11">
        <f t="shared" si="3"/>
        <v>32</v>
      </c>
      <c r="B39" s="49" t="s">
        <v>152</v>
      </c>
      <c r="C39" s="31">
        <f t="shared" si="12"/>
        <v>4.5</v>
      </c>
      <c r="D39" s="31">
        <v>4.5</v>
      </c>
      <c r="E39" s="31">
        <v>4.4000000000000004</v>
      </c>
      <c r="F39" s="30"/>
      <c r="G39" s="31">
        <f t="shared" si="13"/>
        <v>0</v>
      </c>
      <c r="H39" s="31"/>
      <c r="I39" s="31"/>
      <c r="J39" s="31"/>
      <c r="K39" s="31">
        <f t="shared" si="4"/>
        <v>4.5</v>
      </c>
      <c r="L39" s="31">
        <f t="shared" si="5"/>
        <v>4.5</v>
      </c>
      <c r="M39" s="31">
        <f t="shared" si="6"/>
        <v>4.4000000000000004</v>
      </c>
      <c r="N39" s="31">
        <f t="shared" si="7"/>
        <v>0</v>
      </c>
    </row>
    <row r="40" spans="1:14" ht="47.25" x14ac:dyDescent="0.25">
      <c r="A40" s="11">
        <f t="shared" si="3"/>
        <v>33</v>
      </c>
      <c r="B40" s="32" t="s">
        <v>242</v>
      </c>
      <c r="C40" s="31"/>
      <c r="D40" s="31"/>
      <c r="E40" s="31"/>
      <c r="F40" s="30"/>
      <c r="G40" s="30">
        <f t="shared" si="13"/>
        <v>28.1</v>
      </c>
      <c r="H40" s="30">
        <v>28.1</v>
      </c>
      <c r="I40" s="30">
        <v>27.7</v>
      </c>
      <c r="J40" s="30"/>
      <c r="K40" s="30">
        <f t="shared" ref="K40" si="14">+C40+G40</f>
        <v>28.1</v>
      </c>
      <c r="L40" s="30">
        <f t="shared" ref="L40" si="15">+D40+H40</f>
        <v>28.1</v>
      </c>
      <c r="M40" s="30">
        <f t="shared" ref="M40" si="16">+E40+I40</f>
        <v>27.7</v>
      </c>
      <c r="N40" s="30">
        <f t="shared" ref="N40" si="17">+F40+J40</f>
        <v>0</v>
      </c>
    </row>
    <row r="41" spans="1:14" ht="78.75" x14ac:dyDescent="0.25">
      <c r="A41" s="11">
        <f t="shared" si="3"/>
        <v>34</v>
      </c>
      <c r="B41" s="32" t="s">
        <v>243</v>
      </c>
      <c r="C41" s="31"/>
      <c r="D41" s="31"/>
      <c r="E41" s="31"/>
      <c r="F41" s="30"/>
      <c r="G41" s="30">
        <f t="shared" si="13"/>
        <v>20</v>
      </c>
      <c r="H41" s="30">
        <v>20</v>
      </c>
      <c r="I41" s="30"/>
      <c r="J41" s="30"/>
      <c r="K41" s="30">
        <f t="shared" ref="K41" si="18">+C41+G41</f>
        <v>20</v>
      </c>
      <c r="L41" s="30">
        <f t="shared" ref="L41" si="19">+D41+H41</f>
        <v>20</v>
      </c>
      <c r="M41" s="30">
        <f t="shared" ref="M41" si="20">+E41+I41</f>
        <v>0</v>
      </c>
      <c r="N41" s="30">
        <f t="shared" ref="N41" si="21">+F41+J41</f>
        <v>0</v>
      </c>
    </row>
    <row r="42" spans="1:14" ht="31.5" x14ac:dyDescent="0.25">
      <c r="A42" s="11">
        <f t="shared" si="3"/>
        <v>35</v>
      </c>
      <c r="B42" s="5" t="s">
        <v>174</v>
      </c>
      <c r="C42" s="30">
        <f t="shared" si="12"/>
        <v>136.80000000000001</v>
      </c>
      <c r="D42" s="30">
        <v>136.80000000000001</v>
      </c>
      <c r="E42" s="30"/>
      <c r="F42" s="30"/>
      <c r="G42" s="31">
        <f t="shared" si="13"/>
        <v>0</v>
      </c>
      <c r="H42" s="31"/>
      <c r="I42" s="31"/>
      <c r="J42" s="31"/>
      <c r="K42" s="30">
        <f t="shared" si="4"/>
        <v>136.80000000000001</v>
      </c>
      <c r="L42" s="30">
        <f t="shared" si="5"/>
        <v>136.80000000000001</v>
      </c>
      <c r="M42" s="30">
        <f t="shared" si="6"/>
        <v>0</v>
      </c>
      <c r="N42" s="30">
        <f t="shared" si="7"/>
        <v>0</v>
      </c>
    </row>
    <row r="43" spans="1:14" ht="47.25" x14ac:dyDescent="0.25">
      <c r="A43" s="11">
        <f t="shared" si="3"/>
        <v>36</v>
      </c>
      <c r="B43" s="10" t="s">
        <v>175</v>
      </c>
      <c r="C43" s="30">
        <f t="shared" si="12"/>
        <v>204.4</v>
      </c>
      <c r="D43" s="30">
        <v>204.4</v>
      </c>
      <c r="E43" s="30"/>
      <c r="F43" s="30"/>
      <c r="G43" s="31">
        <f t="shared" si="13"/>
        <v>0</v>
      </c>
      <c r="H43" s="31"/>
      <c r="I43" s="31"/>
      <c r="J43" s="31"/>
      <c r="K43" s="30">
        <f t="shared" si="4"/>
        <v>204.4</v>
      </c>
      <c r="L43" s="30">
        <f t="shared" si="5"/>
        <v>204.4</v>
      </c>
      <c r="M43" s="30">
        <f t="shared" si="6"/>
        <v>0</v>
      </c>
      <c r="N43" s="30">
        <f t="shared" si="7"/>
        <v>0</v>
      </c>
    </row>
    <row r="44" spans="1:14" ht="31.5" x14ac:dyDescent="0.25">
      <c r="A44" s="11">
        <f t="shared" si="3"/>
        <v>37</v>
      </c>
      <c r="B44" s="49" t="s">
        <v>176</v>
      </c>
      <c r="C44" s="30">
        <f t="shared" si="12"/>
        <v>271</v>
      </c>
      <c r="D44" s="30">
        <v>271</v>
      </c>
      <c r="E44" s="30"/>
      <c r="F44" s="30"/>
      <c r="G44" s="31">
        <f t="shared" si="13"/>
        <v>0</v>
      </c>
      <c r="H44" s="31"/>
      <c r="I44" s="31"/>
      <c r="J44" s="31"/>
      <c r="K44" s="30">
        <f t="shared" si="4"/>
        <v>271</v>
      </c>
      <c r="L44" s="30">
        <f t="shared" si="5"/>
        <v>271</v>
      </c>
      <c r="M44" s="30">
        <f t="shared" si="6"/>
        <v>0</v>
      </c>
      <c r="N44" s="30">
        <f t="shared" si="7"/>
        <v>0</v>
      </c>
    </row>
    <row r="45" spans="1:14" ht="31.5" x14ac:dyDescent="0.25">
      <c r="A45" s="11">
        <f t="shared" si="3"/>
        <v>38</v>
      </c>
      <c r="B45" s="6" t="s">
        <v>177</v>
      </c>
      <c r="C45" s="30">
        <f t="shared" si="12"/>
        <v>163.4</v>
      </c>
      <c r="D45" s="30">
        <v>5.4</v>
      </c>
      <c r="E45" s="30"/>
      <c r="F45" s="30">
        <v>158</v>
      </c>
      <c r="G45" s="31">
        <f t="shared" si="13"/>
        <v>0</v>
      </c>
      <c r="H45" s="31"/>
      <c r="I45" s="31"/>
      <c r="J45" s="31"/>
      <c r="K45" s="30">
        <f t="shared" si="4"/>
        <v>163.4</v>
      </c>
      <c r="L45" s="30">
        <f t="shared" si="5"/>
        <v>5.4</v>
      </c>
      <c r="M45" s="30">
        <f t="shared" si="6"/>
        <v>0</v>
      </c>
      <c r="N45" s="30">
        <f t="shared" si="7"/>
        <v>158</v>
      </c>
    </row>
    <row r="46" spans="1:14" ht="31.5" x14ac:dyDescent="0.25">
      <c r="A46" s="11">
        <f t="shared" si="3"/>
        <v>39</v>
      </c>
      <c r="B46" s="10" t="s">
        <v>178</v>
      </c>
      <c r="C46" s="30">
        <f t="shared" si="12"/>
        <v>12.6</v>
      </c>
      <c r="D46" s="30"/>
      <c r="E46" s="30"/>
      <c r="F46" s="30">
        <v>12.6</v>
      </c>
      <c r="G46" s="31">
        <f t="shared" si="13"/>
        <v>0</v>
      </c>
      <c r="H46" s="31"/>
      <c r="I46" s="31"/>
      <c r="J46" s="31"/>
      <c r="K46" s="30">
        <f t="shared" si="4"/>
        <v>12.6</v>
      </c>
      <c r="L46" s="30">
        <f t="shared" si="5"/>
        <v>0</v>
      </c>
      <c r="M46" s="30">
        <f t="shared" si="6"/>
        <v>0</v>
      </c>
      <c r="N46" s="30">
        <f t="shared" si="7"/>
        <v>12.6</v>
      </c>
    </row>
    <row r="47" spans="1:14" ht="31.5" x14ac:dyDescent="0.25">
      <c r="A47" s="11">
        <f t="shared" si="3"/>
        <v>40</v>
      </c>
      <c r="B47" s="9" t="s">
        <v>179</v>
      </c>
      <c r="C47" s="30">
        <f t="shared" si="12"/>
        <v>414.2</v>
      </c>
      <c r="D47" s="30"/>
      <c r="E47" s="30"/>
      <c r="F47" s="30">
        <f>410+4.2</f>
        <v>414.2</v>
      </c>
      <c r="G47" s="31">
        <f t="shared" si="13"/>
        <v>0</v>
      </c>
      <c r="H47" s="31"/>
      <c r="I47" s="31"/>
      <c r="J47" s="31"/>
      <c r="K47" s="30">
        <f t="shared" si="4"/>
        <v>414.2</v>
      </c>
      <c r="L47" s="30">
        <f t="shared" si="5"/>
        <v>0</v>
      </c>
      <c r="M47" s="30">
        <f t="shared" si="6"/>
        <v>0</v>
      </c>
      <c r="N47" s="30">
        <f t="shared" si="7"/>
        <v>414.2</v>
      </c>
    </row>
    <row r="48" spans="1:14" ht="31.5" x14ac:dyDescent="0.25">
      <c r="A48" s="11">
        <f t="shared" si="3"/>
        <v>41</v>
      </c>
      <c r="B48" s="9" t="s">
        <v>180</v>
      </c>
      <c r="C48" s="30">
        <f t="shared" si="12"/>
        <v>150</v>
      </c>
      <c r="D48" s="30"/>
      <c r="E48" s="30"/>
      <c r="F48" s="30">
        <v>150</v>
      </c>
      <c r="G48" s="31">
        <f t="shared" si="13"/>
        <v>0</v>
      </c>
      <c r="H48" s="31"/>
      <c r="I48" s="31"/>
      <c r="J48" s="31"/>
      <c r="K48" s="30">
        <f t="shared" si="4"/>
        <v>150</v>
      </c>
      <c r="L48" s="30">
        <f t="shared" si="5"/>
        <v>0</v>
      </c>
      <c r="M48" s="30">
        <f t="shared" si="6"/>
        <v>0</v>
      </c>
      <c r="N48" s="30">
        <f t="shared" si="7"/>
        <v>150</v>
      </c>
    </row>
    <row r="49" spans="1:14" ht="15.75" x14ac:dyDescent="0.25">
      <c r="A49" s="11">
        <f t="shared" si="3"/>
        <v>42</v>
      </c>
      <c r="B49" s="32" t="s">
        <v>49</v>
      </c>
      <c r="C49" s="30">
        <f>+C50+C54+C60+C61+C66+C71+C75+C79+C84+C89+C93</f>
        <v>30313</v>
      </c>
      <c r="D49" s="30">
        <f>+D50+D54+D60+D61+D66+D71+D75+D79+D84+D89+D93</f>
        <v>6829.7</v>
      </c>
      <c r="E49" s="30">
        <f>+E50+E54+E60+E61+E66+E71+E75+E79+E84+E89+E93</f>
        <v>36.6</v>
      </c>
      <c r="F49" s="30">
        <f>+F50+F54+F60+F61+F66+F71+F75+F79+F84+F89+F93</f>
        <v>23483.3</v>
      </c>
      <c r="G49" s="30">
        <f t="shared" ref="G49:N49" si="22">+G50+G54+G60+G61+G66+G71+G75+G79+G84+G89+G93</f>
        <v>2718.1</v>
      </c>
      <c r="H49" s="30">
        <f t="shared" si="22"/>
        <v>202.8</v>
      </c>
      <c r="I49" s="30">
        <f t="shared" si="22"/>
        <v>0</v>
      </c>
      <c r="J49" s="30">
        <f t="shared" si="22"/>
        <v>2515.3000000000002</v>
      </c>
      <c r="K49" s="30">
        <f t="shared" si="22"/>
        <v>33031.1</v>
      </c>
      <c r="L49" s="30">
        <f t="shared" si="22"/>
        <v>7032.5</v>
      </c>
      <c r="M49" s="30">
        <f t="shared" si="22"/>
        <v>36.6</v>
      </c>
      <c r="N49" s="30">
        <f t="shared" si="22"/>
        <v>25998.6</v>
      </c>
    </row>
    <row r="50" spans="1:14" ht="31.5" x14ac:dyDescent="0.25">
      <c r="A50" s="11">
        <f t="shared" si="3"/>
        <v>43</v>
      </c>
      <c r="B50" s="32" t="s">
        <v>136</v>
      </c>
      <c r="C50" s="30">
        <f>+C52+C53</f>
        <v>1982.2</v>
      </c>
      <c r="D50" s="30">
        <f t="shared" ref="D50:F50" si="23">+D52+D53</f>
        <v>298.39999999999998</v>
      </c>
      <c r="E50" s="30">
        <f t="shared" si="23"/>
        <v>3.3</v>
      </c>
      <c r="F50" s="30">
        <f t="shared" si="23"/>
        <v>1683.8</v>
      </c>
      <c r="G50" s="30">
        <f t="shared" ref="G50:N50" si="24">+G52+G53</f>
        <v>0</v>
      </c>
      <c r="H50" s="30">
        <f t="shared" si="24"/>
        <v>0</v>
      </c>
      <c r="I50" s="30">
        <f t="shared" si="24"/>
        <v>0</v>
      </c>
      <c r="J50" s="30">
        <f t="shared" si="24"/>
        <v>0</v>
      </c>
      <c r="K50" s="30">
        <f t="shared" si="24"/>
        <v>1982.2</v>
      </c>
      <c r="L50" s="30">
        <f t="shared" si="24"/>
        <v>298.39999999999998</v>
      </c>
      <c r="M50" s="30">
        <f t="shared" si="24"/>
        <v>3.3</v>
      </c>
      <c r="N50" s="30">
        <f t="shared" si="24"/>
        <v>1683.8</v>
      </c>
    </row>
    <row r="51" spans="1:14" ht="15.75" x14ac:dyDescent="0.25">
      <c r="A51" s="11">
        <f t="shared" si="3"/>
        <v>44</v>
      </c>
      <c r="B51" s="50" t="s">
        <v>2</v>
      </c>
      <c r="C51" s="31"/>
      <c r="D51" s="31"/>
      <c r="E51" s="31"/>
      <c r="F51" s="31"/>
      <c r="G51" s="31"/>
      <c r="H51" s="31"/>
      <c r="I51" s="31"/>
      <c r="J51" s="31"/>
      <c r="K51" s="31">
        <f t="shared" si="4"/>
        <v>0</v>
      </c>
      <c r="L51" s="31">
        <f t="shared" si="5"/>
        <v>0</v>
      </c>
      <c r="M51" s="31">
        <f t="shared" si="6"/>
        <v>0</v>
      </c>
      <c r="N51" s="31">
        <f t="shared" si="7"/>
        <v>0</v>
      </c>
    </row>
    <row r="52" spans="1:14" ht="31.5" x14ac:dyDescent="0.25">
      <c r="A52" s="11">
        <f t="shared" si="3"/>
        <v>45</v>
      </c>
      <c r="B52" s="49" t="s">
        <v>135</v>
      </c>
      <c r="C52" s="31">
        <f>+D52+F52</f>
        <v>1278.2</v>
      </c>
      <c r="D52" s="31">
        <v>284.60000000000002</v>
      </c>
      <c r="E52" s="31">
        <v>0.6</v>
      </c>
      <c r="F52" s="31">
        <v>993.6</v>
      </c>
      <c r="G52" s="31"/>
      <c r="H52" s="31"/>
      <c r="I52" s="31"/>
      <c r="J52" s="31"/>
      <c r="K52" s="31">
        <f t="shared" si="4"/>
        <v>1278.2</v>
      </c>
      <c r="L52" s="31">
        <f t="shared" si="5"/>
        <v>284.60000000000002</v>
      </c>
      <c r="M52" s="31">
        <f t="shared" si="6"/>
        <v>0.6</v>
      </c>
      <c r="N52" s="31">
        <f t="shared" si="7"/>
        <v>993.6</v>
      </c>
    </row>
    <row r="53" spans="1:14" ht="47.25" x14ac:dyDescent="0.25">
      <c r="A53" s="11">
        <f t="shared" si="3"/>
        <v>46</v>
      </c>
      <c r="B53" s="49" t="s">
        <v>162</v>
      </c>
      <c r="C53" s="31">
        <f>+D53+F53</f>
        <v>704</v>
      </c>
      <c r="D53" s="31">
        <f>2.3+25.5+3-17.1+0.1</f>
        <v>13.8</v>
      </c>
      <c r="E53" s="31">
        <f>2.9-0.3+0.1</f>
        <v>2.7</v>
      </c>
      <c r="F53" s="31">
        <f>59+67.2+761.8+66.2-263.9-0.1</f>
        <v>690.2</v>
      </c>
      <c r="G53" s="31"/>
      <c r="H53" s="31"/>
      <c r="I53" s="31"/>
      <c r="J53" s="31"/>
      <c r="K53" s="31">
        <f t="shared" si="4"/>
        <v>704</v>
      </c>
      <c r="L53" s="31">
        <f t="shared" si="5"/>
        <v>13.8</v>
      </c>
      <c r="M53" s="31">
        <f t="shared" si="6"/>
        <v>2.7</v>
      </c>
      <c r="N53" s="31">
        <f t="shared" si="7"/>
        <v>690.2</v>
      </c>
    </row>
    <row r="54" spans="1:14" ht="15.75" x14ac:dyDescent="0.25">
      <c r="A54" s="11">
        <f t="shared" si="3"/>
        <v>47</v>
      </c>
      <c r="B54" s="6" t="s">
        <v>131</v>
      </c>
      <c r="C54" s="30">
        <f>+C56+C57</f>
        <v>125.3</v>
      </c>
      <c r="D54" s="30">
        <f t="shared" ref="D54:N54" si="25">+D56+D57</f>
        <v>125.3</v>
      </c>
      <c r="E54" s="30">
        <f t="shared" si="25"/>
        <v>0</v>
      </c>
      <c r="F54" s="30">
        <f t="shared" si="25"/>
        <v>0</v>
      </c>
      <c r="G54" s="30">
        <f t="shared" si="25"/>
        <v>0</v>
      </c>
      <c r="H54" s="30">
        <f t="shared" si="25"/>
        <v>0</v>
      </c>
      <c r="I54" s="30">
        <f t="shared" si="25"/>
        <v>0</v>
      </c>
      <c r="J54" s="30">
        <f t="shared" si="25"/>
        <v>0</v>
      </c>
      <c r="K54" s="30">
        <f t="shared" si="25"/>
        <v>125.3</v>
      </c>
      <c r="L54" s="30">
        <f t="shared" si="25"/>
        <v>125.3</v>
      </c>
      <c r="M54" s="30">
        <f t="shared" si="25"/>
        <v>0</v>
      </c>
      <c r="N54" s="30">
        <f t="shared" si="25"/>
        <v>0</v>
      </c>
    </row>
    <row r="55" spans="1:14" ht="15.75" x14ac:dyDescent="0.25">
      <c r="A55" s="11">
        <f t="shared" si="3"/>
        <v>48</v>
      </c>
      <c r="B55" s="50" t="s">
        <v>2</v>
      </c>
      <c r="C55" s="31"/>
      <c r="D55" s="31"/>
      <c r="E55" s="31"/>
      <c r="F55" s="31"/>
      <c r="G55" s="31"/>
      <c r="H55" s="31"/>
      <c r="I55" s="31"/>
      <c r="J55" s="31"/>
      <c r="K55" s="31">
        <f t="shared" si="4"/>
        <v>0</v>
      </c>
      <c r="L55" s="31">
        <f t="shared" si="5"/>
        <v>0</v>
      </c>
      <c r="M55" s="31">
        <f t="shared" si="6"/>
        <v>0</v>
      </c>
      <c r="N55" s="31">
        <f t="shared" si="7"/>
        <v>0</v>
      </c>
    </row>
    <row r="56" spans="1:14" ht="31.5" x14ac:dyDescent="0.25">
      <c r="A56" s="11">
        <f t="shared" si="3"/>
        <v>49</v>
      </c>
      <c r="B56" s="5" t="s">
        <v>50</v>
      </c>
      <c r="C56" s="31">
        <f>+D56+F56</f>
        <v>119.9</v>
      </c>
      <c r="D56" s="31">
        <v>119.9</v>
      </c>
      <c r="E56" s="31"/>
      <c r="F56" s="31"/>
      <c r="G56" s="31"/>
      <c r="H56" s="31"/>
      <c r="I56" s="31"/>
      <c r="J56" s="31"/>
      <c r="K56" s="31">
        <f t="shared" si="4"/>
        <v>119.9</v>
      </c>
      <c r="L56" s="31">
        <f t="shared" si="5"/>
        <v>119.9</v>
      </c>
      <c r="M56" s="31">
        <f t="shared" si="6"/>
        <v>0</v>
      </c>
      <c r="N56" s="31">
        <f t="shared" si="7"/>
        <v>0</v>
      </c>
    </row>
    <row r="57" spans="1:14" ht="63" x14ac:dyDescent="0.25">
      <c r="A57" s="11">
        <f t="shared" si="3"/>
        <v>50</v>
      </c>
      <c r="B57" s="6" t="s">
        <v>181</v>
      </c>
      <c r="C57" s="31">
        <f>+C59</f>
        <v>5.4</v>
      </c>
      <c r="D57" s="31">
        <f t="shared" ref="D57:N57" si="26">+D59</f>
        <v>5.4</v>
      </c>
      <c r="E57" s="31">
        <f t="shared" si="26"/>
        <v>0</v>
      </c>
      <c r="F57" s="31">
        <f t="shared" si="26"/>
        <v>0</v>
      </c>
      <c r="G57" s="31">
        <f t="shared" si="26"/>
        <v>0</v>
      </c>
      <c r="H57" s="31">
        <f t="shared" si="26"/>
        <v>0</v>
      </c>
      <c r="I57" s="31">
        <f t="shared" si="26"/>
        <v>0</v>
      </c>
      <c r="J57" s="31">
        <f t="shared" si="26"/>
        <v>0</v>
      </c>
      <c r="K57" s="31">
        <f t="shared" si="26"/>
        <v>5.4</v>
      </c>
      <c r="L57" s="31">
        <f t="shared" si="26"/>
        <v>5.4</v>
      </c>
      <c r="M57" s="31">
        <f t="shared" si="26"/>
        <v>0</v>
      </c>
      <c r="N57" s="31">
        <f t="shared" si="26"/>
        <v>0</v>
      </c>
    </row>
    <row r="58" spans="1:14" ht="15.75" x14ac:dyDescent="0.25">
      <c r="A58" s="11">
        <f t="shared" si="3"/>
        <v>51</v>
      </c>
      <c r="B58" s="50" t="s">
        <v>2</v>
      </c>
      <c r="C58" s="31"/>
      <c r="D58" s="31"/>
      <c r="E58" s="31"/>
      <c r="F58" s="31"/>
      <c r="G58" s="31"/>
      <c r="H58" s="31"/>
      <c r="I58" s="31"/>
      <c r="J58" s="31"/>
      <c r="K58" s="31">
        <f t="shared" si="4"/>
        <v>0</v>
      </c>
      <c r="L58" s="31">
        <f t="shared" si="5"/>
        <v>0</v>
      </c>
      <c r="M58" s="31">
        <f t="shared" si="6"/>
        <v>0</v>
      </c>
      <c r="N58" s="31">
        <f t="shared" si="7"/>
        <v>0</v>
      </c>
    </row>
    <row r="59" spans="1:14" ht="15.75" x14ac:dyDescent="0.25">
      <c r="A59" s="11">
        <f t="shared" si="3"/>
        <v>52</v>
      </c>
      <c r="B59" s="5" t="s">
        <v>114</v>
      </c>
      <c r="C59" s="31">
        <f>+D59+F59</f>
        <v>5.4</v>
      </c>
      <c r="D59" s="31">
        <v>5.4</v>
      </c>
      <c r="E59" s="31"/>
      <c r="F59" s="31"/>
      <c r="G59" s="31"/>
      <c r="H59" s="31"/>
      <c r="I59" s="31"/>
      <c r="J59" s="31"/>
      <c r="K59" s="31">
        <f t="shared" si="4"/>
        <v>5.4</v>
      </c>
      <c r="L59" s="31">
        <f t="shared" si="5"/>
        <v>5.4</v>
      </c>
      <c r="M59" s="31">
        <f t="shared" si="6"/>
        <v>0</v>
      </c>
      <c r="N59" s="31">
        <f t="shared" si="7"/>
        <v>0</v>
      </c>
    </row>
    <row r="60" spans="1:14" ht="31.5" x14ac:dyDescent="0.25">
      <c r="A60" s="11">
        <f t="shared" si="3"/>
        <v>53</v>
      </c>
      <c r="B60" s="6" t="s">
        <v>182</v>
      </c>
      <c r="C60" s="30">
        <f>+D60+F60</f>
        <v>463.1</v>
      </c>
      <c r="D60" s="30">
        <v>463.1</v>
      </c>
      <c r="E60" s="30"/>
      <c r="F60" s="30"/>
      <c r="G60" s="30"/>
      <c r="H60" s="30"/>
      <c r="I60" s="30"/>
      <c r="J60" s="30"/>
      <c r="K60" s="30">
        <f t="shared" si="4"/>
        <v>463.1</v>
      </c>
      <c r="L60" s="30">
        <f t="shared" si="5"/>
        <v>463.1</v>
      </c>
      <c r="M60" s="30">
        <f t="shared" si="6"/>
        <v>0</v>
      </c>
      <c r="N60" s="30">
        <f t="shared" si="7"/>
        <v>0</v>
      </c>
    </row>
    <row r="61" spans="1:14" ht="15.75" x14ac:dyDescent="0.25">
      <c r="A61" s="11">
        <f t="shared" si="3"/>
        <v>54</v>
      </c>
      <c r="B61" s="9" t="s">
        <v>51</v>
      </c>
      <c r="C61" s="30">
        <f>SUM(C63:C65)</f>
        <v>3328.4</v>
      </c>
      <c r="D61" s="30">
        <f t="shared" ref="D61:N61" si="27">SUM(D63:D65)</f>
        <v>168.4</v>
      </c>
      <c r="E61" s="30">
        <f t="shared" si="27"/>
        <v>0</v>
      </c>
      <c r="F61" s="30">
        <f t="shared" si="27"/>
        <v>3160</v>
      </c>
      <c r="G61" s="30">
        <f t="shared" si="27"/>
        <v>0</v>
      </c>
      <c r="H61" s="30">
        <f t="shared" si="27"/>
        <v>0</v>
      </c>
      <c r="I61" s="30">
        <f t="shared" si="27"/>
        <v>0</v>
      </c>
      <c r="J61" s="30">
        <f t="shared" si="27"/>
        <v>0</v>
      </c>
      <c r="K61" s="30">
        <f t="shared" si="27"/>
        <v>3328.4</v>
      </c>
      <c r="L61" s="30">
        <f t="shared" si="27"/>
        <v>168.4</v>
      </c>
      <c r="M61" s="30">
        <f t="shared" si="27"/>
        <v>0</v>
      </c>
      <c r="N61" s="30">
        <f t="shared" si="27"/>
        <v>3160</v>
      </c>
    </row>
    <row r="62" spans="1:14" ht="15.75" x14ac:dyDescent="0.25">
      <c r="A62" s="11">
        <f t="shared" si="3"/>
        <v>55</v>
      </c>
      <c r="B62" s="62" t="s">
        <v>2</v>
      </c>
      <c r="C62" s="31"/>
      <c r="D62" s="31"/>
      <c r="E62" s="31"/>
      <c r="F62" s="31"/>
      <c r="G62" s="31"/>
      <c r="H62" s="31"/>
      <c r="I62" s="31"/>
      <c r="J62" s="31"/>
      <c r="K62" s="31">
        <f t="shared" si="4"/>
        <v>0</v>
      </c>
      <c r="L62" s="31">
        <f t="shared" si="5"/>
        <v>0</v>
      </c>
      <c r="M62" s="31">
        <f t="shared" si="6"/>
        <v>0</v>
      </c>
      <c r="N62" s="31">
        <f t="shared" si="7"/>
        <v>0</v>
      </c>
    </row>
    <row r="63" spans="1:14" ht="31.5" x14ac:dyDescent="0.25">
      <c r="A63" s="11">
        <f t="shared" si="3"/>
        <v>56</v>
      </c>
      <c r="B63" s="10" t="s">
        <v>110</v>
      </c>
      <c r="C63" s="31">
        <f>+D63+F63</f>
        <v>399.4</v>
      </c>
      <c r="D63" s="31"/>
      <c r="E63" s="31"/>
      <c r="F63" s="31">
        <v>399.4</v>
      </c>
      <c r="G63" s="31"/>
      <c r="H63" s="31"/>
      <c r="I63" s="31"/>
      <c r="J63" s="31"/>
      <c r="K63" s="31">
        <f t="shared" si="4"/>
        <v>399.4</v>
      </c>
      <c r="L63" s="31">
        <f t="shared" si="5"/>
        <v>0</v>
      </c>
      <c r="M63" s="31">
        <f t="shared" si="6"/>
        <v>0</v>
      </c>
      <c r="N63" s="31">
        <f t="shared" si="7"/>
        <v>399.4</v>
      </c>
    </row>
    <row r="64" spans="1:14" ht="47.25" x14ac:dyDescent="0.25">
      <c r="A64" s="11">
        <f t="shared" si="3"/>
        <v>57</v>
      </c>
      <c r="B64" s="10" t="s">
        <v>161</v>
      </c>
      <c r="C64" s="31">
        <f t="shared" ref="C64:C65" si="28">+D64+F64</f>
        <v>2754</v>
      </c>
      <c r="D64" s="31">
        <f>150-6.6</f>
        <v>143.4</v>
      </c>
      <c r="E64" s="31">
        <f>6.5-6.5</f>
        <v>0</v>
      </c>
      <c r="F64" s="31">
        <f>267.5+615.8+343.6+30.3+208.6+1296+54.4-205.6</f>
        <v>2610.6</v>
      </c>
      <c r="G64" s="31"/>
      <c r="H64" s="31"/>
      <c r="I64" s="31"/>
      <c r="J64" s="31"/>
      <c r="K64" s="31">
        <f t="shared" si="4"/>
        <v>2754</v>
      </c>
      <c r="L64" s="31">
        <f t="shared" si="5"/>
        <v>143.4</v>
      </c>
      <c r="M64" s="31">
        <f t="shared" si="6"/>
        <v>0</v>
      </c>
      <c r="N64" s="31">
        <f t="shared" si="7"/>
        <v>2610.6</v>
      </c>
    </row>
    <row r="65" spans="1:14" ht="15.75" x14ac:dyDescent="0.25">
      <c r="A65" s="11">
        <f t="shared" si="3"/>
        <v>58</v>
      </c>
      <c r="B65" s="5" t="s">
        <v>53</v>
      </c>
      <c r="C65" s="31">
        <f t="shared" si="28"/>
        <v>175</v>
      </c>
      <c r="D65" s="31">
        <v>25</v>
      </c>
      <c r="E65" s="31"/>
      <c r="F65" s="31">
        <v>150</v>
      </c>
      <c r="G65" s="31"/>
      <c r="H65" s="31"/>
      <c r="I65" s="31"/>
      <c r="J65" s="31"/>
      <c r="K65" s="31">
        <f t="shared" si="4"/>
        <v>175</v>
      </c>
      <c r="L65" s="31">
        <f t="shared" si="5"/>
        <v>25</v>
      </c>
      <c r="M65" s="31">
        <f t="shared" si="6"/>
        <v>0</v>
      </c>
      <c r="N65" s="31">
        <f t="shared" si="7"/>
        <v>150</v>
      </c>
    </row>
    <row r="66" spans="1:14" ht="31.5" x14ac:dyDescent="0.25">
      <c r="A66" s="11">
        <f t="shared" si="3"/>
        <v>59</v>
      </c>
      <c r="B66" s="5" t="s">
        <v>183</v>
      </c>
      <c r="C66" s="30">
        <f>SUM(C68:C70)</f>
        <v>9307</v>
      </c>
      <c r="D66" s="30">
        <f t="shared" ref="D66:N66" si="29">SUM(D68:D70)</f>
        <v>4316.7</v>
      </c>
      <c r="E66" s="30">
        <f t="shared" si="29"/>
        <v>7.9</v>
      </c>
      <c r="F66" s="30">
        <f t="shared" si="29"/>
        <v>4990.3</v>
      </c>
      <c r="G66" s="30">
        <f t="shared" si="29"/>
        <v>2718.1</v>
      </c>
      <c r="H66" s="30">
        <f t="shared" si="29"/>
        <v>0</v>
      </c>
      <c r="I66" s="30">
        <f t="shared" si="29"/>
        <v>0</v>
      </c>
      <c r="J66" s="30">
        <f t="shared" si="29"/>
        <v>2718.1</v>
      </c>
      <c r="K66" s="30">
        <f t="shared" si="29"/>
        <v>12025.1</v>
      </c>
      <c r="L66" s="30">
        <f t="shared" si="29"/>
        <v>4316.7</v>
      </c>
      <c r="M66" s="30">
        <f t="shared" si="29"/>
        <v>7.9</v>
      </c>
      <c r="N66" s="30">
        <f t="shared" si="29"/>
        <v>7708.4</v>
      </c>
    </row>
    <row r="67" spans="1:14" ht="15.75" x14ac:dyDescent="0.25">
      <c r="A67" s="11">
        <f t="shared" si="3"/>
        <v>60</v>
      </c>
      <c r="B67" s="62" t="s">
        <v>2</v>
      </c>
      <c r="C67" s="30"/>
      <c r="D67" s="30"/>
      <c r="E67" s="30"/>
      <c r="F67" s="30"/>
      <c r="G67" s="31"/>
      <c r="H67" s="31"/>
      <c r="I67" s="31"/>
      <c r="J67" s="31"/>
      <c r="K67" s="31">
        <f t="shared" si="4"/>
        <v>0</v>
      </c>
      <c r="L67" s="31">
        <f t="shared" si="5"/>
        <v>0</v>
      </c>
      <c r="M67" s="31">
        <f t="shared" si="6"/>
        <v>0</v>
      </c>
      <c r="N67" s="31">
        <f t="shared" si="7"/>
        <v>0</v>
      </c>
    </row>
    <row r="68" spans="1:14" ht="31.5" x14ac:dyDescent="0.25">
      <c r="A68" s="11">
        <f t="shared" si="3"/>
        <v>61</v>
      </c>
      <c r="B68" s="5" t="s">
        <v>154</v>
      </c>
      <c r="C68" s="31">
        <f>+D68+F68</f>
        <v>3477</v>
      </c>
      <c r="D68" s="31">
        <v>52.2</v>
      </c>
      <c r="E68" s="31">
        <f>4.9+3</f>
        <v>7.9</v>
      </c>
      <c r="F68" s="31">
        <v>3424.8</v>
      </c>
      <c r="G68" s="31"/>
      <c r="H68" s="31"/>
      <c r="I68" s="31"/>
      <c r="J68" s="31"/>
      <c r="K68" s="31">
        <f t="shared" si="4"/>
        <v>3477</v>
      </c>
      <c r="L68" s="31">
        <f t="shared" si="5"/>
        <v>52.2</v>
      </c>
      <c r="M68" s="31">
        <f t="shared" si="6"/>
        <v>7.9</v>
      </c>
      <c r="N68" s="31">
        <f t="shared" si="7"/>
        <v>3424.8</v>
      </c>
    </row>
    <row r="69" spans="1:14" ht="94.5" x14ac:dyDescent="0.25">
      <c r="A69" s="11">
        <f t="shared" si="3"/>
        <v>62</v>
      </c>
      <c r="B69" s="6" t="s">
        <v>244</v>
      </c>
      <c r="C69" s="31"/>
      <c r="D69" s="31"/>
      <c r="E69" s="31"/>
      <c r="F69" s="31"/>
      <c r="G69" s="31">
        <f>+H69+J69</f>
        <v>2718.1</v>
      </c>
      <c r="H69" s="31"/>
      <c r="I69" s="31"/>
      <c r="J69" s="31">
        <v>2718.1</v>
      </c>
      <c r="K69" s="31">
        <f t="shared" ref="K69" si="30">+C69+G69</f>
        <v>2718.1</v>
      </c>
      <c r="L69" s="31">
        <f t="shared" ref="L69" si="31">+D69+H69</f>
        <v>0</v>
      </c>
      <c r="M69" s="31">
        <f t="shared" ref="M69" si="32">+E69+I69</f>
        <v>0</v>
      </c>
      <c r="N69" s="31">
        <f t="shared" ref="N69" si="33">+F69+J69</f>
        <v>2718.1</v>
      </c>
    </row>
    <row r="70" spans="1:14" ht="47.25" x14ac:dyDescent="0.25">
      <c r="A70" s="11">
        <f t="shared" si="3"/>
        <v>63</v>
      </c>
      <c r="B70" s="5" t="s">
        <v>160</v>
      </c>
      <c r="C70" s="31">
        <f t="shared" ref="C70" si="34">+D70+F70</f>
        <v>5830</v>
      </c>
      <c r="D70" s="31">
        <v>4264.5</v>
      </c>
      <c r="E70" s="31"/>
      <c r="F70" s="31">
        <f>1482.2+83.3</f>
        <v>1565.5</v>
      </c>
      <c r="G70" s="31"/>
      <c r="H70" s="31"/>
      <c r="I70" s="31"/>
      <c r="J70" s="31"/>
      <c r="K70" s="31">
        <f t="shared" si="4"/>
        <v>5830</v>
      </c>
      <c r="L70" s="31">
        <f t="shared" si="5"/>
        <v>4264.5</v>
      </c>
      <c r="M70" s="31">
        <f t="shared" si="6"/>
        <v>0</v>
      </c>
      <c r="N70" s="31">
        <f t="shared" si="7"/>
        <v>1565.5</v>
      </c>
    </row>
    <row r="71" spans="1:14" ht="31.5" x14ac:dyDescent="0.25">
      <c r="A71" s="11">
        <f t="shared" si="3"/>
        <v>64</v>
      </c>
      <c r="B71" s="5" t="s">
        <v>195</v>
      </c>
      <c r="C71" s="30">
        <f>+C73+C74</f>
        <v>2895.4</v>
      </c>
      <c r="D71" s="30">
        <f t="shared" ref="D71:N71" si="35">+D73+D74</f>
        <v>15.3</v>
      </c>
      <c r="E71" s="30">
        <f t="shared" si="35"/>
        <v>14.7</v>
      </c>
      <c r="F71" s="30">
        <f t="shared" si="35"/>
        <v>2880.1</v>
      </c>
      <c r="G71" s="30">
        <f t="shared" si="35"/>
        <v>0</v>
      </c>
      <c r="H71" s="30">
        <f t="shared" si="35"/>
        <v>0</v>
      </c>
      <c r="I71" s="30">
        <f t="shared" si="35"/>
        <v>0</v>
      </c>
      <c r="J71" s="30">
        <f t="shared" si="35"/>
        <v>0</v>
      </c>
      <c r="K71" s="30">
        <f t="shared" si="35"/>
        <v>2895.4</v>
      </c>
      <c r="L71" s="30">
        <f t="shared" si="35"/>
        <v>15.3</v>
      </c>
      <c r="M71" s="30">
        <f t="shared" si="35"/>
        <v>14.7</v>
      </c>
      <c r="N71" s="30">
        <f t="shared" si="35"/>
        <v>2880.1</v>
      </c>
    </row>
    <row r="72" spans="1:14" ht="15.75" x14ac:dyDescent="0.25">
      <c r="A72" s="11">
        <f t="shared" si="3"/>
        <v>65</v>
      </c>
      <c r="B72" s="62" t="s">
        <v>2</v>
      </c>
      <c r="C72" s="30"/>
      <c r="D72" s="30"/>
      <c r="E72" s="30"/>
      <c r="F72" s="30"/>
      <c r="G72" s="31"/>
      <c r="H72" s="31"/>
      <c r="I72" s="31"/>
      <c r="J72" s="31"/>
      <c r="K72" s="31">
        <f t="shared" si="4"/>
        <v>0</v>
      </c>
      <c r="L72" s="31">
        <f t="shared" si="5"/>
        <v>0</v>
      </c>
      <c r="M72" s="31">
        <f t="shared" si="6"/>
        <v>0</v>
      </c>
      <c r="N72" s="31">
        <f t="shared" si="7"/>
        <v>0</v>
      </c>
    </row>
    <row r="73" spans="1:14" ht="47.25" x14ac:dyDescent="0.25">
      <c r="A73" s="11">
        <f t="shared" si="3"/>
        <v>66</v>
      </c>
      <c r="B73" s="5" t="s">
        <v>54</v>
      </c>
      <c r="C73" s="31">
        <f>+D73+F73</f>
        <v>869.3</v>
      </c>
      <c r="D73" s="31">
        <v>5.5</v>
      </c>
      <c r="E73" s="31">
        <v>5.3</v>
      </c>
      <c r="F73" s="31">
        <v>863.8</v>
      </c>
      <c r="G73" s="31"/>
      <c r="H73" s="31"/>
      <c r="I73" s="31"/>
      <c r="J73" s="31"/>
      <c r="K73" s="31">
        <f t="shared" si="4"/>
        <v>869.3</v>
      </c>
      <c r="L73" s="31">
        <f t="shared" si="5"/>
        <v>5.5</v>
      </c>
      <c r="M73" s="31">
        <f t="shared" si="6"/>
        <v>5.3</v>
      </c>
      <c r="N73" s="31">
        <f t="shared" si="7"/>
        <v>863.8</v>
      </c>
    </row>
    <row r="74" spans="1:14" ht="63" x14ac:dyDescent="0.25">
      <c r="A74" s="11">
        <f t="shared" ref="A74:A137" si="36">+A73+1</f>
        <v>67</v>
      </c>
      <c r="B74" s="5" t="s">
        <v>196</v>
      </c>
      <c r="C74" s="31">
        <f>+D74+F74</f>
        <v>2026.1</v>
      </c>
      <c r="D74" s="31">
        <f>9+0.8</f>
        <v>9.8000000000000007</v>
      </c>
      <c r="E74" s="31">
        <f>8.6+0.8</f>
        <v>9.4</v>
      </c>
      <c r="F74" s="31">
        <f>959.5+84.6+370.8+32.7+522.6+46.1</f>
        <v>2016.3</v>
      </c>
      <c r="G74" s="31"/>
      <c r="H74" s="31"/>
      <c r="I74" s="31"/>
      <c r="J74" s="31"/>
      <c r="K74" s="31">
        <f t="shared" si="4"/>
        <v>2026.1</v>
      </c>
      <c r="L74" s="31">
        <f t="shared" si="5"/>
        <v>9.8000000000000007</v>
      </c>
      <c r="M74" s="31">
        <f t="shared" si="6"/>
        <v>9.4</v>
      </c>
      <c r="N74" s="31">
        <f t="shared" si="7"/>
        <v>2016.3</v>
      </c>
    </row>
    <row r="75" spans="1:14" ht="15.75" x14ac:dyDescent="0.25">
      <c r="A75" s="11">
        <f t="shared" si="36"/>
        <v>68</v>
      </c>
      <c r="B75" s="6" t="s">
        <v>133</v>
      </c>
      <c r="C75" s="30">
        <f>SUM(C77:C78)</f>
        <v>2320.5</v>
      </c>
      <c r="D75" s="30">
        <f>SUM(D77:D78)</f>
        <v>1005.6</v>
      </c>
      <c r="E75" s="30">
        <f>SUM(E77:E78)</f>
        <v>7.2</v>
      </c>
      <c r="F75" s="30">
        <f>SUM(F77:F78)</f>
        <v>1314.9</v>
      </c>
      <c r="G75" s="30">
        <f t="shared" ref="G75:N75" si="37">SUM(G77:G78)</f>
        <v>0</v>
      </c>
      <c r="H75" s="30">
        <f t="shared" si="37"/>
        <v>22.4</v>
      </c>
      <c r="I75" s="30">
        <f t="shared" si="37"/>
        <v>0</v>
      </c>
      <c r="J75" s="30">
        <f t="shared" si="37"/>
        <v>-22.4</v>
      </c>
      <c r="K75" s="30">
        <f t="shared" si="37"/>
        <v>2320.5</v>
      </c>
      <c r="L75" s="30">
        <f t="shared" si="37"/>
        <v>1028</v>
      </c>
      <c r="M75" s="30">
        <f t="shared" si="37"/>
        <v>7.2</v>
      </c>
      <c r="N75" s="30">
        <f t="shared" si="37"/>
        <v>1292.5</v>
      </c>
    </row>
    <row r="76" spans="1:14" ht="15.75" x14ac:dyDescent="0.25">
      <c r="A76" s="11">
        <f t="shared" si="36"/>
        <v>69</v>
      </c>
      <c r="B76" s="62" t="s">
        <v>2</v>
      </c>
      <c r="C76" s="30"/>
      <c r="D76" s="30"/>
      <c r="E76" s="30"/>
      <c r="F76" s="30"/>
      <c r="G76" s="31"/>
      <c r="H76" s="31"/>
      <c r="I76" s="31"/>
      <c r="J76" s="31"/>
      <c r="K76" s="31">
        <f t="shared" ref="K76:K143" si="38">+C76+G76</f>
        <v>0</v>
      </c>
      <c r="L76" s="31">
        <f t="shared" ref="L76:L143" si="39">+D76+H76</f>
        <v>0</v>
      </c>
      <c r="M76" s="31">
        <f t="shared" ref="M76:M143" si="40">+E76+I76</f>
        <v>0</v>
      </c>
      <c r="N76" s="31">
        <f t="shared" ref="N76:N143" si="41">+F76+J76</f>
        <v>0</v>
      </c>
    </row>
    <row r="77" spans="1:14" ht="31.5" x14ac:dyDescent="0.25">
      <c r="A77" s="11">
        <f t="shared" si="36"/>
        <v>70</v>
      </c>
      <c r="B77" s="5" t="s">
        <v>132</v>
      </c>
      <c r="C77" s="31">
        <f>+D77+F77</f>
        <v>554.5</v>
      </c>
      <c r="D77" s="31">
        <f>419.1-44.7</f>
        <v>374.4</v>
      </c>
      <c r="E77" s="31">
        <v>7.2</v>
      </c>
      <c r="F77" s="31">
        <f>96.7+44.7+38.7</f>
        <v>180.1</v>
      </c>
      <c r="G77" s="31">
        <f>+H77+J77</f>
        <v>0</v>
      </c>
      <c r="H77" s="31">
        <v>22.4</v>
      </c>
      <c r="I77" s="31"/>
      <c r="J77" s="31">
        <v>-22.4</v>
      </c>
      <c r="K77" s="31">
        <f t="shared" si="38"/>
        <v>554.5</v>
      </c>
      <c r="L77" s="31">
        <f t="shared" si="39"/>
        <v>396.8</v>
      </c>
      <c r="M77" s="31">
        <f t="shared" si="40"/>
        <v>7.2</v>
      </c>
      <c r="N77" s="31">
        <f t="shared" si="41"/>
        <v>157.69999999999999</v>
      </c>
    </row>
    <row r="78" spans="1:14" ht="47.25" x14ac:dyDescent="0.25">
      <c r="A78" s="11">
        <f t="shared" si="36"/>
        <v>71</v>
      </c>
      <c r="B78" s="5" t="s">
        <v>159</v>
      </c>
      <c r="C78" s="31">
        <f t="shared" ref="C78" si="42">+D78+F78</f>
        <v>1766</v>
      </c>
      <c r="D78" s="31">
        <f>8.9+773.9-151.6</f>
        <v>631.20000000000005</v>
      </c>
      <c r="E78" s="31">
        <f>8.6+4.5-13.1</f>
        <v>0</v>
      </c>
      <c r="F78" s="31">
        <v>1134.8</v>
      </c>
      <c r="G78" s="31"/>
      <c r="H78" s="31"/>
      <c r="I78" s="31"/>
      <c r="J78" s="31"/>
      <c r="K78" s="31">
        <f t="shared" si="38"/>
        <v>1766</v>
      </c>
      <c r="L78" s="31">
        <f t="shared" si="39"/>
        <v>631.20000000000005</v>
      </c>
      <c r="M78" s="31">
        <f t="shared" si="40"/>
        <v>0</v>
      </c>
      <c r="N78" s="31">
        <f t="shared" si="41"/>
        <v>1134.8</v>
      </c>
    </row>
    <row r="79" spans="1:14" ht="15.75" x14ac:dyDescent="0.25">
      <c r="A79" s="11">
        <f t="shared" si="36"/>
        <v>72</v>
      </c>
      <c r="B79" s="6" t="s">
        <v>55</v>
      </c>
      <c r="C79" s="30">
        <f>SUM(C81:C83)</f>
        <v>5047.6000000000004</v>
      </c>
      <c r="D79" s="30">
        <f>SUM(D81:D83)</f>
        <v>347.1</v>
      </c>
      <c r="E79" s="30">
        <f>SUM(E81:E83)</f>
        <v>2.1</v>
      </c>
      <c r="F79" s="30">
        <f>SUM(F81:F83)</f>
        <v>4700.5</v>
      </c>
      <c r="G79" s="30">
        <f t="shared" ref="G79:N79" si="43">SUM(G81:G83)</f>
        <v>0</v>
      </c>
      <c r="H79" s="30">
        <f t="shared" si="43"/>
        <v>0</v>
      </c>
      <c r="I79" s="30">
        <f t="shared" si="43"/>
        <v>0</v>
      </c>
      <c r="J79" s="30">
        <f t="shared" si="43"/>
        <v>0</v>
      </c>
      <c r="K79" s="30">
        <f t="shared" si="43"/>
        <v>5047.6000000000004</v>
      </c>
      <c r="L79" s="30">
        <f t="shared" si="43"/>
        <v>347.1</v>
      </c>
      <c r="M79" s="30">
        <f t="shared" si="43"/>
        <v>2.1</v>
      </c>
      <c r="N79" s="30">
        <f t="shared" si="43"/>
        <v>4700.5</v>
      </c>
    </row>
    <row r="80" spans="1:14" ht="15.75" x14ac:dyDescent="0.25">
      <c r="A80" s="11">
        <f t="shared" si="36"/>
        <v>73</v>
      </c>
      <c r="B80" s="62" t="s">
        <v>2</v>
      </c>
      <c r="C80" s="30"/>
      <c r="D80" s="30"/>
      <c r="E80" s="30"/>
      <c r="F80" s="30"/>
      <c r="G80" s="31"/>
      <c r="H80" s="31"/>
      <c r="I80" s="31"/>
      <c r="J80" s="31"/>
      <c r="K80" s="31">
        <f t="shared" si="38"/>
        <v>0</v>
      </c>
      <c r="L80" s="31">
        <f t="shared" si="39"/>
        <v>0</v>
      </c>
      <c r="M80" s="31">
        <f t="shared" si="40"/>
        <v>0</v>
      </c>
      <c r="N80" s="31">
        <f t="shared" si="41"/>
        <v>0</v>
      </c>
    </row>
    <row r="81" spans="1:14" ht="31.5" x14ac:dyDescent="0.25">
      <c r="A81" s="11">
        <f t="shared" si="36"/>
        <v>74</v>
      </c>
      <c r="B81" s="5" t="s">
        <v>56</v>
      </c>
      <c r="C81" s="31">
        <f>+D81+F81</f>
        <v>966.4</v>
      </c>
      <c r="D81" s="31">
        <f>13.6+218.6</f>
        <v>232.2</v>
      </c>
      <c r="E81" s="31">
        <v>1.5</v>
      </c>
      <c r="F81" s="31">
        <f>539.1-218.6+237.1+176.6</f>
        <v>734.2</v>
      </c>
      <c r="G81" s="31">
        <f>+H81+J81</f>
        <v>0</v>
      </c>
      <c r="H81" s="31"/>
      <c r="I81" s="31"/>
      <c r="J81" s="31"/>
      <c r="K81" s="31">
        <f t="shared" si="38"/>
        <v>966.4</v>
      </c>
      <c r="L81" s="31">
        <f t="shared" si="39"/>
        <v>232.2</v>
      </c>
      <c r="M81" s="31">
        <f t="shared" si="40"/>
        <v>1.5</v>
      </c>
      <c r="N81" s="31">
        <f t="shared" si="41"/>
        <v>734.2</v>
      </c>
    </row>
    <row r="82" spans="1:14" ht="31.5" x14ac:dyDescent="0.25">
      <c r="A82" s="11">
        <f t="shared" si="36"/>
        <v>75</v>
      </c>
      <c r="B82" s="5" t="s">
        <v>184</v>
      </c>
      <c r="C82" s="31">
        <f t="shared" ref="C82:C83" si="44">+D82+F82</f>
        <v>2900</v>
      </c>
      <c r="D82" s="31"/>
      <c r="E82" s="31"/>
      <c r="F82" s="31">
        <v>2900</v>
      </c>
      <c r="G82" s="31">
        <f>+H82+J82</f>
        <v>0</v>
      </c>
      <c r="H82" s="31"/>
      <c r="I82" s="31"/>
      <c r="J82" s="31"/>
      <c r="K82" s="31">
        <f t="shared" si="38"/>
        <v>2900</v>
      </c>
      <c r="L82" s="31">
        <f t="shared" si="39"/>
        <v>0</v>
      </c>
      <c r="M82" s="31">
        <f t="shared" si="40"/>
        <v>0</v>
      </c>
      <c r="N82" s="31">
        <f t="shared" si="41"/>
        <v>2900</v>
      </c>
    </row>
    <row r="83" spans="1:14" ht="47.25" x14ac:dyDescent="0.25">
      <c r="A83" s="11">
        <f t="shared" si="36"/>
        <v>76</v>
      </c>
      <c r="B83" s="5" t="s">
        <v>157</v>
      </c>
      <c r="C83" s="31">
        <f t="shared" si="44"/>
        <v>1181.2</v>
      </c>
      <c r="D83" s="31">
        <f>103.4+9.1+9.6-7.2</f>
        <v>114.9</v>
      </c>
      <c r="E83" s="31">
        <f>3.7+0.3+3.6-7</f>
        <v>0.6</v>
      </c>
      <c r="F83" s="31">
        <f>518.2+45.7+90+417.1-4.7</f>
        <v>1066.3</v>
      </c>
      <c r="G83" s="31"/>
      <c r="H83" s="31"/>
      <c r="I83" s="31"/>
      <c r="J83" s="31"/>
      <c r="K83" s="31">
        <f t="shared" si="38"/>
        <v>1181.2</v>
      </c>
      <c r="L83" s="31">
        <f t="shared" si="39"/>
        <v>114.9</v>
      </c>
      <c r="M83" s="31">
        <f t="shared" si="40"/>
        <v>0.6</v>
      </c>
      <c r="N83" s="31">
        <f t="shared" si="41"/>
        <v>1066.3</v>
      </c>
    </row>
    <row r="84" spans="1:14" ht="15.75" x14ac:dyDescent="0.25">
      <c r="A84" s="11">
        <f t="shared" si="36"/>
        <v>77</v>
      </c>
      <c r="B84" s="9" t="s">
        <v>57</v>
      </c>
      <c r="C84" s="30">
        <f>SUM(C86:C88)</f>
        <v>1428.6</v>
      </c>
      <c r="D84" s="30">
        <f t="shared" ref="D84:N84" si="45">SUM(D86:D88)</f>
        <v>0</v>
      </c>
      <c r="E84" s="30">
        <f t="shared" si="45"/>
        <v>0</v>
      </c>
      <c r="F84" s="30">
        <f t="shared" si="45"/>
        <v>1428.6</v>
      </c>
      <c r="G84" s="30">
        <f t="shared" si="45"/>
        <v>0</v>
      </c>
      <c r="H84" s="30">
        <f t="shared" si="45"/>
        <v>0</v>
      </c>
      <c r="I84" s="30">
        <f t="shared" si="45"/>
        <v>0</v>
      </c>
      <c r="J84" s="30">
        <f t="shared" si="45"/>
        <v>0</v>
      </c>
      <c r="K84" s="30">
        <f t="shared" si="45"/>
        <v>1428.6</v>
      </c>
      <c r="L84" s="30">
        <f t="shared" si="45"/>
        <v>0</v>
      </c>
      <c r="M84" s="30">
        <f t="shared" si="45"/>
        <v>0</v>
      </c>
      <c r="N84" s="30">
        <f t="shared" si="45"/>
        <v>1428.6</v>
      </c>
    </row>
    <row r="85" spans="1:14" ht="15.75" x14ac:dyDescent="0.25">
      <c r="A85" s="11">
        <f t="shared" si="36"/>
        <v>78</v>
      </c>
      <c r="B85" s="62" t="s">
        <v>2</v>
      </c>
      <c r="C85" s="30"/>
      <c r="D85" s="30"/>
      <c r="E85" s="30"/>
      <c r="F85" s="30"/>
      <c r="G85" s="31"/>
      <c r="H85" s="31"/>
      <c r="I85" s="31"/>
      <c r="J85" s="31"/>
      <c r="K85" s="31">
        <f t="shared" si="38"/>
        <v>0</v>
      </c>
      <c r="L85" s="31">
        <f t="shared" si="39"/>
        <v>0</v>
      </c>
      <c r="M85" s="31">
        <f t="shared" si="40"/>
        <v>0</v>
      </c>
      <c r="N85" s="31">
        <f t="shared" si="41"/>
        <v>0</v>
      </c>
    </row>
    <row r="86" spans="1:14" ht="31.5" x14ac:dyDescent="0.25">
      <c r="A86" s="11">
        <f t="shared" si="36"/>
        <v>79</v>
      </c>
      <c r="B86" s="10" t="s">
        <v>58</v>
      </c>
      <c r="C86" s="31">
        <f>+D86+F86</f>
        <v>793.9</v>
      </c>
      <c r="D86" s="31"/>
      <c r="E86" s="31"/>
      <c r="F86" s="31">
        <v>793.9</v>
      </c>
      <c r="G86" s="31">
        <f>+H86+J86</f>
        <v>0</v>
      </c>
      <c r="H86" s="31"/>
      <c r="I86" s="31"/>
      <c r="J86" s="31"/>
      <c r="K86" s="31">
        <f t="shared" si="38"/>
        <v>793.9</v>
      </c>
      <c r="L86" s="31">
        <f t="shared" si="39"/>
        <v>0</v>
      </c>
      <c r="M86" s="31">
        <f t="shared" si="40"/>
        <v>0</v>
      </c>
      <c r="N86" s="31">
        <f t="shared" si="41"/>
        <v>793.9</v>
      </c>
    </row>
    <row r="87" spans="1:14" ht="31.5" hidden="1" x14ac:dyDescent="0.25">
      <c r="A87" s="11">
        <f t="shared" si="36"/>
        <v>80</v>
      </c>
      <c r="B87" s="10" t="s">
        <v>246</v>
      </c>
      <c r="C87" s="31"/>
      <c r="D87" s="31"/>
      <c r="E87" s="31"/>
      <c r="F87" s="31"/>
      <c r="G87" s="31">
        <f>+H87+J87</f>
        <v>0</v>
      </c>
      <c r="H87" s="31"/>
      <c r="I87" s="31"/>
      <c r="J87" s="31"/>
      <c r="K87" s="31">
        <f t="shared" ref="K87" si="46">+C87+G87</f>
        <v>0</v>
      </c>
      <c r="L87" s="31">
        <f t="shared" ref="L87" si="47">+D87+H87</f>
        <v>0</v>
      </c>
      <c r="M87" s="31">
        <f t="shared" ref="M87" si="48">+E87+I87</f>
        <v>0</v>
      </c>
      <c r="N87" s="31">
        <f t="shared" ref="N87" si="49">+F87+J87</f>
        <v>0</v>
      </c>
    </row>
    <row r="88" spans="1:14" ht="47.25" x14ac:dyDescent="0.25">
      <c r="A88" s="11">
        <f t="shared" si="36"/>
        <v>81</v>
      </c>
      <c r="B88" s="10" t="s">
        <v>158</v>
      </c>
      <c r="C88" s="31">
        <f t="shared" ref="C88" si="50">+D88+F88</f>
        <v>634.70000000000005</v>
      </c>
      <c r="D88" s="31"/>
      <c r="E88" s="31"/>
      <c r="F88" s="31">
        <f>51.5+583.2</f>
        <v>634.70000000000005</v>
      </c>
      <c r="G88" s="31"/>
      <c r="H88" s="31"/>
      <c r="I88" s="31"/>
      <c r="J88" s="31"/>
      <c r="K88" s="31">
        <f t="shared" si="38"/>
        <v>634.70000000000005</v>
      </c>
      <c r="L88" s="31">
        <f t="shared" si="39"/>
        <v>0</v>
      </c>
      <c r="M88" s="31">
        <f t="shared" si="40"/>
        <v>0</v>
      </c>
      <c r="N88" s="31">
        <f t="shared" si="41"/>
        <v>634.70000000000005</v>
      </c>
    </row>
    <row r="89" spans="1:14" ht="15.75" x14ac:dyDescent="0.25">
      <c r="A89" s="11">
        <f t="shared" si="36"/>
        <v>82</v>
      </c>
      <c r="B89" s="9" t="s">
        <v>137</v>
      </c>
      <c r="C89" s="30">
        <f>SUM(C91:C92)</f>
        <v>2801</v>
      </c>
      <c r="D89" s="30">
        <f t="shared" ref="D89:N89" si="51">SUM(D91:D92)</f>
        <v>89.8</v>
      </c>
      <c r="E89" s="30">
        <f t="shared" si="51"/>
        <v>1.4</v>
      </c>
      <c r="F89" s="30">
        <f t="shared" si="51"/>
        <v>2711.2</v>
      </c>
      <c r="G89" s="30">
        <f t="shared" si="51"/>
        <v>0</v>
      </c>
      <c r="H89" s="30">
        <f t="shared" si="51"/>
        <v>13.5</v>
      </c>
      <c r="I89" s="30">
        <f t="shared" si="51"/>
        <v>0</v>
      </c>
      <c r="J89" s="30">
        <f t="shared" si="51"/>
        <v>-13.5</v>
      </c>
      <c r="K89" s="30">
        <f t="shared" si="51"/>
        <v>2801</v>
      </c>
      <c r="L89" s="30">
        <f t="shared" si="51"/>
        <v>103.3</v>
      </c>
      <c r="M89" s="30">
        <f t="shared" si="51"/>
        <v>1.4</v>
      </c>
      <c r="N89" s="30">
        <f t="shared" si="51"/>
        <v>2697.7</v>
      </c>
    </row>
    <row r="90" spans="1:14" ht="15.75" x14ac:dyDescent="0.25">
      <c r="A90" s="11">
        <f t="shared" si="36"/>
        <v>83</v>
      </c>
      <c r="B90" s="62" t="s">
        <v>2</v>
      </c>
      <c r="C90" s="31"/>
      <c r="D90" s="31"/>
      <c r="E90" s="31"/>
      <c r="F90" s="31"/>
      <c r="G90" s="31"/>
      <c r="H90" s="31"/>
      <c r="I90" s="31"/>
      <c r="J90" s="31"/>
      <c r="K90" s="31">
        <f t="shared" si="38"/>
        <v>0</v>
      </c>
      <c r="L90" s="31">
        <f t="shared" si="39"/>
        <v>0</v>
      </c>
      <c r="M90" s="31">
        <f t="shared" si="40"/>
        <v>0</v>
      </c>
      <c r="N90" s="31">
        <f t="shared" si="41"/>
        <v>0</v>
      </c>
    </row>
    <row r="91" spans="1:14" ht="31.5" x14ac:dyDescent="0.25">
      <c r="A91" s="11">
        <f t="shared" si="36"/>
        <v>84</v>
      </c>
      <c r="B91" s="10" t="s">
        <v>59</v>
      </c>
      <c r="C91" s="31">
        <f>+D91+F91</f>
        <v>646.6</v>
      </c>
      <c r="D91" s="31">
        <v>87.9</v>
      </c>
      <c r="E91" s="31">
        <v>0.6</v>
      </c>
      <c r="F91" s="31">
        <v>558.70000000000005</v>
      </c>
      <c r="G91" s="31"/>
      <c r="H91" s="31"/>
      <c r="I91" s="31"/>
      <c r="J91" s="31"/>
      <c r="K91" s="31">
        <f t="shared" si="38"/>
        <v>646.6</v>
      </c>
      <c r="L91" s="31">
        <f t="shared" si="39"/>
        <v>87.9</v>
      </c>
      <c r="M91" s="31">
        <f t="shared" si="40"/>
        <v>0.6</v>
      </c>
      <c r="N91" s="31">
        <f t="shared" si="41"/>
        <v>558.70000000000005</v>
      </c>
    </row>
    <row r="92" spans="1:14" ht="47.25" x14ac:dyDescent="0.25">
      <c r="A92" s="11">
        <f t="shared" si="36"/>
        <v>85</v>
      </c>
      <c r="B92" s="10" t="s">
        <v>156</v>
      </c>
      <c r="C92" s="31">
        <f>+D92+F92</f>
        <v>2154.4</v>
      </c>
      <c r="D92" s="31">
        <f>4-2-0.1</f>
        <v>1.9</v>
      </c>
      <c r="E92" s="31">
        <f>2.8-2</f>
        <v>0.8</v>
      </c>
      <c r="F92" s="31">
        <f>119.6+226.1+1894.9-88.2+0.1</f>
        <v>2152.5</v>
      </c>
      <c r="G92" s="31">
        <f>+H92+J92</f>
        <v>0</v>
      </c>
      <c r="H92" s="31">
        <v>13.5</v>
      </c>
      <c r="I92" s="31"/>
      <c r="J92" s="31">
        <v>-13.5</v>
      </c>
      <c r="K92" s="31">
        <f t="shared" si="38"/>
        <v>2154.4</v>
      </c>
      <c r="L92" s="31">
        <f t="shared" si="39"/>
        <v>15.4</v>
      </c>
      <c r="M92" s="31">
        <f t="shared" si="40"/>
        <v>0.8</v>
      </c>
      <c r="N92" s="31">
        <f t="shared" si="41"/>
        <v>2139</v>
      </c>
    </row>
    <row r="93" spans="1:14" ht="31.5" x14ac:dyDescent="0.25">
      <c r="A93" s="11">
        <f t="shared" si="36"/>
        <v>86</v>
      </c>
      <c r="B93" s="9" t="s">
        <v>185</v>
      </c>
      <c r="C93" s="30">
        <f>+D93+F93</f>
        <v>613.9</v>
      </c>
      <c r="D93" s="30"/>
      <c r="E93" s="30"/>
      <c r="F93" s="30">
        <v>613.9</v>
      </c>
      <c r="G93" s="31"/>
      <c r="H93" s="31">
        <v>166.9</v>
      </c>
      <c r="I93" s="31"/>
      <c r="J93" s="31">
        <v>-166.9</v>
      </c>
      <c r="K93" s="30">
        <f t="shared" si="38"/>
        <v>613.9</v>
      </c>
      <c r="L93" s="30">
        <f t="shared" si="39"/>
        <v>166.9</v>
      </c>
      <c r="M93" s="30">
        <f t="shared" si="40"/>
        <v>0</v>
      </c>
      <c r="N93" s="30">
        <f t="shared" si="41"/>
        <v>447</v>
      </c>
    </row>
    <row r="94" spans="1:14" ht="15.75" x14ac:dyDescent="0.25">
      <c r="A94" s="11">
        <f t="shared" si="36"/>
        <v>87</v>
      </c>
      <c r="B94" s="6" t="s">
        <v>60</v>
      </c>
      <c r="C94" s="30">
        <f>+C95</f>
        <v>390.9</v>
      </c>
      <c r="D94" s="30">
        <f t="shared" ref="D94:N94" si="52">+D95</f>
        <v>267.89999999999998</v>
      </c>
      <c r="E94" s="30">
        <f t="shared" si="52"/>
        <v>0</v>
      </c>
      <c r="F94" s="30">
        <f t="shared" si="52"/>
        <v>123</v>
      </c>
      <c r="G94" s="30">
        <f t="shared" si="52"/>
        <v>0</v>
      </c>
      <c r="H94" s="30">
        <f t="shared" si="52"/>
        <v>0</v>
      </c>
      <c r="I94" s="30">
        <f t="shared" si="52"/>
        <v>0</v>
      </c>
      <c r="J94" s="30">
        <f t="shared" si="52"/>
        <v>0</v>
      </c>
      <c r="K94" s="30">
        <f t="shared" si="52"/>
        <v>390.9</v>
      </c>
      <c r="L94" s="30">
        <f t="shared" si="52"/>
        <v>267.89999999999998</v>
      </c>
      <c r="M94" s="30">
        <f t="shared" si="52"/>
        <v>0</v>
      </c>
      <c r="N94" s="30">
        <f t="shared" si="52"/>
        <v>123</v>
      </c>
    </row>
    <row r="95" spans="1:14" ht="31.5" x14ac:dyDescent="0.25">
      <c r="A95" s="11">
        <f t="shared" si="36"/>
        <v>88</v>
      </c>
      <c r="B95" s="5" t="s">
        <v>199</v>
      </c>
      <c r="C95" s="30">
        <f>+D95+F95</f>
        <v>390.9</v>
      </c>
      <c r="D95" s="30">
        <v>267.89999999999998</v>
      </c>
      <c r="E95" s="30"/>
      <c r="F95" s="30">
        <v>123</v>
      </c>
      <c r="G95" s="30"/>
      <c r="H95" s="30"/>
      <c r="I95" s="30"/>
      <c r="J95" s="30"/>
      <c r="K95" s="30">
        <f t="shared" si="38"/>
        <v>390.9</v>
      </c>
      <c r="L95" s="30">
        <f t="shared" si="39"/>
        <v>267.89999999999998</v>
      </c>
      <c r="M95" s="30">
        <f t="shared" si="40"/>
        <v>0</v>
      </c>
      <c r="N95" s="30">
        <f t="shared" si="41"/>
        <v>123</v>
      </c>
    </row>
    <row r="96" spans="1:14" ht="15.75" x14ac:dyDescent="0.25">
      <c r="A96" s="11">
        <f t="shared" si="36"/>
        <v>89</v>
      </c>
      <c r="B96" s="6" t="s">
        <v>4</v>
      </c>
      <c r="C96" s="30">
        <f>+C97+C102+C106+C110+C111+C116+C117+C118</f>
        <v>26322.1</v>
      </c>
      <c r="D96" s="30">
        <f t="shared" ref="D96:F96" si="53">+D97+D102+D106+D110+D111+D116+D117+D118</f>
        <v>21520.3</v>
      </c>
      <c r="E96" s="30">
        <f t="shared" si="53"/>
        <v>564</v>
      </c>
      <c r="F96" s="30">
        <f t="shared" si="53"/>
        <v>4801.8</v>
      </c>
      <c r="G96" s="30">
        <f t="shared" ref="G96:N96" si="54">+G97+G102+G106+G110+G111+G116+G117+G118</f>
        <v>1948.3</v>
      </c>
      <c r="H96" s="30">
        <f t="shared" si="54"/>
        <v>1884.3</v>
      </c>
      <c r="I96" s="30">
        <f t="shared" si="54"/>
        <v>0</v>
      </c>
      <c r="J96" s="30">
        <f t="shared" si="54"/>
        <v>64</v>
      </c>
      <c r="K96" s="30">
        <f t="shared" si="54"/>
        <v>28270.400000000001</v>
      </c>
      <c r="L96" s="30">
        <f t="shared" si="54"/>
        <v>23404.6</v>
      </c>
      <c r="M96" s="30">
        <f t="shared" si="54"/>
        <v>564</v>
      </c>
      <c r="N96" s="30">
        <f t="shared" si="54"/>
        <v>4865.8</v>
      </c>
    </row>
    <row r="97" spans="1:14" ht="15.75" x14ac:dyDescent="0.25">
      <c r="A97" s="11">
        <f t="shared" si="36"/>
        <v>90</v>
      </c>
      <c r="B97" s="9" t="s">
        <v>61</v>
      </c>
      <c r="C97" s="30">
        <f>SUM(C99:C101)</f>
        <v>5110.3999999999996</v>
      </c>
      <c r="D97" s="30">
        <f t="shared" ref="D97:F97" si="55">SUM(D99:D101)</f>
        <v>5060.3999999999996</v>
      </c>
      <c r="E97" s="30">
        <f t="shared" si="55"/>
        <v>0</v>
      </c>
      <c r="F97" s="30">
        <f t="shared" si="55"/>
        <v>50</v>
      </c>
      <c r="G97" s="30">
        <f t="shared" ref="G97:N97" si="56">SUM(G99:G101)</f>
        <v>0</v>
      </c>
      <c r="H97" s="30">
        <f t="shared" si="56"/>
        <v>0</v>
      </c>
      <c r="I97" s="30">
        <f t="shared" si="56"/>
        <v>0</v>
      </c>
      <c r="J97" s="30">
        <f t="shared" si="56"/>
        <v>0</v>
      </c>
      <c r="K97" s="30">
        <f t="shared" si="56"/>
        <v>5110.3999999999996</v>
      </c>
      <c r="L97" s="30">
        <f t="shared" si="56"/>
        <v>5060.3999999999996</v>
      </c>
      <c r="M97" s="30">
        <f t="shared" si="56"/>
        <v>0</v>
      </c>
      <c r="N97" s="30">
        <f t="shared" si="56"/>
        <v>50</v>
      </c>
    </row>
    <row r="98" spans="1:14" ht="15.75" x14ac:dyDescent="0.25">
      <c r="A98" s="11">
        <f t="shared" si="36"/>
        <v>91</v>
      </c>
      <c r="B98" s="62" t="s">
        <v>2</v>
      </c>
      <c r="C98" s="31"/>
      <c r="D98" s="31"/>
      <c r="E98" s="31"/>
      <c r="F98" s="31"/>
      <c r="G98" s="31"/>
      <c r="H98" s="31"/>
      <c r="I98" s="31"/>
      <c r="J98" s="31"/>
      <c r="K98" s="31">
        <f t="shared" si="38"/>
        <v>0</v>
      </c>
      <c r="L98" s="31">
        <f t="shared" si="39"/>
        <v>0</v>
      </c>
      <c r="M98" s="31">
        <f t="shared" si="40"/>
        <v>0</v>
      </c>
      <c r="N98" s="31">
        <f t="shared" si="41"/>
        <v>0</v>
      </c>
    </row>
    <row r="99" spans="1:14" ht="31.5" x14ac:dyDescent="0.25">
      <c r="A99" s="11">
        <f t="shared" si="36"/>
        <v>92</v>
      </c>
      <c r="B99" s="10" t="s">
        <v>52</v>
      </c>
      <c r="C99" s="31">
        <f>+D99+F99</f>
        <v>4860</v>
      </c>
      <c r="D99" s="31">
        <v>4860</v>
      </c>
      <c r="E99" s="31"/>
      <c r="F99" s="31"/>
      <c r="G99" s="31"/>
      <c r="H99" s="31"/>
      <c r="I99" s="31"/>
      <c r="J99" s="31"/>
      <c r="K99" s="31">
        <f t="shared" si="38"/>
        <v>4860</v>
      </c>
      <c r="L99" s="31">
        <f t="shared" si="39"/>
        <v>4860</v>
      </c>
      <c r="M99" s="31">
        <f t="shared" si="40"/>
        <v>0</v>
      </c>
      <c r="N99" s="31">
        <f t="shared" si="41"/>
        <v>0</v>
      </c>
    </row>
    <row r="100" spans="1:14" ht="63" x14ac:dyDescent="0.25">
      <c r="A100" s="11">
        <f t="shared" si="36"/>
        <v>93</v>
      </c>
      <c r="B100" s="10" t="s">
        <v>214</v>
      </c>
      <c r="C100" s="31">
        <f t="shared" ref="C100:C101" si="57">+D100+F100</f>
        <v>5.4</v>
      </c>
      <c r="D100" s="31">
        <v>5.4</v>
      </c>
      <c r="E100" s="31"/>
      <c r="F100" s="31"/>
      <c r="G100" s="31"/>
      <c r="H100" s="31"/>
      <c r="I100" s="31"/>
      <c r="J100" s="31"/>
      <c r="K100" s="31">
        <f t="shared" si="38"/>
        <v>5.4</v>
      </c>
      <c r="L100" s="31">
        <f t="shared" si="39"/>
        <v>5.4</v>
      </c>
      <c r="M100" s="31">
        <f t="shared" si="40"/>
        <v>0</v>
      </c>
      <c r="N100" s="31">
        <f t="shared" si="41"/>
        <v>0</v>
      </c>
    </row>
    <row r="101" spans="1:14" ht="15.75" x14ac:dyDescent="0.25">
      <c r="A101" s="11">
        <f t="shared" si="36"/>
        <v>94</v>
      </c>
      <c r="B101" s="5" t="s">
        <v>53</v>
      </c>
      <c r="C101" s="31">
        <f t="shared" si="57"/>
        <v>245</v>
      </c>
      <c r="D101" s="31">
        <v>195</v>
      </c>
      <c r="E101" s="31"/>
      <c r="F101" s="31">
        <v>50</v>
      </c>
      <c r="G101" s="31"/>
      <c r="H101" s="31"/>
      <c r="I101" s="31"/>
      <c r="J101" s="31"/>
      <c r="K101" s="31">
        <f t="shared" si="38"/>
        <v>245</v>
      </c>
      <c r="L101" s="31">
        <f t="shared" si="39"/>
        <v>195</v>
      </c>
      <c r="M101" s="31">
        <f t="shared" si="40"/>
        <v>0</v>
      </c>
      <c r="N101" s="31">
        <f t="shared" si="41"/>
        <v>50</v>
      </c>
    </row>
    <row r="102" spans="1:14" ht="31.5" x14ac:dyDescent="0.25">
      <c r="A102" s="11">
        <f t="shared" si="36"/>
        <v>95</v>
      </c>
      <c r="B102" s="6" t="s">
        <v>245</v>
      </c>
      <c r="C102" s="30">
        <f>+C104+C105</f>
        <v>6151.1</v>
      </c>
      <c r="D102" s="30">
        <f t="shared" ref="D102:N102" si="58">+D104+D105</f>
        <v>5884.2</v>
      </c>
      <c r="E102" s="30">
        <f t="shared" si="58"/>
        <v>0</v>
      </c>
      <c r="F102" s="30">
        <f t="shared" si="58"/>
        <v>266.89999999999998</v>
      </c>
      <c r="G102" s="30">
        <f t="shared" si="58"/>
        <v>1948.3</v>
      </c>
      <c r="H102" s="30">
        <f t="shared" si="58"/>
        <v>1884.3</v>
      </c>
      <c r="I102" s="30">
        <f t="shared" si="58"/>
        <v>0</v>
      </c>
      <c r="J102" s="30">
        <f t="shared" si="58"/>
        <v>64</v>
      </c>
      <c r="K102" s="30">
        <f t="shared" si="58"/>
        <v>8099.4</v>
      </c>
      <c r="L102" s="30">
        <f t="shared" si="58"/>
        <v>7768.5</v>
      </c>
      <c r="M102" s="30">
        <f t="shared" si="58"/>
        <v>0</v>
      </c>
      <c r="N102" s="30">
        <f t="shared" si="58"/>
        <v>330.9</v>
      </c>
    </row>
    <row r="103" spans="1:14" ht="15.75" x14ac:dyDescent="0.25">
      <c r="A103" s="11">
        <f t="shared" si="36"/>
        <v>96</v>
      </c>
      <c r="B103" s="62" t="s">
        <v>2</v>
      </c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</row>
    <row r="104" spans="1:14" ht="31.5" x14ac:dyDescent="0.25">
      <c r="A104" s="11">
        <f t="shared" si="36"/>
        <v>97</v>
      </c>
      <c r="B104" s="5" t="s">
        <v>154</v>
      </c>
      <c r="C104" s="31">
        <f>+D104+F104</f>
        <v>6151.1</v>
      </c>
      <c r="D104" s="31">
        <f>5695.5+188.7</f>
        <v>5884.2</v>
      </c>
      <c r="E104" s="31"/>
      <c r="F104" s="31">
        <f>455.6-188.7</f>
        <v>266.89999999999998</v>
      </c>
      <c r="G104" s="31"/>
      <c r="H104" s="31"/>
      <c r="I104" s="31"/>
      <c r="J104" s="31"/>
      <c r="K104" s="31">
        <f t="shared" ref="K104" si="59">+C104+G104</f>
        <v>6151.1</v>
      </c>
      <c r="L104" s="31">
        <f t="shared" ref="L104" si="60">+D104+H104</f>
        <v>5884.2</v>
      </c>
      <c r="M104" s="31">
        <f t="shared" ref="M104" si="61">+E104+I104</f>
        <v>0</v>
      </c>
      <c r="N104" s="31">
        <f t="shared" ref="N104" si="62">+F104+J104</f>
        <v>266.89999999999998</v>
      </c>
    </row>
    <row r="105" spans="1:14" ht="94.5" x14ac:dyDescent="0.25">
      <c r="A105" s="11">
        <f t="shared" si="36"/>
        <v>98</v>
      </c>
      <c r="B105" s="6" t="s">
        <v>244</v>
      </c>
      <c r="C105" s="30"/>
      <c r="D105" s="30"/>
      <c r="E105" s="30"/>
      <c r="F105" s="30"/>
      <c r="G105" s="30">
        <f>+H105+J105</f>
        <v>1948.3</v>
      </c>
      <c r="H105" s="30">
        <v>1884.3</v>
      </c>
      <c r="I105" s="30"/>
      <c r="J105" s="30">
        <v>64</v>
      </c>
      <c r="K105" s="31">
        <f t="shared" ref="K105" si="63">+C105+G105</f>
        <v>1948.3</v>
      </c>
      <c r="L105" s="31">
        <f t="shared" ref="L105" si="64">+D105+H105</f>
        <v>1884.3</v>
      </c>
      <c r="M105" s="31">
        <f t="shared" ref="M105" si="65">+E105+I105</f>
        <v>0</v>
      </c>
      <c r="N105" s="31">
        <f t="shared" ref="N105" si="66">+F105+J105</f>
        <v>64</v>
      </c>
    </row>
    <row r="106" spans="1:14" ht="31.5" x14ac:dyDescent="0.25">
      <c r="A106" s="11">
        <f t="shared" si="36"/>
        <v>99</v>
      </c>
      <c r="B106" s="6" t="s">
        <v>62</v>
      </c>
      <c r="C106" s="30">
        <f>SUM(C108:C109)</f>
        <v>8954.6</v>
      </c>
      <c r="D106" s="30">
        <f t="shared" ref="D106:N106" si="67">SUM(D108:D109)</f>
        <v>6321</v>
      </c>
      <c r="E106" s="30">
        <f t="shared" si="67"/>
        <v>564</v>
      </c>
      <c r="F106" s="30">
        <f t="shared" si="67"/>
        <v>2633.6</v>
      </c>
      <c r="G106" s="30">
        <f t="shared" si="67"/>
        <v>0</v>
      </c>
      <c r="H106" s="30">
        <f t="shared" si="67"/>
        <v>0</v>
      </c>
      <c r="I106" s="30">
        <f t="shared" si="67"/>
        <v>0</v>
      </c>
      <c r="J106" s="30">
        <f t="shared" si="67"/>
        <v>0</v>
      </c>
      <c r="K106" s="30">
        <f t="shared" si="67"/>
        <v>8954.6</v>
      </c>
      <c r="L106" s="30">
        <f t="shared" si="67"/>
        <v>6321</v>
      </c>
      <c r="M106" s="30">
        <f t="shared" si="67"/>
        <v>564</v>
      </c>
      <c r="N106" s="30">
        <f t="shared" si="67"/>
        <v>2633.6</v>
      </c>
    </row>
    <row r="107" spans="1:14" ht="15.75" x14ac:dyDescent="0.25">
      <c r="A107" s="11">
        <f t="shared" si="36"/>
        <v>100</v>
      </c>
      <c r="B107" s="62" t="s">
        <v>2</v>
      </c>
      <c r="C107" s="30"/>
      <c r="D107" s="30"/>
      <c r="E107" s="30"/>
      <c r="F107" s="30"/>
      <c r="G107" s="31"/>
      <c r="H107" s="31"/>
      <c r="I107" s="31"/>
      <c r="J107" s="31"/>
      <c r="K107" s="31">
        <f t="shared" si="38"/>
        <v>0</v>
      </c>
      <c r="L107" s="31">
        <f t="shared" si="39"/>
        <v>0</v>
      </c>
      <c r="M107" s="31">
        <f t="shared" si="40"/>
        <v>0</v>
      </c>
      <c r="N107" s="31">
        <f t="shared" si="41"/>
        <v>0</v>
      </c>
    </row>
    <row r="108" spans="1:14" ht="47.25" x14ac:dyDescent="0.25">
      <c r="A108" s="11">
        <f t="shared" si="36"/>
        <v>101</v>
      </c>
      <c r="B108" s="10" t="s">
        <v>54</v>
      </c>
      <c r="C108" s="31">
        <f t="shared" ref="C108:C110" si="68">+D108+F108</f>
        <v>8919.9</v>
      </c>
      <c r="D108" s="31">
        <v>6286.3</v>
      </c>
      <c r="E108" s="31">
        <v>543.29999999999995</v>
      </c>
      <c r="F108" s="31">
        <v>2633.6</v>
      </c>
      <c r="G108" s="31"/>
      <c r="H108" s="31"/>
      <c r="I108" s="31"/>
      <c r="J108" s="31"/>
      <c r="K108" s="31">
        <f t="shared" si="38"/>
        <v>8919.9</v>
      </c>
      <c r="L108" s="31">
        <f t="shared" si="39"/>
        <v>6286.3</v>
      </c>
      <c r="M108" s="31">
        <f t="shared" si="40"/>
        <v>543.29999999999995</v>
      </c>
      <c r="N108" s="31">
        <f t="shared" si="41"/>
        <v>2633.6</v>
      </c>
    </row>
    <row r="109" spans="1:14" ht="47.25" x14ac:dyDescent="0.25">
      <c r="A109" s="11">
        <f t="shared" si="36"/>
        <v>102</v>
      </c>
      <c r="B109" s="5" t="s">
        <v>63</v>
      </c>
      <c r="C109" s="31">
        <f t="shared" si="68"/>
        <v>34.700000000000003</v>
      </c>
      <c r="D109" s="31">
        <v>34.700000000000003</v>
      </c>
      <c r="E109" s="31">
        <v>20.7</v>
      </c>
      <c r="F109" s="31"/>
      <c r="G109" s="31"/>
      <c r="H109" s="31"/>
      <c r="I109" s="31"/>
      <c r="J109" s="31"/>
      <c r="K109" s="31">
        <f t="shared" si="38"/>
        <v>34.700000000000003</v>
      </c>
      <c r="L109" s="31">
        <f t="shared" si="39"/>
        <v>34.700000000000003</v>
      </c>
      <c r="M109" s="31">
        <f t="shared" si="40"/>
        <v>20.7</v>
      </c>
      <c r="N109" s="31">
        <f t="shared" si="41"/>
        <v>0</v>
      </c>
    </row>
    <row r="110" spans="1:14" ht="31.5" x14ac:dyDescent="0.25">
      <c r="A110" s="11">
        <f t="shared" si="36"/>
        <v>103</v>
      </c>
      <c r="B110" s="6" t="s">
        <v>188</v>
      </c>
      <c r="C110" s="30">
        <f t="shared" si="68"/>
        <v>202.8</v>
      </c>
      <c r="D110" s="30">
        <f>229.7-50-21.9</f>
        <v>157.80000000000001</v>
      </c>
      <c r="E110" s="30"/>
      <c r="F110" s="30">
        <v>45</v>
      </c>
      <c r="G110" s="30"/>
      <c r="H110" s="30"/>
      <c r="I110" s="30"/>
      <c r="J110" s="30"/>
      <c r="K110" s="30">
        <f t="shared" si="38"/>
        <v>202.8</v>
      </c>
      <c r="L110" s="30">
        <f t="shared" si="39"/>
        <v>157.80000000000001</v>
      </c>
      <c r="M110" s="30">
        <f t="shared" si="40"/>
        <v>0</v>
      </c>
      <c r="N110" s="30">
        <f t="shared" si="41"/>
        <v>45</v>
      </c>
    </row>
    <row r="111" spans="1:14" ht="15.75" x14ac:dyDescent="0.25">
      <c r="A111" s="11">
        <f t="shared" si="36"/>
        <v>104</v>
      </c>
      <c r="B111" s="6" t="s">
        <v>55</v>
      </c>
      <c r="C111" s="30">
        <f>SUM(C113:C115)</f>
        <v>5317</v>
      </c>
      <c r="D111" s="30">
        <f t="shared" ref="D111:N111" si="69">SUM(D113:D115)</f>
        <v>3715</v>
      </c>
      <c r="E111" s="30">
        <f t="shared" si="69"/>
        <v>0</v>
      </c>
      <c r="F111" s="30">
        <f t="shared" si="69"/>
        <v>1602</v>
      </c>
      <c r="G111" s="30">
        <f t="shared" si="69"/>
        <v>0</v>
      </c>
      <c r="H111" s="30">
        <f t="shared" si="69"/>
        <v>0</v>
      </c>
      <c r="I111" s="30">
        <f t="shared" si="69"/>
        <v>0</v>
      </c>
      <c r="J111" s="30">
        <f t="shared" si="69"/>
        <v>0</v>
      </c>
      <c r="K111" s="30">
        <f t="shared" si="69"/>
        <v>5317</v>
      </c>
      <c r="L111" s="30">
        <f t="shared" si="69"/>
        <v>3715</v>
      </c>
      <c r="M111" s="30">
        <f t="shared" si="69"/>
        <v>0</v>
      </c>
      <c r="N111" s="30">
        <f t="shared" si="69"/>
        <v>1602</v>
      </c>
    </row>
    <row r="112" spans="1:14" ht="15.75" x14ac:dyDescent="0.25">
      <c r="A112" s="11">
        <f t="shared" si="36"/>
        <v>105</v>
      </c>
      <c r="B112" s="62" t="s">
        <v>2</v>
      </c>
      <c r="C112" s="30"/>
      <c r="D112" s="31"/>
      <c r="E112" s="31"/>
      <c r="F112" s="31"/>
      <c r="G112" s="31"/>
      <c r="H112" s="31"/>
      <c r="I112" s="31"/>
      <c r="J112" s="31"/>
      <c r="K112" s="31">
        <f t="shared" si="38"/>
        <v>0</v>
      </c>
      <c r="L112" s="31">
        <f t="shared" si="39"/>
        <v>0</v>
      </c>
      <c r="M112" s="31">
        <f t="shared" si="40"/>
        <v>0</v>
      </c>
      <c r="N112" s="31">
        <f t="shared" si="41"/>
        <v>0</v>
      </c>
    </row>
    <row r="113" spans="1:14" ht="31.5" x14ac:dyDescent="0.25">
      <c r="A113" s="11">
        <f t="shared" si="36"/>
        <v>106</v>
      </c>
      <c r="B113" s="5" t="s">
        <v>56</v>
      </c>
      <c r="C113" s="31">
        <f t="shared" ref="C113:C118" si="70">+D113+F113</f>
        <v>5166.6000000000004</v>
      </c>
      <c r="D113" s="31">
        <f>4129.1-421.5</f>
        <v>3707.6</v>
      </c>
      <c r="E113" s="31"/>
      <c r="F113" s="31">
        <v>1459</v>
      </c>
      <c r="G113" s="31"/>
      <c r="H113" s="31"/>
      <c r="I113" s="31"/>
      <c r="J113" s="31"/>
      <c r="K113" s="31">
        <f t="shared" si="38"/>
        <v>5166.6000000000004</v>
      </c>
      <c r="L113" s="31">
        <f t="shared" si="39"/>
        <v>3707.6</v>
      </c>
      <c r="M113" s="31">
        <f t="shared" si="40"/>
        <v>0</v>
      </c>
      <c r="N113" s="31">
        <f t="shared" si="41"/>
        <v>1459</v>
      </c>
    </row>
    <row r="114" spans="1:14" ht="47.25" x14ac:dyDescent="0.25">
      <c r="A114" s="11">
        <f t="shared" si="36"/>
        <v>107</v>
      </c>
      <c r="B114" s="5" t="s">
        <v>200</v>
      </c>
      <c r="C114" s="31">
        <f t="shared" si="70"/>
        <v>143</v>
      </c>
      <c r="D114" s="31"/>
      <c r="E114" s="31"/>
      <c r="F114" s="31">
        <v>143</v>
      </c>
      <c r="G114" s="31"/>
      <c r="H114" s="31"/>
      <c r="I114" s="31"/>
      <c r="J114" s="31"/>
      <c r="K114" s="31">
        <f t="shared" si="38"/>
        <v>143</v>
      </c>
      <c r="L114" s="31">
        <f t="shared" si="39"/>
        <v>0</v>
      </c>
      <c r="M114" s="31">
        <f t="shared" si="40"/>
        <v>0</v>
      </c>
      <c r="N114" s="31">
        <f t="shared" si="41"/>
        <v>143</v>
      </c>
    </row>
    <row r="115" spans="1:14" ht="47.25" x14ac:dyDescent="0.25">
      <c r="A115" s="11">
        <f t="shared" si="36"/>
        <v>108</v>
      </c>
      <c r="B115" s="49" t="s">
        <v>64</v>
      </c>
      <c r="C115" s="31">
        <f t="shared" si="70"/>
        <v>7.4</v>
      </c>
      <c r="D115" s="31">
        <v>7.4</v>
      </c>
      <c r="E115" s="31"/>
      <c r="F115" s="31"/>
      <c r="G115" s="31"/>
      <c r="H115" s="31"/>
      <c r="I115" s="31"/>
      <c r="J115" s="31"/>
      <c r="K115" s="31">
        <f t="shared" si="38"/>
        <v>7.4</v>
      </c>
      <c r="L115" s="31">
        <f t="shared" si="39"/>
        <v>7.4</v>
      </c>
      <c r="M115" s="31">
        <f t="shared" si="40"/>
        <v>0</v>
      </c>
      <c r="N115" s="31">
        <f t="shared" si="41"/>
        <v>0</v>
      </c>
    </row>
    <row r="116" spans="1:14" ht="31.5" x14ac:dyDescent="0.25">
      <c r="A116" s="11">
        <f t="shared" si="36"/>
        <v>109</v>
      </c>
      <c r="B116" s="9" t="s">
        <v>187</v>
      </c>
      <c r="C116" s="30">
        <f t="shared" si="70"/>
        <v>218.7</v>
      </c>
      <c r="D116" s="30">
        <f>247.4-28.7</f>
        <v>218.7</v>
      </c>
      <c r="E116" s="30"/>
      <c r="F116" s="30"/>
      <c r="G116" s="30"/>
      <c r="H116" s="30"/>
      <c r="I116" s="30"/>
      <c r="J116" s="30"/>
      <c r="K116" s="30">
        <f t="shared" si="38"/>
        <v>218.7</v>
      </c>
      <c r="L116" s="30">
        <f t="shared" si="39"/>
        <v>218.7</v>
      </c>
      <c r="M116" s="30">
        <f t="shared" si="40"/>
        <v>0</v>
      </c>
      <c r="N116" s="30">
        <f t="shared" si="41"/>
        <v>0</v>
      </c>
    </row>
    <row r="117" spans="1:14" ht="31.5" x14ac:dyDescent="0.25">
      <c r="A117" s="11">
        <f t="shared" si="36"/>
        <v>110</v>
      </c>
      <c r="B117" s="6" t="s">
        <v>186</v>
      </c>
      <c r="C117" s="30">
        <f t="shared" si="70"/>
        <v>183.6</v>
      </c>
      <c r="D117" s="30">
        <f>177.2-17</f>
        <v>160.19999999999999</v>
      </c>
      <c r="E117" s="30"/>
      <c r="F117" s="30">
        <v>23.4</v>
      </c>
      <c r="G117" s="30"/>
      <c r="H117" s="30"/>
      <c r="I117" s="30"/>
      <c r="J117" s="30"/>
      <c r="K117" s="30">
        <f t="shared" si="38"/>
        <v>183.6</v>
      </c>
      <c r="L117" s="30">
        <f t="shared" si="39"/>
        <v>160.19999999999999</v>
      </c>
      <c r="M117" s="30">
        <f t="shared" si="40"/>
        <v>0</v>
      </c>
      <c r="N117" s="30">
        <f t="shared" si="41"/>
        <v>23.4</v>
      </c>
    </row>
    <row r="118" spans="1:14" ht="31.5" x14ac:dyDescent="0.25">
      <c r="A118" s="11">
        <f t="shared" si="36"/>
        <v>111</v>
      </c>
      <c r="B118" s="6" t="s">
        <v>180</v>
      </c>
      <c r="C118" s="30">
        <f t="shared" si="70"/>
        <v>183.9</v>
      </c>
      <c r="D118" s="30">
        <v>3</v>
      </c>
      <c r="E118" s="30"/>
      <c r="F118" s="30">
        <v>180.9</v>
      </c>
      <c r="G118" s="30"/>
      <c r="H118" s="30"/>
      <c r="I118" s="30"/>
      <c r="J118" s="30"/>
      <c r="K118" s="30">
        <f t="shared" si="38"/>
        <v>183.9</v>
      </c>
      <c r="L118" s="30">
        <f t="shared" si="39"/>
        <v>3</v>
      </c>
      <c r="M118" s="30">
        <f t="shared" si="40"/>
        <v>0</v>
      </c>
      <c r="N118" s="30">
        <f t="shared" si="41"/>
        <v>180.9</v>
      </c>
    </row>
    <row r="119" spans="1:14" ht="15.75" x14ac:dyDescent="0.25">
      <c r="A119" s="11">
        <f t="shared" si="36"/>
        <v>112</v>
      </c>
      <c r="B119" s="6" t="s">
        <v>5</v>
      </c>
      <c r="C119" s="30">
        <f>+C120+C124+C133</f>
        <v>94035.9</v>
      </c>
      <c r="D119" s="30">
        <f>+D120+D124+D133</f>
        <v>93366.9</v>
      </c>
      <c r="E119" s="30">
        <f>+E120+E124+E133</f>
        <v>74499.7</v>
      </c>
      <c r="F119" s="30">
        <f>+F120+F124+F133</f>
        <v>669</v>
      </c>
      <c r="G119" s="30">
        <f t="shared" ref="G119:N119" si="71">+G120+G124+G133</f>
        <v>730.3</v>
      </c>
      <c r="H119" s="30">
        <f t="shared" si="71"/>
        <v>730.3</v>
      </c>
      <c r="I119" s="30">
        <f t="shared" si="71"/>
        <v>-193.7</v>
      </c>
      <c r="J119" s="30">
        <f t="shared" si="71"/>
        <v>0</v>
      </c>
      <c r="K119" s="30">
        <f t="shared" si="71"/>
        <v>94766.2</v>
      </c>
      <c r="L119" s="30">
        <f t="shared" si="71"/>
        <v>94097.2</v>
      </c>
      <c r="M119" s="30">
        <f t="shared" si="71"/>
        <v>74306</v>
      </c>
      <c r="N119" s="30">
        <f t="shared" si="71"/>
        <v>669</v>
      </c>
    </row>
    <row r="120" spans="1:14" ht="15.75" x14ac:dyDescent="0.25">
      <c r="A120" s="11">
        <f t="shared" si="36"/>
        <v>113</v>
      </c>
      <c r="B120" s="6" t="s">
        <v>133</v>
      </c>
      <c r="C120" s="30">
        <f>SUM(C122:C123)</f>
        <v>7421.3</v>
      </c>
      <c r="D120" s="30">
        <f t="shared" ref="D120:F120" si="72">SUM(D122:D123)</f>
        <v>7252.2</v>
      </c>
      <c r="E120" s="30">
        <f t="shared" si="72"/>
        <v>3294.2</v>
      </c>
      <c r="F120" s="30">
        <f t="shared" si="72"/>
        <v>169.1</v>
      </c>
      <c r="G120" s="30">
        <f t="shared" ref="G120:N120" si="73">SUM(G122:G123)</f>
        <v>0</v>
      </c>
      <c r="H120" s="30">
        <f t="shared" si="73"/>
        <v>0</v>
      </c>
      <c r="I120" s="30">
        <f t="shared" si="73"/>
        <v>-5</v>
      </c>
      <c r="J120" s="30">
        <f t="shared" si="73"/>
        <v>0</v>
      </c>
      <c r="K120" s="30">
        <f t="shared" si="73"/>
        <v>7421.3</v>
      </c>
      <c r="L120" s="30">
        <f t="shared" si="73"/>
        <v>7252.2</v>
      </c>
      <c r="M120" s="30">
        <f t="shared" si="73"/>
        <v>3289.2</v>
      </c>
      <c r="N120" s="30">
        <f t="shared" si="73"/>
        <v>169.1</v>
      </c>
    </row>
    <row r="121" spans="1:14" ht="15.75" x14ac:dyDescent="0.25">
      <c r="A121" s="11">
        <f t="shared" si="36"/>
        <v>114</v>
      </c>
      <c r="B121" s="62" t="s">
        <v>2</v>
      </c>
      <c r="C121" s="30"/>
      <c r="D121" s="31"/>
      <c r="E121" s="31"/>
      <c r="F121" s="31"/>
      <c r="G121" s="31"/>
      <c r="H121" s="31"/>
      <c r="I121" s="31"/>
      <c r="J121" s="31"/>
      <c r="K121" s="31">
        <f t="shared" si="38"/>
        <v>0</v>
      </c>
      <c r="L121" s="31">
        <f t="shared" si="39"/>
        <v>0</v>
      </c>
      <c r="M121" s="31">
        <f t="shared" si="40"/>
        <v>0</v>
      </c>
      <c r="N121" s="31">
        <f t="shared" si="41"/>
        <v>0</v>
      </c>
    </row>
    <row r="122" spans="1:14" ht="31.5" x14ac:dyDescent="0.25">
      <c r="A122" s="11">
        <f t="shared" si="36"/>
        <v>115</v>
      </c>
      <c r="B122" s="5" t="s">
        <v>132</v>
      </c>
      <c r="C122" s="31">
        <f>+D122+F122</f>
        <v>6992.3</v>
      </c>
      <c r="D122" s="31">
        <f>6783+50</f>
        <v>6833</v>
      </c>
      <c r="E122" s="31">
        <v>3276.3</v>
      </c>
      <c r="F122" s="31">
        <v>159.30000000000001</v>
      </c>
      <c r="G122" s="31"/>
      <c r="H122" s="31"/>
      <c r="I122" s="31">
        <v>-5</v>
      </c>
      <c r="J122" s="31"/>
      <c r="K122" s="31">
        <f t="shared" si="38"/>
        <v>6992.3</v>
      </c>
      <c r="L122" s="31">
        <f t="shared" si="39"/>
        <v>6833</v>
      </c>
      <c r="M122" s="31">
        <f t="shared" si="40"/>
        <v>3271.3</v>
      </c>
      <c r="N122" s="31">
        <f t="shared" si="41"/>
        <v>159.30000000000001</v>
      </c>
    </row>
    <row r="123" spans="1:14" ht="31.5" x14ac:dyDescent="0.25">
      <c r="A123" s="11">
        <f t="shared" si="36"/>
        <v>116</v>
      </c>
      <c r="B123" s="5" t="s">
        <v>134</v>
      </c>
      <c r="C123" s="31">
        <f>+D123+F123</f>
        <v>429</v>
      </c>
      <c r="D123" s="31">
        <v>419.2</v>
      </c>
      <c r="E123" s="31">
        <v>17.899999999999999</v>
      </c>
      <c r="F123" s="31">
        <v>9.8000000000000007</v>
      </c>
      <c r="G123" s="31"/>
      <c r="H123" s="31"/>
      <c r="I123" s="31"/>
      <c r="J123" s="31"/>
      <c r="K123" s="31">
        <f t="shared" si="38"/>
        <v>429</v>
      </c>
      <c r="L123" s="31">
        <f t="shared" si="39"/>
        <v>419.2</v>
      </c>
      <c r="M123" s="31">
        <f t="shared" si="40"/>
        <v>17.899999999999999</v>
      </c>
      <c r="N123" s="31">
        <f t="shared" si="41"/>
        <v>9.8000000000000007</v>
      </c>
    </row>
    <row r="124" spans="1:14" ht="15.75" x14ac:dyDescent="0.25">
      <c r="A124" s="11">
        <f t="shared" si="36"/>
        <v>117</v>
      </c>
      <c r="B124" s="6" t="s">
        <v>65</v>
      </c>
      <c r="C124" s="30">
        <f>SUM(C126:C132)</f>
        <v>78611.399999999994</v>
      </c>
      <c r="D124" s="30">
        <f t="shared" ref="D124:N124" si="74">SUM(D126:D132)</f>
        <v>78294.100000000006</v>
      </c>
      <c r="E124" s="30">
        <f t="shared" si="74"/>
        <v>67353</v>
      </c>
      <c r="F124" s="30">
        <f t="shared" si="74"/>
        <v>317.3</v>
      </c>
      <c r="G124" s="30">
        <f t="shared" si="74"/>
        <v>730.3</v>
      </c>
      <c r="H124" s="30">
        <f t="shared" si="74"/>
        <v>730.3</v>
      </c>
      <c r="I124" s="30">
        <f t="shared" si="74"/>
        <v>-188.7</v>
      </c>
      <c r="J124" s="30">
        <f t="shared" si="74"/>
        <v>0</v>
      </c>
      <c r="K124" s="30">
        <f t="shared" si="74"/>
        <v>79341.7</v>
      </c>
      <c r="L124" s="30">
        <f t="shared" si="74"/>
        <v>79024.399999999994</v>
      </c>
      <c r="M124" s="30">
        <f t="shared" si="74"/>
        <v>67164.3</v>
      </c>
      <c r="N124" s="30">
        <f t="shared" si="74"/>
        <v>317.3</v>
      </c>
    </row>
    <row r="125" spans="1:14" ht="15.75" x14ac:dyDescent="0.25">
      <c r="A125" s="11">
        <f t="shared" si="36"/>
        <v>118</v>
      </c>
      <c r="B125" s="62" t="s">
        <v>2</v>
      </c>
      <c r="C125" s="30"/>
      <c r="D125" s="30"/>
      <c r="E125" s="30"/>
      <c r="F125" s="30"/>
      <c r="G125" s="31"/>
      <c r="H125" s="31"/>
      <c r="I125" s="31"/>
      <c r="J125" s="31"/>
      <c r="K125" s="31">
        <f t="shared" si="38"/>
        <v>0</v>
      </c>
      <c r="L125" s="31">
        <f t="shared" si="39"/>
        <v>0</v>
      </c>
      <c r="M125" s="31">
        <f t="shared" si="40"/>
        <v>0</v>
      </c>
      <c r="N125" s="31">
        <f t="shared" si="41"/>
        <v>0</v>
      </c>
    </row>
    <row r="126" spans="1:14" ht="31.5" x14ac:dyDescent="0.25">
      <c r="A126" s="11">
        <f t="shared" si="36"/>
        <v>119</v>
      </c>
      <c r="B126" s="10" t="s">
        <v>66</v>
      </c>
      <c r="C126" s="31">
        <f t="shared" ref="C126:C132" si="75">+D126+F126</f>
        <v>32239.5</v>
      </c>
      <c r="D126" s="31">
        <f>32243-237.1+30</f>
        <v>32035.9</v>
      </c>
      <c r="E126" s="31">
        <f>27684.5-233.7-125.1</f>
        <v>27325.7</v>
      </c>
      <c r="F126" s="31">
        <v>203.6</v>
      </c>
      <c r="G126" s="31">
        <f>+H126+J126</f>
        <v>0</v>
      </c>
      <c r="H126" s="31"/>
      <c r="I126" s="31">
        <f>-3.6-1.2-63-1.2-10.2-4.6</f>
        <v>-83.8</v>
      </c>
      <c r="J126" s="31"/>
      <c r="K126" s="31">
        <f t="shared" si="38"/>
        <v>32239.5</v>
      </c>
      <c r="L126" s="31">
        <f t="shared" si="39"/>
        <v>32035.9</v>
      </c>
      <c r="M126" s="31">
        <f t="shared" si="40"/>
        <v>27241.9</v>
      </c>
      <c r="N126" s="31">
        <f t="shared" si="41"/>
        <v>203.6</v>
      </c>
    </row>
    <row r="127" spans="1:14" ht="31.5" x14ac:dyDescent="0.25">
      <c r="A127" s="11">
        <f t="shared" si="36"/>
        <v>120</v>
      </c>
      <c r="B127" s="5" t="s">
        <v>68</v>
      </c>
      <c r="C127" s="31">
        <f t="shared" si="75"/>
        <v>5544.9</v>
      </c>
      <c r="D127" s="31">
        <v>5495.5</v>
      </c>
      <c r="E127" s="31">
        <v>1684.1</v>
      </c>
      <c r="F127" s="31">
        <v>49.4</v>
      </c>
      <c r="G127" s="31">
        <f t="shared" ref="G127:G132" si="76">+H127+J127</f>
        <v>0</v>
      </c>
      <c r="H127" s="31"/>
      <c r="I127" s="31">
        <v>-4.9000000000000004</v>
      </c>
      <c r="J127" s="31"/>
      <c r="K127" s="31">
        <f t="shared" si="38"/>
        <v>5544.9</v>
      </c>
      <c r="L127" s="31">
        <f t="shared" si="39"/>
        <v>5495.5</v>
      </c>
      <c r="M127" s="31">
        <f t="shared" si="40"/>
        <v>1679.2</v>
      </c>
      <c r="N127" s="31">
        <f t="shared" si="41"/>
        <v>49.4</v>
      </c>
    </row>
    <row r="128" spans="1:14" ht="47.25" x14ac:dyDescent="0.25">
      <c r="A128" s="11">
        <f t="shared" si="36"/>
        <v>121</v>
      </c>
      <c r="B128" s="5" t="s">
        <v>170</v>
      </c>
      <c r="C128" s="31">
        <f t="shared" si="75"/>
        <v>39374.9</v>
      </c>
      <c r="D128" s="31">
        <v>39310.6</v>
      </c>
      <c r="E128" s="31">
        <v>37444.1</v>
      </c>
      <c r="F128" s="31">
        <v>64.3</v>
      </c>
      <c r="G128" s="31">
        <f t="shared" si="76"/>
        <v>0</v>
      </c>
      <c r="H128" s="31"/>
      <c r="I128" s="31">
        <f>-28.1-3.4-88.7</f>
        <v>-120.2</v>
      </c>
      <c r="J128" s="31"/>
      <c r="K128" s="31">
        <f t="shared" si="38"/>
        <v>39374.9</v>
      </c>
      <c r="L128" s="31">
        <f t="shared" si="39"/>
        <v>39310.6</v>
      </c>
      <c r="M128" s="31">
        <f t="shared" si="40"/>
        <v>37323.9</v>
      </c>
      <c r="N128" s="31">
        <f t="shared" si="41"/>
        <v>64.3</v>
      </c>
    </row>
    <row r="129" spans="1:14" ht="31.5" x14ac:dyDescent="0.25">
      <c r="A129" s="11">
        <f t="shared" si="36"/>
        <v>122</v>
      </c>
      <c r="B129" s="5" t="s">
        <v>198</v>
      </c>
      <c r="C129" s="31">
        <f t="shared" si="75"/>
        <v>237.1</v>
      </c>
      <c r="D129" s="31">
        <v>237.1</v>
      </c>
      <c r="E129" s="31">
        <v>233.7</v>
      </c>
      <c r="F129" s="31"/>
      <c r="G129" s="31">
        <f t="shared" si="76"/>
        <v>0</v>
      </c>
      <c r="H129" s="31"/>
      <c r="I129" s="31"/>
      <c r="J129" s="31"/>
      <c r="K129" s="31">
        <f t="shared" si="38"/>
        <v>237.1</v>
      </c>
      <c r="L129" s="31">
        <f t="shared" si="39"/>
        <v>237.1</v>
      </c>
      <c r="M129" s="31">
        <f t="shared" si="40"/>
        <v>233.7</v>
      </c>
      <c r="N129" s="31">
        <f t="shared" si="41"/>
        <v>0</v>
      </c>
    </row>
    <row r="130" spans="1:14" ht="47.25" x14ac:dyDescent="0.25">
      <c r="A130" s="11">
        <f t="shared" si="36"/>
        <v>123</v>
      </c>
      <c r="B130" s="5" t="s">
        <v>157</v>
      </c>
      <c r="C130" s="31">
        <f t="shared" si="75"/>
        <v>158.80000000000001</v>
      </c>
      <c r="D130" s="31">
        <v>158.80000000000001</v>
      </c>
      <c r="E130" s="31"/>
      <c r="F130" s="31"/>
      <c r="G130" s="31">
        <f t="shared" si="76"/>
        <v>730.3</v>
      </c>
      <c r="H130" s="31">
        <v>730.3</v>
      </c>
      <c r="I130" s="31">
        <v>20.2</v>
      </c>
      <c r="J130" s="31"/>
      <c r="K130" s="31">
        <f t="shared" si="38"/>
        <v>889.1</v>
      </c>
      <c r="L130" s="31">
        <f t="shared" si="39"/>
        <v>889.1</v>
      </c>
      <c r="M130" s="31">
        <f t="shared" si="40"/>
        <v>20.2</v>
      </c>
      <c r="N130" s="31">
        <f t="shared" si="41"/>
        <v>0</v>
      </c>
    </row>
    <row r="131" spans="1:14" ht="47.25" x14ac:dyDescent="0.25">
      <c r="A131" s="11">
        <f t="shared" si="36"/>
        <v>124</v>
      </c>
      <c r="B131" s="49" t="s">
        <v>64</v>
      </c>
      <c r="C131" s="31">
        <f t="shared" si="75"/>
        <v>1054.7</v>
      </c>
      <c r="D131" s="31">
        <f>-4.5+470.2+596.4-7.4</f>
        <v>1054.7</v>
      </c>
      <c r="E131" s="31">
        <v>665.4</v>
      </c>
      <c r="F131" s="31"/>
      <c r="G131" s="31">
        <f t="shared" si="76"/>
        <v>0</v>
      </c>
      <c r="H131" s="31"/>
      <c r="I131" s="31"/>
      <c r="J131" s="31"/>
      <c r="K131" s="31">
        <f t="shared" si="38"/>
        <v>1054.7</v>
      </c>
      <c r="L131" s="31">
        <f t="shared" si="39"/>
        <v>1054.7</v>
      </c>
      <c r="M131" s="31">
        <f t="shared" si="40"/>
        <v>665.4</v>
      </c>
      <c r="N131" s="31">
        <f t="shared" si="41"/>
        <v>0</v>
      </c>
    </row>
    <row r="132" spans="1:14" ht="63" x14ac:dyDescent="0.25">
      <c r="A132" s="11">
        <f t="shared" si="36"/>
        <v>125</v>
      </c>
      <c r="B132" s="49" t="s">
        <v>67</v>
      </c>
      <c r="C132" s="31">
        <f t="shared" si="75"/>
        <v>1.5</v>
      </c>
      <c r="D132" s="31">
        <v>1.5</v>
      </c>
      <c r="E132" s="31"/>
      <c r="F132" s="31"/>
      <c r="G132" s="31">
        <f t="shared" si="76"/>
        <v>0</v>
      </c>
      <c r="H132" s="31"/>
      <c r="I132" s="31"/>
      <c r="J132" s="31"/>
      <c r="K132" s="31">
        <f t="shared" si="38"/>
        <v>1.5</v>
      </c>
      <c r="L132" s="31">
        <f t="shared" si="39"/>
        <v>1.5</v>
      </c>
      <c r="M132" s="31">
        <f t="shared" si="40"/>
        <v>0</v>
      </c>
      <c r="N132" s="31">
        <f t="shared" si="41"/>
        <v>0</v>
      </c>
    </row>
    <row r="133" spans="1:14" ht="15.75" x14ac:dyDescent="0.25">
      <c r="A133" s="11">
        <f t="shared" si="36"/>
        <v>126</v>
      </c>
      <c r="B133" s="9" t="s">
        <v>69</v>
      </c>
      <c r="C133" s="30">
        <f>SUM(C135:C136)</f>
        <v>8003.2</v>
      </c>
      <c r="D133" s="30">
        <f t="shared" ref="D133:N133" si="77">SUM(D135:D136)</f>
        <v>7820.6</v>
      </c>
      <c r="E133" s="30">
        <f t="shared" si="77"/>
        <v>3852.5</v>
      </c>
      <c r="F133" s="30">
        <f t="shared" si="77"/>
        <v>182.6</v>
      </c>
      <c r="G133" s="30">
        <f t="shared" si="77"/>
        <v>0</v>
      </c>
      <c r="H133" s="30">
        <f t="shared" si="77"/>
        <v>0</v>
      </c>
      <c r="I133" s="30">
        <f t="shared" si="77"/>
        <v>0</v>
      </c>
      <c r="J133" s="30">
        <f t="shared" si="77"/>
        <v>0</v>
      </c>
      <c r="K133" s="30">
        <f t="shared" si="77"/>
        <v>8003.2</v>
      </c>
      <c r="L133" s="30">
        <f t="shared" si="77"/>
        <v>7820.6</v>
      </c>
      <c r="M133" s="30">
        <f t="shared" si="77"/>
        <v>3852.5</v>
      </c>
      <c r="N133" s="30">
        <f t="shared" si="77"/>
        <v>182.6</v>
      </c>
    </row>
    <row r="134" spans="1:14" ht="15.75" x14ac:dyDescent="0.25">
      <c r="A134" s="11">
        <f t="shared" si="36"/>
        <v>127</v>
      </c>
      <c r="B134" s="62" t="s">
        <v>2</v>
      </c>
      <c r="C134" s="31"/>
      <c r="D134" s="31"/>
      <c r="E134" s="31"/>
      <c r="F134" s="31"/>
      <c r="G134" s="31"/>
      <c r="H134" s="31"/>
      <c r="I134" s="31"/>
      <c r="J134" s="31"/>
      <c r="K134" s="31">
        <f t="shared" si="38"/>
        <v>0</v>
      </c>
      <c r="L134" s="31">
        <f t="shared" si="39"/>
        <v>0</v>
      </c>
      <c r="M134" s="31">
        <f t="shared" si="40"/>
        <v>0</v>
      </c>
      <c r="N134" s="31">
        <f t="shared" si="41"/>
        <v>0</v>
      </c>
    </row>
    <row r="135" spans="1:14" ht="31.5" x14ac:dyDescent="0.25">
      <c r="A135" s="11">
        <f t="shared" si="36"/>
        <v>128</v>
      </c>
      <c r="B135" s="10" t="s">
        <v>70</v>
      </c>
      <c r="C135" s="31">
        <f t="shared" ref="C135:C136" si="78">+D135+F135</f>
        <v>7652.9</v>
      </c>
      <c r="D135" s="31">
        <f>7502.7-30</f>
        <v>7472.7</v>
      </c>
      <c r="E135" s="31">
        <v>3852.5</v>
      </c>
      <c r="F135" s="31">
        <v>180.2</v>
      </c>
      <c r="G135" s="31"/>
      <c r="H135" s="31"/>
      <c r="I135" s="31"/>
      <c r="J135" s="31"/>
      <c r="K135" s="31">
        <f t="shared" si="38"/>
        <v>7652.9</v>
      </c>
      <c r="L135" s="31">
        <f t="shared" si="39"/>
        <v>7472.7</v>
      </c>
      <c r="M135" s="31">
        <f t="shared" si="40"/>
        <v>3852.5</v>
      </c>
      <c r="N135" s="31">
        <f t="shared" si="41"/>
        <v>180.2</v>
      </c>
    </row>
    <row r="136" spans="1:14" ht="31.5" x14ac:dyDescent="0.25">
      <c r="A136" s="11">
        <f t="shared" si="36"/>
        <v>129</v>
      </c>
      <c r="B136" s="5" t="s">
        <v>71</v>
      </c>
      <c r="C136" s="31">
        <f t="shared" si="78"/>
        <v>350.3</v>
      </c>
      <c r="D136" s="31">
        <v>347.9</v>
      </c>
      <c r="E136" s="31"/>
      <c r="F136" s="31">
        <v>2.4</v>
      </c>
      <c r="G136" s="31"/>
      <c r="H136" s="31"/>
      <c r="I136" s="31"/>
      <c r="J136" s="31"/>
      <c r="K136" s="31">
        <f t="shared" si="38"/>
        <v>350.3</v>
      </c>
      <c r="L136" s="31">
        <f t="shared" si="39"/>
        <v>347.9</v>
      </c>
      <c r="M136" s="31">
        <f t="shared" si="40"/>
        <v>0</v>
      </c>
      <c r="N136" s="31">
        <f t="shared" si="41"/>
        <v>2.4</v>
      </c>
    </row>
    <row r="137" spans="1:14" ht="15.75" x14ac:dyDescent="0.25">
      <c r="A137" s="11">
        <f t="shared" si="36"/>
        <v>130</v>
      </c>
      <c r="B137" s="6" t="s">
        <v>6</v>
      </c>
      <c r="C137" s="30">
        <f>+C138+C152+C165</f>
        <v>19842.2</v>
      </c>
      <c r="D137" s="30">
        <f t="shared" ref="D137:F137" si="79">+D138+D152+D165</f>
        <v>19718</v>
      </c>
      <c r="E137" s="30">
        <f t="shared" si="79"/>
        <v>9244.2999999999993</v>
      </c>
      <c r="F137" s="30">
        <f t="shared" si="79"/>
        <v>124.2</v>
      </c>
      <c r="G137" s="30">
        <f t="shared" ref="G137:N137" si="80">+G138+G152+G165</f>
        <v>50.6</v>
      </c>
      <c r="H137" s="30">
        <f t="shared" si="80"/>
        <v>46.3</v>
      </c>
      <c r="I137" s="30">
        <f t="shared" si="80"/>
        <v>20.3</v>
      </c>
      <c r="J137" s="30">
        <f t="shared" si="80"/>
        <v>4.3</v>
      </c>
      <c r="K137" s="30">
        <f t="shared" si="80"/>
        <v>19892.8</v>
      </c>
      <c r="L137" s="30">
        <f t="shared" si="80"/>
        <v>19764.3</v>
      </c>
      <c r="M137" s="30">
        <f t="shared" si="80"/>
        <v>9264.6</v>
      </c>
      <c r="N137" s="30">
        <f t="shared" si="80"/>
        <v>128.5</v>
      </c>
    </row>
    <row r="138" spans="1:14" ht="15.75" x14ac:dyDescent="0.25">
      <c r="A138" s="11">
        <f t="shared" ref="A138:A169" si="81">+A137+1</f>
        <v>131</v>
      </c>
      <c r="B138" s="6" t="s">
        <v>72</v>
      </c>
      <c r="C138" s="30">
        <f>SUM(C140:C145)</f>
        <v>17027.099999999999</v>
      </c>
      <c r="D138" s="30">
        <f t="shared" ref="D138:F138" si="82">SUM(D140:D145)</f>
        <v>16933.3</v>
      </c>
      <c r="E138" s="30">
        <f t="shared" si="82"/>
        <v>7219.9</v>
      </c>
      <c r="F138" s="30">
        <f t="shared" si="82"/>
        <v>93.8</v>
      </c>
      <c r="G138" s="30">
        <f t="shared" ref="G138:N138" si="83">SUM(G140:G145)</f>
        <v>50.6</v>
      </c>
      <c r="H138" s="30">
        <f t="shared" si="83"/>
        <v>46.3</v>
      </c>
      <c r="I138" s="30">
        <f t="shared" si="83"/>
        <v>20.3</v>
      </c>
      <c r="J138" s="30">
        <f t="shared" si="83"/>
        <v>4.3</v>
      </c>
      <c r="K138" s="30">
        <f t="shared" si="83"/>
        <v>17077.7</v>
      </c>
      <c r="L138" s="30">
        <f t="shared" si="83"/>
        <v>16979.599999999999</v>
      </c>
      <c r="M138" s="30">
        <f t="shared" si="83"/>
        <v>7240.2</v>
      </c>
      <c r="N138" s="30">
        <f t="shared" si="83"/>
        <v>98.1</v>
      </c>
    </row>
    <row r="139" spans="1:14" ht="15.75" x14ac:dyDescent="0.25">
      <c r="A139" s="11">
        <f t="shared" si="81"/>
        <v>132</v>
      </c>
      <c r="B139" s="62" t="s">
        <v>2</v>
      </c>
      <c r="C139" s="30"/>
      <c r="D139" s="30"/>
      <c r="E139" s="30"/>
      <c r="F139" s="30"/>
      <c r="G139" s="31"/>
      <c r="H139" s="31"/>
      <c r="I139" s="31"/>
      <c r="J139" s="31"/>
      <c r="K139" s="31">
        <f t="shared" si="38"/>
        <v>0</v>
      </c>
      <c r="L139" s="31">
        <f t="shared" si="39"/>
        <v>0</v>
      </c>
      <c r="M139" s="31">
        <f t="shared" si="40"/>
        <v>0</v>
      </c>
      <c r="N139" s="31">
        <f t="shared" si="41"/>
        <v>0</v>
      </c>
    </row>
    <row r="140" spans="1:14" ht="31.5" x14ac:dyDescent="0.25">
      <c r="A140" s="11">
        <f t="shared" si="81"/>
        <v>133</v>
      </c>
      <c r="B140" s="10" t="s">
        <v>59</v>
      </c>
      <c r="C140" s="31">
        <f>+D140+F140</f>
        <v>9842.7000000000007</v>
      </c>
      <c r="D140" s="31">
        <f>9793-4+1.8-16.5</f>
        <v>9774.2999999999993</v>
      </c>
      <c r="E140" s="31">
        <f>4486.7+3.5</f>
        <v>4490.2</v>
      </c>
      <c r="F140" s="31">
        <f>64.4+4</f>
        <v>68.400000000000006</v>
      </c>
      <c r="G140" s="31">
        <f>+H140+J140</f>
        <v>0</v>
      </c>
      <c r="H140" s="31">
        <v>-0.8</v>
      </c>
      <c r="I140" s="31">
        <v>-2.2999999999999998</v>
      </c>
      <c r="J140" s="31">
        <v>0.8</v>
      </c>
      <c r="K140" s="31">
        <f t="shared" si="38"/>
        <v>9842.7000000000007</v>
      </c>
      <c r="L140" s="31">
        <f t="shared" si="39"/>
        <v>9773.5</v>
      </c>
      <c r="M140" s="31">
        <f t="shared" si="40"/>
        <v>4487.8999999999996</v>
      </c>
      <c r="N140" s="31">
        <f t="shared" si="41"/>
        <v>69.2</v>
      </c>
    </row>
    <row r="141" spans="1:14" ht="31.5" x14ac:dyDescent="0.25">
      <c r="A141" s="11">
        <f t="shared" si="81"/>
        <v>134</v>
      </c>
      <c r="B141" s="49" t="s">
        <v>76</v>
      </c>
      <c r="C141" s="31">
        <f t="shared" ref="C141:C144" si="84">+D141+F141</f>
        <v>646.9</v>
      </c>
      <c r="D141" s="31">
        <v>644.5</v>
      </c>
      <c r="E141" s="31">
        <v>178.4</v>
      </c>
      <c r="F141" s="31">
        <v>2.4</v>
      </c>
      <c r="G141" s="31">
        <f t="shared" ref="G141:G144" si="85">+H141+J141</f>
        <v>0</v>
      </c>
      <c r="H141" s="31">
        <v>-3.5</v>
      </c>
      <c r="I141" s="31"/>
      <c r="J141" s="31">
        <v>3.5</v>
      </c>
      <c r="K141" s="31">
        <f t="shared" si="38"/>
        <v>646.9</v>
      </c>
      <c r="L141" s="31">
        <f t="shared" si="39"/>
        <v>641</v>
      </c>
      <c r="M141" s="31">
        <f t="shared" si="40"/>
        <v>178.4</v>
      </c>
      <c r="N141" s="31">
        <f t="shared" si="41"/>
        <v>5.9</v>
      </c>
    </row>
    <row r="142" spans="1:14" ht="47.25" x14ac:dyDescent="0.25">
      <c r="A142" s="11">
        <f t="shared" si="81"/>
        <v>135</v>
      </c>
      <c r="B142" s="5" t="s">
        <v>77</v>
      </c>
      <c r="C142" s="31">
        <f t="shared" si="84"/>
        <v>1096.3</v>
      </c>
      <c r="D142" s="31">
        <v>1073.3</v>
      </c>
      <c r="E142" s="31"/>
      <c r="F142" s="31">
        <v>23</v>
      </c>
      <c r="G142" s="31">
        <f t="shared" si="85"/>
        <v>0</v>
      </c>
      <c r="H142" s="31"/>
      <c r="I142" s="31"/>
      <c r="J142" s="31"/>
      <c r="K142" s="31">
        <f t="shared" si="38"/>
        <v>1096.3</v>
      </c>
      <c r="L142" s="31">
        <f t="shared" si="39"/>
        <v>1073.3</v>
      </c>
      <c r="M142" s="31">
        <f t="shared" si="40"/>
        <v>0</v>
      </c>
      <c r="N142" s="31">
        <f t="shared" si="41"/>
        <v>23</v>
      </c>
    </row>
    <row r="143" spans="1:14" ht="47.25" x14ac:dyDescent="0.25">
      <c r="A143" s="11">
        <f t="shared" si="81"/>
        <v>136</v>
      </c>
      <c r="B143" s="49" t="s">
        <v>75</v>
      </c>
      <c r="C143" s="31">
        <f>+D143+F143</f>
        <v>118</v>
      </c>
      <c r="D143" s="31">
        <v>118</v>
      </c>
      <c r="E143" s="31">
        <v>61.6</v>
      </c>
      <c r="F143" s="31"/>
      <c r="G143" s="31">
        <f t="shared" si="85"/>
        <v>0</v>
      </c>
      <c r="H143" s="31"/>
      <c r="I143" s="31">
        <v>-0.3</v>
      </c>
      <c r="J143" s="31"/>
      <c r="K143" s="31">
        <f t="shared" si="38"/>
        <v>118</v>
      </c>
      <c r="L143" s="31">
        <f t="shared" si="39"/>
        <v>118</v>
      </c>
      <c r="M143" s="31">
        <f t="shared" si="40"/>
        <v>61.3</v>
      </c>
      <c r="N143" s="31">
        <f t="shared" si="41"/>
        <v>0</v>
      </c>
    </row>
    <row r="144" spans="1:14" ht="47.25" x14ac:dyDescent="0.25">
      <c r="A144" s="11">
        <f t="shared" si="81"/>
        <v>137</v>
      </c>
      <c r="B144" s="5" t="s">
        <v>156</v>
      </c>
      <c r="C144" s="31">
        <f t="shared" si="84"/>
        <v>744.3</v>
      </c>
      <c r="D144" s="31">
        <f>0.9+1.9+1.3+77.5+127.7+287.2+223.6+23.3+0.9</f>
        <v>744.3</v>
      </c>
      <c r="E144" s="31">
        <f>0.3+0.3+1.2+76.1+10.3+23.1+1.2</f>
        <v>112.5</v>
      </c>
      <c r="F144" s="31"/>
      <c r="G144" s="31">
        <f t="shared" si="85"/>
        <v>69.8</v>
      </c>
      <c r="H144" s="31">
        <v>69.8</v>
      </c>
      <c r="I144" s="31">
        <f>39.9</f>
        <v>39.9</v>
      </c>
      <c r="J144" s="31"/>
      <c r="K144" s="31">
        <f t="shared" ref="K144:K168" si="86">+C144+G144</f>
        <v>814.1</v>
      </c>
      <c r="L144" s="31">
        <f t="shared" ref="L144:L168" si="87">+D144+H144</f>
        <v>814.1</v>
      </c>
      <c r="M144" s="31">
        <f t="shared" ref="M144:M168" si="88">+E144+I144</f>
        <v>152.4</v>
      </c>
      <c r="N144" s="31">
        <f t="shared" ref="N144:N168" si="89">+F144+J144</f>
        <v>0</v>
      </c>
    </row>
    <row r="145" spans="1:14" ht="63" x14ac:dyDescent="0.25">
      <c r="A145" s="11">
        <f t="shared" si="81"/>
        <v>138</v>
      </c>
      <c r="B145" s="49" t="s">
        <v>73</v>
      </c>
      <c r="C145" s="31">
        <f>SUM(C147:C151)</f>
        <v>4578.8999999999996</v>
      </c>
      <c r="D145" s="31">
        <f t="shared" ref="D145:N145" si="90">SUM(D147:D151)</f>
        <v>4578.8999999999996</v>
      </c>
      <c r="E145" s="31">
        <f t="shared" si="90"/>
        <v>2377.1999999999998</v>
      </c>
      <c r="F145" s="31">
        <f t="shared" si="90"/>
        <v>0</v>
      </c>
      <c r="G145" s="31">
        <f t="shared" si="90"/>
        <v>-19.2</v>
      </c>
      <c r="H145" s="31">
        <f t="shared" si="90"/>
        <v>-19.2</v>
      </c>
      <c r="I145" s="31">
        <f t="shared" si="90"/>
        <v>-17</v>
      </c>
      <c r="J145" s="31">
        <f t="shared" si="90"/>
        <v>0</v>
      </c>
      <c r="K145" s="31">
        <f t="shared" si="90"/>
        <v>4559.7</v>
      </c>
      <c r="L145" s="31">
        <f t="shared" si="90"/>
        <v>4559.7</v>
      </c>
      <c r="M145" s="31">
        <f t="shared" si="90"/>
        <v>2360.1999999999998</v>
      </c>
      <c r="N145" s="31">
        <f t="shared" si="90"/>
        <v>0</v>
      </c>
    </row>
    <row r="146" spans="1:14" ht="15.75" x14ac:dyDescent="0.25">
      <c r="A146" s="11">
        <f t="shared" si="81"/>
        <v>139</v>
      </c>
      <c r="B146" s="62" t="s">
        <v>2</v>
      </c>
      <c r="C146" s="31"/>
      <c r="D146" s="31"/>
      <c r="E146" s="31"/>
      <c r="F146" s="31"/>
      <c r="G146" s="31"/>
      <c r="H146" s="31"/>
      <c r="I146" s="31"/>
      <c r="J146" s="31"/>
      <c r="K146" s="31">
        <f t="shared" si="86"/>
        <v>0</v>
      </c>
      <c r="L146" s="31">
        <f t="shared" si="87"/>
        <v>0</v>
      </c>
      <c r="M146" s="31">
        <f t="shared" si="88"/>
        <v>0</v>
      </c>
      <c r="N146" s="31">
        <f t="shared" si="89"/>
        <v>0</v>
      </c>
    </row>
    <row r="147" spans="1:14" ht="15.75" x14ac:dyDescent="0.25">
      <c r="A147" s="11">
        <f t="shared" si="81"/>
        <v>140</v>
      </c>
      <c r="B147" s="5" t="s">
        <v>22</v>
      </c>
      <c r="C147" s="31">
        <f>+D147+F147</f>
        <v>3124.6</v>
      </c>
      <c r="D147" s="31">
        <f>3195.3-70.7</f>
        <v>3124.6</v>
      </c>
      <c r="E147" s="31">
        <f>1258.9+735.9+383.3-0.9</f>
        <v>2377.1999999999998</v>
      </c>
      <c r="F147" s="31"/>
      <c r="G147" s="31">
        <f t="shared" ref="G147:G151" si="91">+H147+J147</f>
        <v>0</v>
      </c>
      <c r="H147" s="31"/>
      <c r="I147" s="31">
        <f>-16.6-0.4</f>
        <v>-17</v>
      </c>
      <c r="J147" s="31"/>
      <c r="K147" s="31">
        <f t="shared" si="86"/>
        <v>3124.6</v>
      </c>
      <c r="L147" s="31">
        <f t="shared" si="87"/>
        <v>3124.6</v>
      </c>
      <c r="M147" s="31">
        <f t="shared" si="88"/>
        <v>2360.1999999999998</v>
      </c>
      <c r="N147" s="31">
        <f t="shared" si="89"/>
        <v>0</v>
      </c>
    </row>
    <row r="148" spans="1:14" ht="31.5" x14ac:dyDescent="0.25">
      <c r="A148" s="11">
        <f t="shared" si="81"/>
        <v>141</v>
      </c>
      <c r="B148" s="5" t="s">
        <v>74</v>
      </c>
      <c r="C148" s="31">
        <f t="shared" ref="C148:C151" si="92">+D148+F148</f>
        <v>810.8</v>
      </c>
      <c r="D148" s="31">
        <f>835.1-24.3</f>
        <v>810.8</v>
      </c>
      <c r="E148" s="31"/>
      <c r="F148" s="31"/>
      <c r="G148" s="31">
        <f t="shared" si="91"/>
        <v>0</v>
      </c>
      <c r="H148" s="31"/>
      <c r="I148" s="31"/>
      <c r="J148" s="31"/>
      <c r="K148" s="31">
        <f t="shared" si="86"/>
        <v>810.8</v>
      </c>
      <c r="L148" s="31">
        <f t="shared" si="87"/>
        <v>810.8</v>
      </c>
      <c r="M148" s="31">
        <f t="shared" si="88"/>
        <v>0</v>
      </c>
      <c r="N148" s="31">
        <f t="shared" si="89"/>
        <v>0</v>
      </c>
    </row>
    <row r="149" spans="1:14" ht="15.75" x14ac:dyDescent="0.25">
      <c r="A149" s="11">
        <f t="shared" si="81"/>
        <v>142</v>
      </c>
      <c r="B149" s="5" t="s">
        <v>24</v>
      </c>
      <c r="C149" s="31">
        <f t="shared" si="92"/>
        <v>380.3</v>
      </c>
      <c r="D149" s="31">
        <f>395.5-15.2</f>
        <v>380.3</v>
      </c>
      <c r="E149" s="31"/>
      <c r="F149" s="31"/>
      <c r="G149" s="31">
        <f t="shared" si="91"/>
        <v>-17.7</v>
      </c>
      <c r="H149" s="31">
        <v>-17.7</v>
      </c>
      <c r="I149" s="31"/>
      <c r="J149" s="31"/>
      <c r="K149" s="31">
        <f t="shared" si="86"/>
        <v>362.6</v>
      </c>
      <c r="L149" s="31">
        <f t="shared" si="87"/>
        <v>362.6</v>
      </c>
      <c r="M149" s="31">
        <f t="shared" si="88"/>
        <v>0</v>
      </c>
      <c r="N149" s="31">
        <f t="shared" si="89"/>
        <v>0</v>
      </c>
    </row>
    <row r="150" spans="1:14" ht="31.5" x14ac:dyDescent="0.25">
      <c r="A150" s="11">
        <f t="shared" si="81"/>
        <v>143</v>
      </c>
      <c r="B150" s="5" t="s">
        <v>144</v>
      </c>
      <c r="C150" s="31">
        <f t="shared" si="92"/>
        <v>210.6</v>
      </c>
      <c r="D150" s="31">
        <f>219-8.4</f>
        <v>210.6</v>
      </c>
      <c r="E150" s="31"/>
      <c r="F150" s="31"/>
      <c r="G150" s="31">
        <f t="shared" si="91"/>
        <v>0</v>
      </c>
      <c r="H150" s="31"/>
      <c r="I150" s="31"/>
      <c r="J150" s="31"/>
      <c r="K150" s="31">
        <f t="shared" si="86"/>
        <v>210.6</v>
      </c>
      <c r="L150" s="31">
        <f t="shared" si="87"/>
        <v>210.6</v>
      </c>
      <c r="M150" s="31">
        <f t="shared" si="88"/>
        <v>0</v>
      </c>
      <c r="N150" s="31">
        <f t="shared" si="89"/>
        <v>0</v>
      </c>
    </row>
    <row r="151" spans="1:14" ht="15.75" x14ac:dyDescent="0.25">
      <c r="A151" s="11">
        <f t="shared" si="81"/>
        <v>144</v>
      </c>
      <c r="B151" s="49" t="s">
        <v>146</v>
      </c>
      <c r="C151" s="31">
        <f t="shared" si="92"/>
        <v>52.6</v>
      </c>
      <c r="D151" s="31">
        <f>54.7-2.1</f>
        <v>52.6</v>
      </c>
      <c r="E151" s="31"/>
      <c r="F151" s="31"/>
      <c r="G151" s="31">
        <f t="shared" si="91"/>
        <v>-1.5</v>
      </c>
      <c r="H151" s="31">
        <v>-1.5</v>
      </c>
      <c r="I151" s="31"/>
      <c r="J151" s="31"/>
      <c r="K151" s="31">
        <f t="shared" si="86"/>
        <v>51.1</v>
      </c>
      <c r="L151" s="31">
        <f t="shared" si="87"/>
        <v>51.1</v>
      </c>
      <c r="M151" s="31">
        <f t="shared" si="88"/>
        <v>0</v>
      </c>
      <c r="N151" s="31">
        <f t="shared" si="89"/>
        <v>0</v>
      </c>
    </row>
    <row r="152" spans="1:14" ht="15.75" x14ac:dyDescent="0.25">
      <c r="A152" s="11">
        <f t="shared" si="81"/>
        <v>145</v>
      </c>
      <c r="B152" s="6" t="s">
        <v>78</v>
      </c>
      <c r="C152" s="30">
        <f>SUM(C154:C159)</f>
        <v>2804.7</v>
      </c>
      <c r="D152" s="30">
        <f t="shared" ref="D152:N152" si="93">SUM(D154:D159)</f>
        <v>2774.3</v>
      </c>
      <c r="E152" s="30">
        <f t="shared" si="93"/>
        <v>2022.4</v>
      </c>
      <c r="F152" s="30">
        <f t="shared" si="93"/>
        <v>30.4</v>
      </c>
      <c r="G152" s="30">
        <f t="shared" si="93"/>
        <v>0</v>
      </c>
      <c r="H152" s="30">
        <f t="shared" si="93"/>
        <v>0</v>
      </c>
      <c r="I152" s="30">
        <f t="shared" si="93"/>
        <v>0</v>
      </c>
      <c r="J152" s="30">
        <f t="shared" si="93"/>
        <v>0</v>
      </c>
      <c r="K152" s="30">
        <f t="shared" si="93"/>
        <v>2804.7</v>
      </c>
      <c r="L152" s="30">
        <f t="shared" si="93"/>
        <v>2774.3</v>
      </c>
      <c r="M152" s="30">
        <f t="shared" si="93"/>
        <v>2022.4</v>
      </c>
      <c r="N152" s="30">
        <f t="shared" si="93"/>
        <v>30.4</v>
      </c>
    </row>
    <row r="153" spans="1:14" ht="15.75" x14ac:dyDescent="0.25">
      <c r="A153" s="11">
        <f t="shared" si="81"/>
        <v>146</v>
      </c>
      <c r="B153" s="62" t="s">
        <v>2</v>
      </c>
      <c r="C153" s="31"/>
      <c r="D153" s="31"/>
      <c r="E153" s="31"/>
      <c r="F153" s="31"/>
      <c r="G153" s="31"/>
      <c r="H153" s="31"/>
      <c r="I153" s="31"/>
      <c r="J153" s="31"/>
      <c r="K153" s="31">
        <f t="shared" si="86"/>
        <v>0</v>
      </c>
      <c r="L153" s="31">
        <f t="shared" si="87"/>
        <v>0</v>
      </c>
      <c r="M153" s="31">
        <f t="shared" si="88"/>
        <v>0</v>
      </c>
      <c r="N153" s="31">
        <f t="shared" si="89"/>
        <v>0</v>
      </c>
    </row>
    <row r="154" spans="1:14" ht="31.5" x14ac:dyDescent="0.25">
      <c r="A154" s="11">
        <f t="shared" si="81"/>
        <v>147</v>
      </c>
      <c r="B154" s="5" t="s">
        <v>111</v>
      </c>
      <c r="C154" s="31">
        <f>+D154+F154</f>
        <v>1288.2</v>
      </c>
      <c r="D154" s="31">
        <v>1283.7</v>
      </c>
      <c r="E154" s="31">
        <v>1045.8</v>
      </c>
      <c r="F154" s="31">
        <v>4.5</v>
      </c>
      <c r="G154" s="31"/>
      <c r="H154" s="31"/>
      <c r="I154" s="31"/>
      <c r="J154" s="31"/>
      <c r="K154" s="31">
        <f t="shared" si="86"/>
        <v>1288.2</v>
      </c>
      <c r="L154" s="31">
        <f t="shared" si="87"/>
        <v>1283.7</v>
      </c>
      <c r="M154" s="31">
        <f t="shared" si="88"/>
        <v>1045.8</v>
      </c>
      <c r="N154" s="31">
        <f t="shared" si="89"/>
        <v>4.5</v>
      </c>
    </row>
    <row r="155" spans="1:14" ht="31.5" x14ac:dyDescent="0.25">
      <c r="A155" s="11">
        <f t="shared" si="81"/>
        <v>148</v>
      </c>
      <c r="B155" s="5" t="s">
        <v>112</v>
      </c>
      <c r="C155" s="31">
        <f t="shared" ref="C155:C165" si="94">+D155+F155</f>
        <v>22.5</v>
      </c>
      <c r="D155" s="31">
        <v>22.5</v>
      </c>
      <c r="E155" s="31">
        <v>17.8</v>
      </c>
      <c r="F155" s="31"/>
      <c r="G155" s="31"/>
      <c r="H155" s="31"/>
      <c r="I155" s="31"/>
      <c r="J155" s="31"/>
      <c r="K155" s="31">
        <f t="shared" si="86"/>
        <v>22.5</v>
      </c>
      <c r="L155" s="31">
        <f t="shared" si="87"/>
        <v>22.5</v>
      </c>
      <c r="M155" s="31">
        <f t="shared" si="88"/>
        <v>17.8</v>
      </c>
      <c r="N155" s="31">
        <f t="shared" si="89"/>
        <v>0</v>
      </c>
    </row>
    <row r="156" spans="1:14" ht="47.25" x14ac:dyDescent="0.25">
      <c r="A156" s="11">
        <f t="shared" si="81"/>
        <v>149</v>
      </c>
      <c r="B156" s="5" t="s">
        <v>155</v>
      </c>
      <c r="C156" s="31">
        <f t="shared" si="94"/>
        <v>288.3</v>
      </c>
      <c r="D156" s="31">
        <f>239.1+23.3</f>
        <v>262.39999999999998</v>
      </c>
      <c r="E156" s="31">
        <f>29.4+2.5</f>
        <v>31.9</v>
      </c>
      <c r="F156" s="31">
        <v>25.9</v>
      </c>
      <c r="G156" s="31"/>
      <c r="H156" s="31"/>
      <c r="I156" s="31"/>
      <c r="J156" s="31"/>
      <c r="K156" s="31">
        <f t="shared" si="86"/>
        <v>288.3</v>
      </c>
      <c r="L156" s="31">
        <f t="shared" si="87"/>
        <v>262.39999999999998</v>
      </c>
      <c r="M156" s="31">
        <f t="shared" si="88"/>
        <v>31.9</v>
      </c>
      <c r="N156" s="31">
        <f t="shared" si="89"/>
        <v>25.9</v>
      </c>
    </row>
    <row r="157" spans="1:14" ht="31.5" x14ac:dyDescent="0.25">
      <c r="A157" s="11">
        <f t="shared" si="81"/>
        <v>150</v>
      </c>
      <c r="B157" s="5" t="s">
        <v>80</v>
      </c>
      <c r="C157" s="31">
        <f t="shared" si="94"/>
        <v>105</v>
      </c>
      <c r="D157" s="31">
        <v>105</v>
      </c>
      <c r="E157" s="31"/>
      <c r="F157" s="31"/>
      <c r="G157" s="31"/>
      <c r="H157" s="31"/>
      <c r="I157" s="31"/>
      <c r="J157" s="31"/>
      <c r="K157" s="31">
        <f t="shared" si="86"/>
        <v>105</v>
      </c>
      <c r="L157" s="31">
        <f t="shared" si="87"/>
        <v>105</v>
      </c>
      <c r="M157" s="31">
        <f t="shared" si="88"/>
        <v>0</v>
      </c>
      <c r="N157" s="31">
        <f t="shared" si="89"/>
        <v>0</v>
      </c>
    </row>
    <row r="158" spans="1:14" ht="31.5" x14ac:dyDescent="0.25">
      <c r="A158" s="11">
        <f t="shared" si="81"/>
        <v>151</v>
      </c>
      <c r="B158" s="10" t="s">
        <v>81</v>
      </c>
      <c r="C158" s="31">
        <f t="shared" si="94"/>
        <v>30</v>
      </c>
      <c r="D158" s="31">
        <v>30</v>
      </c>
      <c r="E158" s="31"/>
      <c r="F158" s="31"/>
      <c r="G158" s="31"/>
      <c r="H158" s="31"/>
      <c r="I158" s="31"/>
      <c r="J158" s="31"/>
      <c r="K158" s="31">
        <f t="shared" si="86"/>
        <v>30</v>
      </c>
      <c r="L158" s="31">
        <f t="shared" si="87"/>
        <v>30</v>
      </c>
      <c r="M158" s="31">
        <f t="shared" si="88"/>
        <v>0</v>
      </c>
      <c r="N158" s="31">
        <f t="shared" si="89"/>
        <v>0</v>
      </c>
    </row>
    <row r="159" spans="1:14" ht="63" x14ac:dyDescent="0.25">
      <c r="A159" s="11">
        <f t="shared" si="81"/>
        <v>152</v>
      </c>
      <c r="B159" s="49" t="s">
        <v>79</v>
      </c>
      <c r="C159" s="31">
        <f>SUM(C161:C164)</f>
        <v>1070.7</v>
      </c>
      <c r="D159" s="31">
        <f t="shared" ref="D159:N159" si="95">SUM(D161:D164)</f>
        <v>1070.7</v>
      </c>
      <c r="E159" s="31">
        <f t="shared" si="95"/>
        <v>926.9</v>
      </c>
      <c r="F159" s="31">
        <f t="shared" si="95"/>
        <v>0</v>
      </c>
      <c r="G159" s="31">
        <f t="shared" si="95"/>
        <v>0</v>
      </c>
      <c r="H159" s="31">
        <f t="shared" si="95"/>
        <v>0</v>
      </c>
      <c r="I159" s="31">
        <f t="shared" si="95"/>
        <v>0</v>
      </c>
      <c r="J159" s="31">
        <f t="shared" si="95"/>
        <v>0</v>
      </c>
      <c r="K159" s="31">
        <f t="shared" si="95"/>
        <v>1070.7</v>
      </c>
      <c r="L159" s="31">
        <f t="shared" si="95"/>
        <v>1070.7</v>
      </c>
      <c r="M159" s="31">
        <f t="shared" si="95"/>
        <v>926.9</v>
      </c>
      <c r="N159" s="31">
        <f t="shared" si="95"/>
        <v>0</v>
      </c>
    </row>
    <row r="160" spans="1:14" ht="15.75" x14ac:dyDescent="0.25">
      <c r="A160" s="11">
        <f t="shared" si="81"/>
        <v>153</v>
      </c>
      <c r="B160" s="62" t="s">
        <v>2</v>
      </c>
      <c r="C160" s="31">
        <f t="shared" si="94"/>
        <v>0</v>
      </c>
      <c r="D160" s="31"/>
      <c r="E160" s="31"/>
      <c r="F160" s="31"/>
      <c r="G160" s="31"/>
      <c r="H160" s="31"/>
      <c r="I160" s="31"/>
      <c r="J160" s="31"/>
      <c r="K160" s="31">
        <f t="shared" si="86"/>
        <v>0</v>
      </c>
      <c r="L160" s="31">
        <f t="shared" si="87"/>
        <v>0</v>
      </c>
      <c r="M160" s="31">
        <f t="shared" si="88"/>
        <v>0</v>
      </c>
      <c r="N160" s="31">
        <f t="shared" si="89"/>
        <v>0</v>
      </c>
    </row>
    <row r="161" spans="1:14" ht="31.5" x14ac:dyDescent="0.25">
      <c r="A161" s="11">
        <f t="shared" si="81"/>
        <v>154</v>
      </c>
      <c r="B161" s="5" t="s">
        <v>151</v>
      </c>
      <c r="C161" s="31">
        <f t="shared" si="94"/>
        <v>795.4</v>
      </c>
      <c r="D161" s="31">
        <v>795.4</v>
      </c>
      <c r="E161" s="31">
        <v>727.2</v>
      </c>
      <c r="F161" s="31"/>
      <c r="G161" s="31"/>
      <c r="H161" s="31"/>
      <c r="I161" s="31"/>
      <c r="J161" s="31"/>
      <c r="K161" s="31">
        <f t="shared" si="86"/>
        <v>795.4</v>
      </c>
      <c r="L161" s="31">
        <f t="shared" si="87"/>
        <v>795.4</v>
      </c>
      <c r="M161" s="31">
        <f t="shared" si="88"/>
        <v>727.2</v>
      </c>
      <c r="N161" s="31">
        <f t="shared" si="89"/>
        <v>0</v>
      </c>
    </row>
    <row r="162" spans="1:14" ht="47.25" x14ac:dyDescent="0.25">
      <c r="A162" s="11">
        <f t="shared" si="81"/>
        <v>155</v>
      </c>
      <c r="B162" s="5" t="s">
        <v>150</v>
      </c>
      <c r="C162" s="31">
        <f t="shared" si="94"/>
        <v>207.4</v>
      </c>
      <c r="D162" s="31">
        <f>208.8-1.4</f>
        <v>207.4</v>
      </c>
      <c r="E162" s="31">
        <v>195.7</v>
      </c>
      <c r="F162" s="31"/>
      <c r="G162" s="31"/>
      <c r="H162" s="31"/>
      <c r="I162" s="31"/>
      <c r="J162" s="31"/>
      <c r="K162" s="31">
        <f t="shared" si="86"/>
        <v>207.4</v>
      </c>
      <c r="L162" s="31">
        <f t="shared" si="87"/>
        <v>207.4</v>
      </c>
      <c r="M162" s="31">
        <f t="shared" si="88"/>
        <v>195.7</v>
      </c>
      <c r="N162" s="31">
        <f t="shared" si="89"/>
        <v>0</v>
      </c>
    </row>
    <row r="163" spans="1:14" ht="31.5" x14ac:dyDescent="0.25">
      <c r="A163" s="11">
        <f t="shared" si="81"/>
        <v>156</v>
      </c>
      <c r="B163" s="5" t="s">
        <v>172</v>
      </c>
      <c r="C163" s="31">
        <f t="shared" si="94"/>
        <v>63.3</v>
      </c>
      <c r="D163" s="31">
        <v>63.3</v>
      </c>
      <c r="E163" s="31"/>
      <c r="F163" s="31"/>
      <c r="G163" s="31"/>
      <c r="H163" s="31"/>
      <c r="I163" s="31"/>
      <c r="J163" s="31"/>
      <c r="K163" s="31">
        <f t="shared" si="86"/>
        <v>63.3</v>
      </c>
      <c r="L163" s="31">
        <f t="shared" si="87"/>
        <v>63.3</v>
      </c>
      <c r="M163" s="31">
        <f t="shared" si="88"/>
        <v>0</v>
      </c>
      <c r="N163" s="31">
        <f t="shared" si="89"/>
        <v>0</v>
      </c>
    </row>
    <row r="164" spans="1:14" ht="15.75" x14ac:dyDescent="0.25">
      <c r="A164" s="11">
        <f t="shared" si="81"/>
        <v>157</v>
      </c>
      <c r="B164" s="49" t="s">
        <v>130</v>
      </c>
      <c r="C164" s="31">
        <f t="shared" si="94"/>
        <v>4.5999999999999996</v>
      </c>
      <c r="D164" s="31">
        <v>4.5999999999999996</v>
      </c>
      <c r="E164" s="31">
        <v>4</v>
      </c>
      <c r="F164" s="31"/>
      <c r="G164" s="31"/>
      <c r="H164" s="31"/>
      <c r="I164" s="31"/>
      <c r="J164" s="31"/>
      <c r="K164" s="31">
        <f t="shared" si="86"/>
        <v>4.5999999999999996</v>
      </c>
      <c r="L164" s="31">
        <f t="shared" si="87"/>
        <v>4.5999999999999996</v>
      </c>
      <c r="M164" s="31">
        <f t="shared" si="88"/>
        <v>4</v>
      </c>
      <c r="N164" s="31">
        <f t="shared" si="89"/>
        <v>0</v>
      </c>
    </row>
    <row r="165" spans="1:14" ht="31.5" x14ac:dyDescent="0.25">
      <c r="A165" s="11">
        <f t="shared" si="81"/>
        <v>158</v>
      </c>
      <c r="B165" s="10" t="s">
        <v>189</v>
      </c>
      <c r="C165" s="30">
        <f t="shared" si="94"/>
        <v>10.4</v>
      </c>
      <c r="D165" s="30">
        <v>10.4</v>
      </c>
      <c r="E165" s="30">
        <v>2</v>
      </c>
      <c r="F165" s="30"/>
      <c r="G165" s="31"/>
      <c r="H165" s="31"/>
      <c r="I165" s="31"/>
      <c r="J165" s="31"/>
      <c r="K165" s="31">
        <f t="shared" si="86"/>
        <v>10.4</v>
      </c>
      <c r="L165" s="31">
        <f t="shared" si="87"/>
        <v>10.4</v>
      </c>
      <c r="M165" s="31">
        <f t="shared" si="88"/>
        <v>2</v>
      </c>
      <c r="N165" s="31">
        <f t="shared" si="89"/>
        <v>0</v>
      </c>
    </row>
    <row r="166" spans="1:14" ht="15.75" x14ac:dyDescent="0.25">
      <c r="A166" s="11">
        <f t="shared" si="81"/>
        <v>159</v>
      </c>
      <c r="B166" s="6" t="s">
        <v>210</v>
      </c>
      <c r="C166" s="30">
        <f>+C8+C12+C49+C94+C96+C119+C137</f>
        <v>186459.6</v>
      </c>
      <c r="D166" s="30">
        <f>+D8+D12+D49+D94+D96+D119+D137</f>
        <v>153397.6</v>
      </c>
      <c r="E166" s="30">
        <f>+E8+E12+E49+E94+E96+E119+E137</f>
        <v>92862.8</v>
      </c>
      <c r="F166" s="30">
        <f>+F8+F12+F49+F94+F96+F119+F137</f>
        <v>33062</v>
      </c>
      <c r="G166" s="30">
        <f t="shared" ref="G166:N166" si="96">+G8+G12+G49+G94+G96+G119+G137</f>
        <v>5494.6</v>
      </c>
      <c r="H166" s="30">
        <f t="shared" si="96"/>
        <v>2911</v>
      </c>
      <c r="I166" s="30">
        <f t="shared" si="96"/>
        <v>-145.9</v>
      </c>
      <c r="J166" s="30">
        <f t="shared" si="96"/>
        <v>2583.6</v>
      </c>
      <c r="K166" s="30">
        <f t="shared" si="96"/>
        <v>191954.2</v>
      </c>
      <c r="L166" s="30">
        <f t="shared" si="96"/>
        <v>156308.6</v>
      </c>
      <c r="M166" s="30">
        <f t="shared" si="96"/>
        <v>92716.9</v>
      </c>
      <c r="N166" s="30">
        <f t="shared" si="96"/>
        <v>35645.599999999999</v>
      </c>
    </row>
    <row r="167" spans="1:14" ht="15.75" x14ac:dyDescent="0.25">
      <c r="A167" s="11">
        <f t="shared" si="81"/>
        <v>160</v>
      </c>
      <c r="B167" s="62" t="s">
        <v>2</v>
      </c>
      <c r="C167" s="31"/>
      <c r="D167" s="31"/>
      <c r="E167" s="31"/>
      <c r="F167" s="31"/>
      <c r="G167" s="31"/>
      <c r="H167" s="31"/>
      <c r="I167" s="31"/>
      <c r="J167" s="31"/>
      <c r="K167" s="31">
        <f t="shared" si="86"/>
        <v>0</v>
      </c>
      <c r="L167" s="31">
        <f t="shared" si="87"/>
        <v>0</v>
      </c>
      <c r="M167" s="31">
        <f t="shared" si="88"/>
        <v>0</v>
      </c>
      <c r="N167" s="31">
        <f t="shared" si="89"/>
        <v>0</v>
      </c>
    </row>
    <row r="168" spans="1:14" ht="15.75" x14ac:dyDescent="0.25">
      <c r="A168" s="11">
        <f t="shared" si="81"/>
        <v>161</v>
      </c>
      <c r="B168" s="5" t="s">
        <v>205</v>
      </c>
      <c r="C168" s="31">
        <f>+D168+F168</f>
        <v>2904.2</v>
      </c>
      <c r="D168" s="31"/>
      <c r="E168" s="31"/>
      <c r="F168" s="31">
        <v>2904.2</v>
      </c>
      <c r="G168" s="31"/>
      <c r="H168" s="31"/>
      <c r="I168" s="31"/>
      <c r="J168" s="31"/>
      <c r="K168" s="31">
        <f t="shared" si="86"/>
        <v>2904.2</v>
      </c>
      <c r="L168" s="31">
        <f t="shared" si="87"/>
        <v>0</v>
      </c>
      <c r="M168" s="31">
        <f t="shared" si="88"/>
        <v>0</v>
      </c>
      <c r="N168" s="31">
        <f t="shared" si="89"/>
        <v>2904.2</v>
      </c>
    </row>
    <row r="169" spans="1:14" ht="15.75" x14ac:dyDescent="0.25">
      <c r="A169" s="11">
        <f t="shared" si="81"/>
        <v>162</v>
      </c>
      <c r="B169" s="6" t="s">
        <v>247</v>
      </c>
      <c r="C169" s="30">
        <f>+C166-C168</f>
        <v>183555.4</v>
      </c>
      <c r="D169" s="30">
        <f>+D166-D168</f>
        <v>153397.6</v>
      </c>
      <c r="E169" s="30">
        <f>+E166-E168</f>
        <v>92862.8</v>
      </c>
      <c r="F169" s="30">
        <f>+F166-F168</f>
        <v>30157.8</v>
      </c>
      <c r="G169" s="30">
        <f t="shared" ref="G169:N169" si="97">+G166-G168</f>
        <v>5494.6</v>
      </c>
      <c r="H169" s="30">
        <f t="shared" si="97"/>
        <v>2911</v>
      </c>
      <c r="I169" s="30">
        <f t="shared" si="97"/>
        <v>-145.9</v>
      </c>
      <c r="J169" s="30">
        <f t="shared" si="97"/>
        <v>2583.6</v>
      </c>
      <c r="K169" s="30">
        <f t="shared" si="97"/>
        <v>189050</v>
      </c>
      <c r="L169" s="30">
        <f t="shared" si="97"/>
        <v>156308.6</v>
      </c>
      <c r="M169" s="30">
        <f t="shared" si="97"/>
        <v>92716.9</v>
      </c>
      <c r="N169" s="30">
        <f t="shared" si="97"/>
        <v>32741.4</v>
      </c>
    </row>
    <row r="170" spans="1:14" x14ac:dyDescent="0.2">
      <c r="A170" s="76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</row>
    <row r="171" spans="1:14" x14ac:dyDescent="0.2">
      <c r="B171" s="13"/>
      <c r="K171" s="18"/>
    </row>
  </sheetData>
  <mergeCells count="17">
    <mergeCell ref="A4:A6"/>
    <mergeCell ref="B4:B6"/>
    <mergeCell ref="C4:C6"/>
    <mergeCell ref="D4:F4"/>
    <mergeCell ref="D5:E5"/>
    <mergeCell ref="F5:F6"/>
    <mergeCell ref="D3:F3"/>
    <mergeCell ref="G3:J3"/>
    <mergeCell ref="K3:N3"/>
    <mergeCell ref="G4:G6"/>
    <mergeCell ref="H4:J4"/>
    <mergeCell ref="K4:K6"/>
    <mergeCell ref="L4:N4"/>
    <mergeCell ref="H5:I5"/>
    <mergeCell ref="J5:J6"/>
    <mergeCell ref="L5:M5"/>
    <mergeCell ref="N5:N6"/>
  </mergeCells>
  <pageMargins left="0.74803149606299213" right="0.35433070866141736" top="0.7480314960629921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Zeros="0" topLeftCell="C1" zoomScale="115" zoomScaleNormal="115" workbookViewId="0">
      <selection activeCell="C1" sqref="A1:O66"/>
    </sheetView>
  </sheetViews>
  <sheetFormatPr defaultColWidth="10.140625" defaultRowHeight="12.75" x14ac:dyDescent="0.2"/>
  <cols>
    <col min="1" max="1" width="5.28515625" style="1" customWidth="1"/>
    <col min="2" max="2" width="23" style="1" customWidth="1"/>
    <col min="3" max="3" width="18" style="1" customWidth="1"/>
    <col min="4" max="4" width="13.42578125" style="1" customWidth="1"/>
    <col min="5" max="5" width="12.7109375" style="1" customWidth="1"/>
    <col min="6" max="7" width="11.140625" style="1" customWidth="1"/>
    <col min="8" max="11" width="10.28515625" style="1" bestFit="1" customWidth="1"/>
    <col min="12" max="13" width="10.7109375" style="1" bestFit="1" customWidth="1"/>
    <col min="14" max="15" width="10.28515625" style="1" bestFit="1" customWidth="1"/>
    <col min="16" max="205" width="10.140625" style="1"/>
    <col min="206" max="206" width="5.28515625" style="1" customWidth="1"/>
    <col min="207" max="207" width="23" style="1" customWidth="1"/>
    <col min="208" max="208" width="18" style="1" customWidth="1"/>
    <col min="209" max="209" width="12" style="1" customWidth="1"/>
    <col min="210" max="210" width="11" style="1" customWidth="1"/>
    <col min="211" max="211" width="10.85546875" style="1" customWidth="1"/>
    <col min="212" max="212" width="9.42578125" style="1" customWidth="1"/>
    <col min="213" max="461" width="10.140625" style="1"/>
    <col min="462" max="462" width="5.28515625" style="1" customWidth="1"/>
    <col min="463" max="463" width="23" style="1" customWidth="1"/>
    <col min="464" max="464" width="18" style="1" customWidth="1"/>
    <col min="465" max="465" width="12" style="1" customWidth="1"/>
    <col min="466" max="466" width="11" style="1" customWidth="1"/>
    <col min="467" max="467" width="10.85546875" style="1" customWidth="1"/>
    <col min="468" max="468" width="9.42578125" style="1" customWidth="1"/>
    <col min="469" max="717" width="10.140625" style="1"/>
    <col min="718" max="718" width="5.28515625" style="1" customWidth="1"/>
    <col min="719" max="719" width="23" style="1" customWidth="1"/>
    <col min="720" max="720" width="18" style="1" customWidth="1"/>
    <col min="721" max="721" width="12" style="1" customWidth="1"/>
    <col min="722" max="722" width="11" style="1" customWidth="1"/>
    <col min="723" max="723" width="10.85546875" style="1" customWidth="1"/>
    <col min="724" max="724" width="9.42578125" style="1" customWidth="1"/>
    <col min="725" max="973" width="10.140625" style="1"/>
    <col min="974" max="974" width="5.28515625" style="1" customWidth="1"/>
    <col min="975" max="975" width="23" style="1" customWidth="1"/>
    <col min="976" max="976" width="18" style="1" customWidth="1"/>
    <col min="977" max="977" width="12" style="1" customWidth="1"/>
    <col min="978" max="978" width="11" style="1" customWidth="1"/>
    <col min="979" max="979" width="10.85546875" style="1" customWidth="1"/>
    <col min="980" max="980" width="9.42578125" style="1" customWidth="1"/>
    <col min="981" max="1229" width="10.140625" style="1"/>
    <col min="1230" max="1230" width="5.28515625" style="1" customWidth="1"/>
    <col min="1231" max="1231" width="23" style="1" customWidth="1"/>
    <col min="1232" max="1232" width="18" style="1" customWidth="1"/>
    <col min="1233" max="1233" width="12" style="1" customWidth="1"/>
    <col min="1234" max="1234" width="11" style="1" customWidth="1"/>
    <col min="1235" max="1235" width="10.85546875" style="1" customWidth="1"/>
    <col min="1236" max="1236" width="9.42578125" style="1" customWidth="1"/>
    <col min="1237" max="1485" width="10.140625" style="1"/>
    <col min="1486" max="1486" width="5.28515625" style="1" customWidth="1"/>
    <col min="1487" max="1487" width="23" style="1" customWidth="1"/>
    <col min="1488" max="1488" width="18" style="1" customWidth="1"/>
    <col min="1489" max="1489" width="12" style="1" customWidth="1"/>
    <col min="1490" max="1490" width="11" style="1" customWidth="1"/>
    <col min="1491" max="1491" width="10.85546875" style="1" customWidth="1"/>
    <col min="1492" max="1492" width="9.42578125" style="1" customWidth="1"/>
    <col min="1493" max="1741" width="10.140625" style="1"/>
    <col min="1742" max="1742" width="5.28515625" style="1" customWidth="1"/>
    <col min="1743" max="1743" width="23" style="1" customWidth="1"/>
    <col min="1744" max="1744" width="18" style="1" customWidth="1"/>
    <col min="1745" max="1745" width="12" style="1" customWidth="1"/>
    <col min="1746" max="1746" width="11" style="1" customWidth="1"/>
    <col min="1747" max="1747" width="10.85546875" style="1" customWidth="1"/>
    <col min="1748" max="1748" width="9.42578125" style="1" customWidth="1"/>
    <col min="1749" max="1997" width="10.140625" style="1"/>
    <col min="1998" max="1998" width="5.28515625" style="1" customWidth="1"/>
    <col min="1999" max="1999" width="23" style="1" customWidth="1"/>
    <col min="2000" max="2000" width="18" style="1" customWidth="1"/>
    <col min="2001" max="2001" width="12" style="1" customWidth="1"/>
    <col min="2002" max="2002" width="11" style="1" customWidth="1"/>
    <col min="2003" max="2003" width="10.85546875" style="1" customWidth="1"/>
    <col min="2004" max="2004" width="9.42578125" style="1" customWidth="1"/>
    <col min="2005" max="2253" width="10.140625" style="1"/>
    <col min="2254" max="2254" width="5.28515625" style="1" customWidth="1"/>
    <col min="2255" max="2255" width="23" style="1" customWidth="1"/>
    <col min="2256" max="2256" width="18" style="1" customWidth="1"/>
    <col min="2257" max="2257" width="12" style="1" customWidth="1"/>
    <col min="2258" max="2258" width="11" style="1" customWidth="1"/>
    <col min="2259" max="2259" width="10.85546875" style="1" customWidth="1"/>
    <col min="2260" max="2260" width="9.42578125" style="1" customWidth="1"/>
    <col min="2261" max="2509" width="10.140625" style="1"/>
    <col min="2510" max="2510" width="5.28515625" style="1" customWidth="1"/>
    <col min="2511" max="2511" width="23" style="1" customWidth="1"/>
    <col min="2512" max="2512" width="18" style="1" customWidth="1"/>
    <col min="2513" max="2513" width="12" style="1" customWidth="1"/>
    <col min="2514" max="2514" width="11" style="1" customWidth="1"/>
    <col min="2515" max="2515" width="10.85546875" style="1" customWidth="1"/>
    <col min="2516" max="2516" width="9.42578125" style="1" customWidth="1"/>
    <col min="2517" max="2765" width="10.140625" style="1"/>
    <col min="2766" max="2766" width="5.28515625" style="1" customWidth="1"/>
    <col min="2767" max="2767" width="23" style="1" customWidth="1"/>
    <col min="2768" max="2768" width="18" style="1" customWidth="1"/>
    <col min="2769" max="2769" width="12" style="1" customWidth="1"/>
    <col min="2770" max="2770" width="11" style="1" customWidth="1"/>
    <col min="2771" max="2771" width="10.85546875" style="1" customWidth="1"/>
    <col min="2772" max="2772" width="9.42578125" style="1" customWidth="1"/>
    <col min="2773" max="3021" width="10.140625" style="1"/>
    <col min="3022" max="3022" width="5.28515625" style="1" customWidth="1"/>
    <col min="3023" max="3023" width="23" style="1" customWidth="1"/>
    <col min="3024" max="3024" width="18" style="1" customWidth="1"/>
    <col min="3025" max="3025" width="12" style="1" customWidth="1"/>
    <col min="3026" max="3026" width="11" style="1" customWidth="1"/>
    <col min="3027" max="3027" width="10.85546875" style="1" customWidth="1"/>
    <col min="3028" max="3028" width="9.42578125" style="1" customWidth="1"/>
    <col min="3029" max="3277" width="10.140625" style="1"/>
    <col min="3278" max="3278" width="5.28515625" style="1" customWidth="1"/>
    <col min="3279" max="3279" width="23" style="1" customWidth="1"/>
    <col min="3280" max="3280" width="18" style="1" customWidth="1"/>
    <col min="3281" max="3281" width="12" style="1" customWidth="1"/>
    <col min="3282" max="3282" width="11" style="1" customWidth="1"/>
    <col min="3283" max="3283" width="10.85546875" style="1" customWidth="1"/>
    <col min="3284" max="3284" width="9.42578125" style="1" customWidth="1"/>
    <col min="3285" max="3533" width="10.140625" style="1"/>
    <col min="3534" max="3534" width="5.28515625" style="1" customWidth="1"/>
    <col min="3535" max="3535" width="23" style="1" customWidth="1"/>
    <col min="3536" max="3536" width="18" style="1" customWidth="1"/>
    <col min="3537" max="3537" width="12" style="1" customWidth="1"/>
    <col min="3538" max="3538" width="11" style="1" customWidth="1"/>
    <col min="3539" max="3539" width="10.85546875" style="1" customWidth="1"/>
    <col min="3540" max="3540" width="9.42578125" style="1" customWidth="1"/>
    <col min="3541" max="3789" width="10.140625" style="1"/>
    <col min="3790" max="3790" width="5.28515625" style="1" customWidth="1"/>
    <col min="3791" max="3791" width="23" style="1" customWidth="1"/>
    <col min="3792" max="3792" width="18" style="1" customWidth="1"/>
    <col min="3793" max="3793" width="12" style="1" customWidth="1"/>
    <col min="3794" max="3794" width="11" style="1" customWidth="1"/>
    <col min="3795" max="3795" width="10.85546875" style="1" customWidth="1"/>
    <col min="3796" max="3796" width="9.42578125" style="1" customWidth="1"/>
    <col min="3797" max="4045" width="10.140625" style="1"/>
    <col min="4046" max="4046" width="5.28515625" style="1" customWidth="1"/>
    <col min="4047" max="4047" width="23" style="1" customWidth="1"/>
    <col min="4048" max="4048" width="18" style="1" customWidth="1"/>
    <col min="4049" max="4049" width="12" style="1" customWidth="1"/>
    <col min="4050" max="4050" width="11" style="1" customWidth="1"/>
    <col min="4051" max="4051" width="10.85546875" style="1" customWidth="1"/>
    <col min="4052" max="4052" width="9.42578125" style="1" customWidth="1"/>
    <col min="4053" max="4301" width="10.140625" style="1"/>
    <col min="4302" max="4302" width="5.28515625" style="1" customWidth="1"/>
    <col min="4303" max="4303" width="23" style="1" customWidth="1"/>
    <col min="4304" max="4304" width="18" style="1" customWidth="1"/>
    <col min="4305" max="4305" width="12" style="1" customWidth="1"/>
    <col min="4306" max="4306" width="11" style="1" customWidth="1"/>
    <col min="4307" max="4307" width="10.85546875" style="1" customWidth="1"/>
    <col min="4308" max="4308" width="9.42578125" style="1" customWidth="1"/>
    <col min="4309" max="4557" width="10.140625" style="1"/>
    <col min="4558" max="4558" width="5.28515625" style="1" customWidth="1"/>
    <col min="4559" max="4559" width="23" style="1" customWidth="1"/>
    <col min="4560" max="4560" width="18" style="1" customWidth="1"/>
    <col min="4561" max="4561" width="12" style="1" customWidth="1"/>
    <col min="4562" max="4562" width="11" style="1" customWidth="1"/>
    <col min="4563" max="4563" width="10.85546875" style="1" customWidth="1"/>
    <col min="4564" max="4564" width="9.42578125" style="1" customWidth="1"/>
    <col min="4565" max="4813" width="10.140625" style="1"/>
    <col min="4814" max="4814" width="5.28515625" style="1" customWidth="1"/>
    <col min="4815" max="4815" width="23" style="1" customWidth="1"/>
    <col min="4816" max="4816" width="18" style="1" customWidth="1"/>
    <col min="4817" max="4817" width="12" style="1" customWidth="1"/>
    <col min="4818" max="4818" width="11" style="1" customWidth="1"/>
    <col min="4819" max="4819" width="10.85546875" style="1" customWidth="1"/>
    <col min="4820" max="4820" width="9.42578125" style="1" customWidth="1"/>
    <col min="4821" max="5069" width="10.140625" style="1"/>
    <col min="5070" max="5070" width="5.28515625" style="1" customWidth="1"/>
    <col min="5071" max="5071" width="23" style="1" customWidth="1"/>
    <col min="5072" max="5072" width="18" style="1" customWidth="1"/>
    <col min="5073" max="5073" width="12" style="1" customWidth="1"/>
    <col min="5074" max="5074" width="11" style="1" customWidth="1"/>
    <col min="5075" max="5075" width="10.85546875" style="1" customWidth="1"/>
    <col min="5076" max="5076" width="9.42578125" style="1" customWidth="1"/>
    <col min="5077" max="5325" width="10.140625" style="1"/>
    <col min="5326" max="5326" width="5.28515625" style="1" customWidth="1"/>
    <col min="5327" max="5327" width="23" style="1" customWidth="1"/>
    <col min="5328" max="5328" width="18" style="1" customWidth="1"/>
    <col min="5329" max="5329" width="12" style="1" customWidth="1"/>
    <col min="5330" max="5330" width="11" style="1" customWidth="1"/>
    <col min="5331" max="5331" width="10.85546875" style="1" customWidth="1"/>
    <col min="5332" max="5332" width="9.42578125" style="1" customWidth="1"/>
    <col min="5333" max="5581" width="10.140625" style="1"/>
    <col min="5582" max="5582" width="5.28515625" style="1" customWidth="1"/>
    <col min="5583" max="5583" width="23" style="1" customWidth="1"/>
    <col min="5584" max="5584" width="18" style="1" customWidth="1"/>
    <col min="5585" max="5585" width="12" style="1" customWidth="1"/>
    <col min="5586" max="5586" width="11" style="1" customWidth="1"/>
    <col min="5587" max="5587" width="10.85546875" style="1" customWidth="1"/>
    <col min="5588" max="5588" width="9.42578125" style="1" customWidth="1"/>
    <col min="5589" max="5837" width="10.140625" style="1"/>
    <col min="5838" max="5838" width="5.28515625" style="1" customWidth="1"/>
    <col min="5839" max="5839" width="23" style="1" customWidth="1"/>
    <col min="5840" max="5840" width="18" style="1" customWidth="1"/>
    <col min="5841" max="5841" width="12" style="1" customWidth="1"/>
    <col min="5842" max="5842" width="11" style="1" customWidth="1"/>
    <col min="5843" max="5843" width="10.85546875" style="1" customWidth="1"/>
    <col min="5844" max="5844" width="9.42578125" style="1" customWidth="1"/>
    <col min="5845" max="6093" width="10.140625" style="1"/>
    <col min="6094" max="6094" width="5.28515625" style="1" customWidth="1"/>
    <col min="6095" max="6095" width="23" style="1" customWidth="1"/>
    <col min="6096" max="6096" width="18" style="1" customWidth="1"/>
    <col min="6097" max="6097" width="12" style="1" customWidth="1"/>
    <col min="6098" max="6098" width="11" style="1" customWidth="1"/>
    <col min="6099" max="6099" width="10.85546875" style="1" customWidth="1"/>
    <col min="6100" max="6100" width="9.42578125" style="1" customWidth="1"/>
    <col min="6101" max="6349" width="10.140625" style="1"/>
    <col min="6350" max="6350" width="5.28515625" style="1" customWidth="1"/>
    <col min="6351" max="6351" width="23" style="1" customWidth="1"/>
    <col min="6352" max="6352" width="18" style="1" customWidth="1"/>
    <col min="6353" max="6353" width="12" style="1" customWidth="1"/>
    <col min="6354" max="6354" width="11" style="1" customWidth="1"/>
    <col min="6355" max="6355" width="10.85546875" style="1" customWidth="1"/>
    <col min="6356" max="6356" width="9.42578125" style="1" customWidth="1"/>
    <col min="6357" max="6605" width="10.140625" style="1"/>
    <col min="6606" max="6606" width="5.28515625" style="1" customWidth="1"/>
    <col min="6607" max="6607" width="23" style="1" customWidth="1"/>
    <col min="6608" max="6608" width="18" style="1" customWidth="1"/>
    <col min="6609" max="6609" width="12" style="1" customWidth="1"/>
    <col min="6610" max="6610" width="11" style="1" customWidth="1"/>
    <col min="6611" max="6611" width="10.85546875" style="1" customWidth="1"/>
    <col min="6612" max="6612" width="9.42578125" style="1" customWidth="1"/>
    <col min="6613" max="6861" width="10.140625" style="1"/>
    <col min="6862" max="6862" width="5.28515625" style="1" customWidth="1"/>
    <col min="6863" max="6863" width="23" style="1" customWidth="1"/>
    <col min="6864" max="6864" width="18" style="1" customWidth="1"/>
    <col min="6865" max="6865" width="12" style="1" customWidth="1"/>
    <col min="6866" max="6866" width="11" style="1" customWidth="1"/>
    <col min="6867" max="6867" width="10.85546875" style="1" customWidth="1"/>
    <col min="6868" max="6868" width="9.42578125" style="1" customWidth="1"/>
    <col min="6869" max="7117" width="10.140625" style="1"/>
    <col min="7118" max="7118" width="5.28515625" style="1" customWidth="1"/>
    <col min="7119" max="7119" width="23" style="1" customWidth="1"/>
    <col min="7120" max="7120" width="18" style="1" customWidth="1"/>
    <col min="7121" max="7121" width="12" style="1" customWidth="1"/>
    <col min="7122" max="7122" width="11" style="1" customWidth="1"/>
    <col min="7123" max="7123" width="10.85546875" style="1" customWidth="1"/>
    <col min="7124" max="7124" width="9.42578125" style="1" customWidth="1"/>
    <col min="7125" max="7373" width="10.140625" style="1"/>
    <col min="7374" max="7374" width="5.28515625" style="1" customWidth="1"/>
    <col min="7375" max="7375" width="23" style="1" customWidth="1"/>
    <col min="7376" max="7376" width="18" style="1" customWidth="1"/>
    <col min="7377" max="7377" width="12" style="1" customWidth="1"/>
    <col min="7378" max="7378" width="11" style="1" customWidth="1"/>
    <col min="7379" max="7379" width="10.85546875" style="1" customWidth="1"/>
    <col min="7380" max="7380" width="9.42578125" style="1" customWidth="1"/>
    <col min="7381" max="7629" width="10.140625" style="1"/>
    <col min="7630" max="7630" width="5.28515625" style="1" customWidth="1"/>
    <col min="7631" max="7631" width="23" style="1" customWidth="1"/>
    <col min="7632" max="7632" width="18" style="1" customWidth="1"/>
    <col min="7633" max="7633" width="12" style="1" customWidth="1"/>
    <col min="7634" max="7634" width="11" style="1" customWidth="1"/>
    <col min="7635" max="7635" width="10.85546875" style="1" customWidth="1"/>
    <col min="7636" max="7636" width="9.42578125" style="1" customWidth="1"/>
    <col min="7637" max="7885" width="10.140625" style="1"/>
    <col min="7886" max="7886" width="5.28515625" style="1" customWidth="1"/>
    <col min="7887" max="7887" width="23" style="1" customWidth="1"/>
    <col min="7888" max="7888" width="18" style="1" customWidth="1"/>
    <col min="7889" max="7889" width="12" style="1" customWidth="1"/>
    <col min="7890" max="7890" width="11" style="1" customWidth="1"/>
    <col min="7891" max="7891" width="10.85546875" style="1" customWidth="1"/>
    <col min="7892" max="7892" width="9.42578125" style="1" customWidth="1"/>
    <col min="7893" max="8141" width="10.140625" style="1"/>
    <col min="8142" max="8142" width="5.28515625" style="1" customWidth="1"/>
    <col min="8143" max="8143" width="23" style="1" customWidth="1"/>
    <col min="8144" max="8144" width="18" style="1" customWidth="1"/>
    <col min="8145" max="8145" width="12" style="1" customWidth="1"/>
    <col min="8146" max="8146" width="11" style="1" customWidth="1"/>
    <col min="8147" max="8147" width="10.85546875" style="1" customWidth="1"/>
    <col min="8148" max="8148" width="9.42578125" style="1" customWidth="1"/>
    <col min="8149" max="8397" width="10.140625" style="1"/>
    <col min="8398" max="8398" width="5.28515625" style="1" customWidth="1"/>
    <col min="8399" max="8399" width="23" style="1" customWidth="1"/>
    <col min="8400" max="8400" width="18" style="1" customWidth="1"/>
    <col min="8401" max="8401" width="12" style="1" customWidth="1"/>
    <col min="8402" max="8402" width="11" style="1" customWidth="1"/>
    <col min="8403" max="8403" width="10.85546875" style="1" customWidth="1"/>
    <col min="8404" max="8404" width="9.42578125" style="1" customWidth="1"/>
    <col min="8405" max="8653" width="10.140625" style="1"/>
    <col min="8654" max="8654" width="5.28515625" style="1" customWidth="1"/>
    <col min="8655" max="8655" width="23" style="1" customWidth="1"/>
    <col min="8656" max="8656" width="18" style="1" customWidth="1"/>
    <col min="8657" max="8657" width="12" style="1" customWidth="1"/>
    <col min="8658" max="8658" width="11" style="1" customWidth="1"/>
    <col min="8659" max="8659" width="10.85546875" style="1" customWidth="1"/>
    <col min="8660" max="8660" width="9.42578125" style="1" customWidth="1"/>
    <col min="8661" max="8909" width="10.140625" style="1"/>
    <col min="8910" max="8910" width="5.28515625" style="1" customWidth="1"/>
    <col min="8911" max="8911" width="23" style="1" customWidth="1"/>
    <col min="8912" max="8912" width="18" style="1" customWidth="1"/>
    <col min="8913" max="8913" width="12" style="1" customWidth="1"/>
    <col min="8914" max="8914" width="11" style="1" customWidth="1"/>
    <col min="8915" max="8915" width="10.85546875" style="1" customWidth="1"/>
    <col min="8916" max="8916" width="9.42578125" style="1" customWidth="1"/>
    <col min="8917" max="9165" width="10.140625" style="1"/>
    <col min="9166" max="9166" width="5.28515625" style="1" customWidth="1"/>
    <col min="9167" max="9167" width="23" style="1" customWidth="1"/>
    <col min="9168" max="9168" width="18" style="1" customWidth="1"/>
    <col min="9169" max="9169" width="12" style="1" customWidth="1"/>
    <col min="9170" max="9170" width="11" style="1" customWidth="1"/>
    <col min="9171" max="9171" width="10.85546875" style="1" customWidth="1"/>
    <col min="9172" max="9172" width="9.42578125" style="1" customWidth="1"/>
    <col min="9173" max="9421" width="10.140625" style="1"/>
    <col min="9422" max="9422" width="5.28515625" style="1" customWidth="1"/>
    <col min="9423" max="9423" width="23" style="1" customWidth="1"/>
    <col min="9424" max="9424" width="18" style="1" customWidth="1"/>
    <col min="9425" max="9425" width="12" style="1" customWidth="1"/>
    <col min="9426" max="9426" width="11" style="1" customWidth="1"/>
    <col min="9427" max="9427" width="10.85546875" style="1" customWidth="1"/>
    <col min="9428" max="9428" width="9.42578125" style="1" customWidth="1"/>
    <col min="9429" max="9677" width="10.140625" style="1"/>
    <col min="9678" max="9678" width="5.28515625" style="1" customWidth="1"/>
    <col min="9679" max="9679" width="23" style="1" customWidth="1"/>
    <col min="9680" max="9680" width="18" style="1" customWidth="1"/>
    <col min="9681" max="9681" width="12" style="1" customWidth="1"/>
    <col min="9682" max="9682" width="11" style="1" customWidth="1"/>
    <col min="9683" max="9683" width="10.85546875" style="1" customWidth="1"/>
    <col min="9684" max="9684" width="9.42578125" style="1" customWidth="1"/>
    <col min="9685" max="9933" width="10.140625" style="1"/>
    <col min="9934" max="9934" width="5.28515625" style="1" customWidth="1"/>
    <col min="9935" max="9935" width="23" style="1" customWidth="1"/>
    <col min="9936" max="9936" width="18" style="1" customWidth="1"/>
    <col min="9937" max="9937" width="12" style="1" customWidth="1"/>
    <col min="9938" max="9938" width="11" style="1" customWidth="1"/>
    <col min="9939" max="9939" width="10.85546875" style="1" customWidth="1"/>
    <col min="9940" max="9940" width="9.42578125" style="1" customWidth="1"/>
    <col min="9941" max="10189" width="10.140625" style="1"/>
    <col min="10190" max="10190" width="5.28515625" style="1" customWidth="1"/>
    <col min="10191" max="10191" width="23" style="1" customWidth="1"/>
    <col min="10192" max="10192" width="18" style="1" customWidth="1"/>
    <col min="10193" max="10193" width="12" style="1" customWidth="1"/>
    <col min="10194" max="10194" width="11" style="1" customWidth="1"/>
    <col min="10195" max="10195" width="10.85546875" style="1" customWidth="1"/>
    <col min="10196" max="10196" width="9.42578125" style="1" customWidth="1"/>
    <col min="10197" max="10445" width="10.140625" style="1"/>
    <col min="10446" max="10446" width="5.28515625" style="1" customWidth="1"/>
    <col min="10447" max="10447" width="23" style="1" customWidth="1"/>
    <col min="10448" max="10448" width="18" style="1" customWidth="1"/>
    <col min="10449" max="10449" width="12" style="1" customWidth="1"/>
    <col min="10450" max="10450" width="11" style="1" customWidth="1"/>
    <col min="10451" max="10451" width="10.85546875" style="1" customWidth="1"/>
    <col min="10452" max="10452" width="9.42578125" style="1" customWidth="1"/>
    <col min="10453" max="10701" width="10.140625" style="1"/>
    <col min="10702" max="10702" width="5.28515625" style="1" customWidth="1"/>
    <col min="10703" max="10703" width="23" style="1" customWidth="1"/>
    <col min="10704" max="10704" width="18" style="1" customWidth="1"/>
    <col min="10705" max="10705" width="12" style="1" customWidth="1"/>
    <col min="10706" max="10706" width="11" style="1" customWidth="1"/>
    <col min="10707" max="10707" width="10.85546875" style="1" customWidth="1"/>
    <col min="10708" max="10708" width="9.42578125" style="1" customWidth="1"/>
    <col min="10709" max="10957" width="10.140625" style="1"/>
    <col min="10958" max="10958" width="5.28515625" style="1" customWidth="1"/>
    <col min="10959" max="10959" width="23" style="1" customWidth="1"/>
    <col min="10960" max="10960" width="18" style="1" customWidth="1"/>
    <col min="10961" max="10961" width="12" style="1" customWidth="1"/>
    <col min="10962" max="10962" width="11" style="1" customWidth="1"/>
    <col min="10963" max="10963" width="10.85546875" style="1" customWidth="1"/>
    <col min="10964" max="10964" width="9.42578125" style="1" customWidth="1"/>
    <col min="10965" max="11213" width="10.140625" style="1"/>
    <col min="11214" max="11214" width="5.28515625" style="1" customWidth="1"/>
    <col min="11215" max="11215" width="23" style="1" customWidth="1"/>
    <col min="11216" max="11216" width="18" style="1" customWidth="1"/>
    <col min="11217" max="11217" width="12" style="1" customWidth="1"/>
    <col min="11218" max="11218" width="11" style="1" customWidth="1"/>
    <col min="11219" max="11219" width="10.85546875" style="1" customWidth="1"/>
    <col min="11220" max="11220" width="9.42578125" style="1" customWidth="1"/>
    <col min="11221" max="11469" width="10.140625" style="1"/>
    <col min="11470" max="11470" width="5.28515625" style="1" customWidth="1"/>
    <col min="11471" max="11471" width="23" style="1" customWidth="1"/>
    <col min="11472" max="11472" width="18" style="1" customWidth="1"/>
    <col min="11473" max="11473" width="12" style="1" customWidth="1"/>
    <col min="11474" max="11474" width="11" style="1" customWidth="1"/>
    <col min="11475" max="11475" width="10.85546875" style="1" customWidth="1"/>
    <col min="11476" max="11476" width="9.42578125" style="1" customWidth="1"/>
    <col min="11477" max="11725" width="10.140625" style="1"/>
    <col min="11726" max="11726" width="5.28515625" style="1" customWidth="1"/>
    <col min="11727" max="11727" width="23" style="1" customWidth="1"/>
    <col min="11728" max="11728" width="18" style="1" customWidth="1"/>
    <col min="11729" max="11729" width="12" style="1" customWidth="1"/>
    <col min="11730" max="11730" width="11" style="1" customWidth="1"/>
    <col min="11731" max="11731" width="10.85546875" style="1" customWidth="1"/>
    <col min="11732" max="11732" width="9.42578125" style="1" customWidth="1"/>
    <col min="11733" max="11981" width="10.140625" style="1"/>
    <col min="11982" max="11982" width="5.28515625" style="1" customWidth="1"/>
    <col min="11983" max="11983" width="23" style="1" customWidth="1"/>
    <col min="11984" max="11984" width="18" style="1" customWidth="1"/>
    <col min="11985" max="11985" width="12" style="1" customWidth="1"/>
    <col min="11986" max="11986" width="11" style="1" customWidth="1"/>
    <col min="11987" max="11987" width="10.85546875" style="1" customWidth="1"/>
    <col min="11988" max="11988" width="9.42578125" style="1" customWidth="1"/>
    <col min="11989" max="12237" width="10.140625" style="1"/>
    <col min="12238" max="12238" width="5.28515625" style="1" customWidth="1"/>
    <col min="12239" max="12239" width="23" style="1" customWidth="1"/>
    <col min="12240" max="12240" width="18" style="1" customWidth="1"/>
    <col min="12241" max="12241" width="12" style="1" customWidth="1"/>
    <col min="12242" max="12242" width="11" style="1" customWidth="1"/>
    <col min="12243" max="12243" width="10.85546875" style="1" customWidth="1"/>
    <col min="12244" max="12244" width="9.42578125" style="1" customWidth="1"/>
    <col min="12245" max="12493" width="10.140625" style="1"/>
    <col min="12494" max="12494" width="5.28515625" style="1" customWidth="1"/>
    <col min="12495" max="12495" width="23" style="1" customWidth="1"/>
    <col min="12496" max="12496" width="18" style="1" customWidth="1"/>
    <col min="12497" max="12497" width="12" style="1" customWidth="1"/>
    <col min="12498" max="12498" width="11" style="1" customWidth="1"/>
    <col min="12499" max="12499" width="10.85546875" style="1" customWidth="1"/>
    <col min="12500" max="12500" width="9.42578125" style="1" customWidth="1"/>
    <col min="12501" max="12749" width="10.140625" style="1"/>
    <col min="12750" max="12750" width="5.28515625" style="1" customWidth="1"/>
    <col min="12751" max="12751" width="23" style="1" customWidth="1"/>
    <col min="12752" max="12752" width="18" style="1" customWidth="1"/>
    <col min="12753" max="12753" width="12" style="1" customWidth="1"/>
    <col min="12754" max="12754" width="11" style="1" customWidth="1"/>
    <col min="12755" max="12755" width="10.85546875" style="1" customWidth="1"/>
    <col min="12756" max="12756" width="9.42578125" style="1" customWidth="1"/>
    <col min="12757" max="13005" width="10.140625" style="1"/>
    <col min="13006" max="13006" width="5.28515625" style="1" customWidth="1"/>
    <col min="13007" max="13007" width="23" style="1" customWidth="1"/>
    <col min="13008" max="13008" width="18" style="1" customWidth="1"/>
    <col min="13009" max="13009" width="12" style="1" customWidth="1"/>
    <col min="13010" max="13010" width="11" style="1" customWidth="1"/>
    <col min="13011" max="13011" width="10.85546875" style="1" customWidth="1"/>
    <col min="13012" max="13012" width="9.42578125" style="1" customWidth="1"/>
    <col min="13013" max="13261" width="10.140625" style="1"/>
    <col min="13262" max="13262" width="5.28515625" style="1" customWidth="1"/>
    <col min="13263" max="13263" width="23" style="1" customWidth="1"/>
    <col min="13264" max="13264" width="18" style="1" customWidth="1"/>
    <col min="13265" max="13265" width="12" style="1" customWidth="1"/>
    <col min="13266" max="13266" width="11" style="1" customWidth="1"/>
    <col min="13267" max="13267" width="10.85546875" style="1" customWidth="1"/>
    <col min="13268" max="13268" width="9.42578125" style="1" customWidth="1"/>
    <col min="13269" max="13517" width="10.140625" style="1"/>
    <col min="13518" max="13518" width="5.28515625" style="1" customWidth="1"/>
    <col min="13519" max="13519" width="23" style="1" customWidth="1"/>
    <col min="13520" max="13520" width="18" style="1" customWidth="1"/>
    <col min="13521" max="13521" width="12" style="1" customWidth="1"/>
    <col min="13522" max="13522" width="11" style="1" customWidth="1"/>
    <col min="13523" max="13523" width="10.85546875" style="1" customWidth="1"/>
    <col min="13524" max="13524" width="9.42578125" style="1" customWidth="1"/>
    <col min="13525" max="13773" width="10.140625" style="1"/>
    <col min="13774" max="13774" width="5.28515625" style="1" customWidth="1"/>
    <col min="13775" max="13775" width="23" style="1" customWidth="1"/>
    <col min="13776" max="13776" width="18" style="1" customWidth="1"/>
    <col min="13777" max="13777" width="12" style="1" customWidth="1"/>
    <col min="13778" max="13778" width="11" style="1" customWidth="1"/>
    <col min="13779" max="13779" width="10.85546875" style="1" customWidth="1"/>
    <col min="13780" max="13780" width="9.42578125" style="1" customWidth="1"/>
    <col min="13781" max="14029" width="10.140625" style="1"/>
    <col min="14030" max="14030" width="5.28515625" style="1" customWidth="1"/>
    <col min="14031" max="14031" width="23" style="1" customWidth="1"/>
    <col min="14032" max="14032" width="18" style="1" customWidth="1"/>
    <col min="14033" max="14033" width="12" style="1" customWidth="1"/>
    <col min="14034" max="14034" width="11" style="1" customWidth="1"/>
    <col min="14035" max="14035" width="10.85546875" style="1" customWidth="1"/>
    <col min="14036" max="14036" width="9.42578125" style="1" customWidth="1"/>
    <col min="14037" max="14285" width="10.140625" style="1"/>
    <col min="14286" max="14286" width="5.28515625" style="1" customWidth="1"/>
    <col min="14287" max="14287" width="23" style="1" customWidth="1"/>
    <col min="14288" max="14288" width="18" style="1" customWidth="1"/>
    <col min="14289" max="14289" width="12" style="1" customWidth="1"/>
    <col min="14290" max="14290" width="11" style="1" customWidth="1"/>
    <col min="14291" max="14291" width="10.85546875" style="1" customWidth="1"/>
    <col min="14292" max="14292" width="9.42578125" style="1" customWidth="1"/>
    <col min="14293" max="14541" width="10.140625" style="1"/>
    <col min="14542" max="14542" width="5.28515625" style="1" customWidth="1"/>
    <col min="14543" max="14543" width="23" style="1" customWidth="1"/>
    <col min="14544" max="14544" width="18" style="1" customWidth="1"/>
    <col min="14545" max="14545" width="12" style="1" customWidth="1"/>
    <col min="14546" max="14546" width="11" style="1" customWidth="1"/>
    <col min="14547" max="14547" width="10.85546875" style="1" customWidth="1"/>
    <col min="14548" max="14548" width="9.42578125" style="1" customWidth="1"/>
    <col min="14549" max="14797" width="10.140625" style="1"/>
    <col min="14798" max="14798" width="5.28515625" style="1" customWidth="1"/>
    <col min="14799" max="14799" width="23" style="1" customWidth="1"/>
    <col min="14800" max="14800" width="18" style="1" customWidth="1"/>
    <col min="14801" max="14801" width="12" style="1" customWidth="1"/>
    <col min="14802" max="14802" width="11" style="1" customWidth="1"/>
    <col min="14803" max="14803" width="10.85546875" style="1" customWidth="1"/>
    <col min="14804" max="14804" width="9.42578125" style="1" customWidth="1"/>
    <col min="14805" max="15053" width="10.140625" style="1"/>
    <col min="15054" max="15054" width="5.28515625" style="1" customWidth="1"/>
    <col min="15055" max="15055" width="23" style="1" customWidth="1"/>
    <col min="15056" max="15056" width="18" style="1" customWidth="1"/>
    <col min="15057" max="15057" width="12" style="1" customWidth="1"/>
    <col min="15058" max="15058" width="11" style="1" customWidth="1"/>
    <col min="15059" max="15059" width="10.85546875" style="1" customWidth="1"/>
    <col min="15060" max="15060" width="9.42578125" style="1" customWidth="1"/>
    <col min="15061" max="15309" width="10.140625" style="1"/>
    <col min="15310" max="15310" width="5.28515625" style="1" customWidth="1"/>
    <col min="15311" max="15311" width="23" style="1" customWidth="1"/>
    <col min="15312" max="15312" width="18" style="1" customWidth="1"/>
    <col min="15313" max="15313" width="12" style="1" customWidth="1"/>
    <col min="15314" max="15314" width="11" style="1" customWidth="1"/>
    <col min="15315" max="15315" width="10.85546875" style="1" customWidth="1"/>
    <col min="15316" max="15316" width="9.42578125" style="1" customWidth="1"/>
    <col min="15317" max="15565" width="10.140625" style="1"/>
    <col min="15566" max="15566" width="5.28515625" style="1" customWidth="1"/>
    <col min="15567" max="15567" width="23" style="1" customWidth="1"/>
    <col min="15568" max="15568" width="18" style="1" customWidth="1"/>
    <col min="15569" max="15569" width="12" style="1" customWidth="1"/>
    <col min="15570" max="15570" width="11" style="1" customWidth="1"/>
    <col min="15571" max="15571" width="10.85546875" style="1" customWidth="1"/>
    <col min="15572" max="15572" width="9.42578125" style="1" customWidth="1"/>
    <col min="15573" max="15821" width="10.140625" style="1"/>
    <col min="15822" max="15822" width="5.28515625" style="1" customWidth="1"/>
    <col min="15823" max="15823" width="23" style="1" customWidth="1"/>
    <col min="15824" max="15824" width="18" style="1" customWidth="1"/>
    <col min="15825" max="15825" width="12" style="1" customWidth="1"/>
    <col min="15826" max="15826" width="11" style="1" customWidth="1"/>
    <col min="15827" max="15827" width="10.85546875" style="1" customWidth="1"/>
    <col min="15828" max="15828" width="9.42578125" style="1" customWidth="1"/>
    <col min="15829" max="16077" width="10.140625" style="1"/>
    <col min="16078" max="16078" width="5.28515625" style="1" customWidth="1"/>
    <col min="16079" max="16079" width="23" style="1" customWidth="1"/>
    <col min="16080" max="16080" width="18" style="1" customWidth="1"/>
    <col min="16081" max="16081" width="12" style="1" customWidth="1"/>
    <col min="16082" max="16082" width="11" style="1" customWidth="1"/>
    <col min="16083" max="16083" width="10.85546875" style="1" customWidth="1"/>
    <col min="16084" max="16084" width="9.42578125" style="1" customWidth="1"/>
    <col min="16085" max="16384" width="10.140625" style="1"/>
  </cols>
  <sheetData>
    <row r="1" spans="1:15" x14ac:dyDescent="0.2">
      <c r="A1" s="71"/>
      <c r="B1" s="71"/>
      <c r="C1" s="71"/>
      <c r="D1" s="71"/>
      <c r="E1" s="77" t="s">
        <v>219</v>
      </c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5.75" x14ac:dyDescent="0.25">
      <c r="A2" s="7"/>
      <c r="B2" s="7"/>
      <c r="C2" s="7" t="s">
        <v>83</v>
      </c>
      <c r="D2" s="7"/>
      <c r="E2" s="7"/>
      <c r="F2" s="7"/>
      <c r="G2" s="7"/>
      <c r="H2" s="71"/>
      <c r="I2" s="71"/>
      <c r="J2" s="71"/>
      <c r="K2" s="71"/>
      <c r="L2" s="71"/>
      <c r="M2" s="71"/>
      <c r="N2" s="71"/>
      <c r="O2" s="71"/>
    </row>
    <row r="3" spans="1:15" ht="15.75" x14ac:dyDescent="0.25">
      <c r="A3" s="7"/>
      <c r="B3" s="7"/>
      <c r="C3" s="7" t="s">
        <v>216</v>
      </c>
      <c r="D3" s="7"/>
      <c r="E3" s="7"/>
      <c r="F3" s="7"/>
      <c r="G3" s="7"/>
      <c r="H3" s="71"/>
      <c r="I3" s="71"/>
      <c r="J3" s="71"/>
      <c r="K3" s="71"/>
      <c r="L3" s="71"/>
      <c r="M3" s="71"/>
      <c r="N3" s="71"/>
      <c r="O3" s="71"/>
    </row>
    <row r="4" spans="1:15" ht="15.75" x14ac:dyDescent="0.25">
      <c r="A4" s="7"/>
      <c r="B4" s="7"/>
      <c r="C4" s="7" t="s">
        <v>84</v>
      </c>
      <c r="D4" s="7"/>
      <c r="E4" s="7"/>
      <c r="F4" s="7"/>
      <c r="G4" s="7"/>
      <c r="H4" s="71"/>
      <c r="I4" s="71"/>
      <c r="J4" s="71"/>
      <c r="K4" s="71"/>
      <c r="L4" s="71"/>
      <c r="M4" s="71"/>
      <c r="N4" s="71"/>
      <c r="O4" s="71"/>
    </row>
    <row r="5" spans="1:15" ht="15.75" x14ac:dyDescent="0.25">
      <c r="A5" s="7"/>
      <c r="B5" s="7"/>
      <c r="C5" s="78" t="s">
        <v>230</v>
      </c>
      <c r="D5" s="7"/>
      <c r="E5" s="7"/>
      <c r="F5" s="7"/>
      <c r="G5" s="7"/>
      <c r="H5" s="71"/>
      <c r="I5" s="71"/>
      <c r="J5" s="71"/>
      <c r="K5" s="71"/>
      <c r="L5" s="71"/>
      <c r="M5" s="71"/>
      <c r="N5" s="71"/>
      <c r="O5" s="71"/>
    </row>
    <row r="6" spans="1:15" ht="15.75" x14ac:dyDescent="0.25">
      <c r="A6" s="7"/>
      <c r="B6" s="7"/>
      <c r="C6" s="78" t="s">
        <v>232</v>
      </c>
      <c r="D6" s="7"/>
      <c r="E6" s="7"/>
      <c r="F6" s="7"/>
      <c r="G6" s="7"/>
      <c r="H6" s="71"/>
      <c r="I6" s="71"/>
      <c r="J6" s="71"/>
      <c r="K6" s="71"/>
      <c r="L6" s="71"/>
      <c r="M6" s="71"/>
      <c r="N6" s="71"/>
      <c r="O6" s="71"/>
    </row>
    <row r="7" spans="1:15" ht="15.75" x14ac:dyDescent="0.25">
      <c r="A7" s="7"/>
      <c r="B7" s="7"/>
      <c r="C7" s="78" t="s">
        <v>231</v>
      </c>
      <c r="D7" s="7"/>
      <c r="E7" s="7"/>
      <c r="F7" s="7"/>
      <c r="G7" s="7"/>
      <c r="H7" s="71"/>
      <c r="I7" s="71"/>
      <c r="J7" s="71"/>
      <c r="K7" s="71"/>
      <c r="L7" s="71"/>
      <c r="M7" s="71"/>
      <c r="N7" s="71"/>
      <c r="O7" s="71"/>
    </row>
    <row r="8" spans="1:15" ht="15.75" x14ac:dyDescent="0.25">
      <c r="A8" s="7"/>
      <c r="B8" s="7"/>
      <c r="C8" s="7"/>
      <c r="D8" s="7"/>
      <c r="E8" s="7"/>
      <c r="F8" s="7"/>
      <c r="G8" s="7"/>
      <c r="H8" s="71"/>
      <c r="I8" s="71"/>
      <c r="J8" s="71"/>
      <c r="K8" s="71"/>
      <c r="L8" s="71"/>
      <c r="M8" s="71"/>
      <c r="N8" s="71"/>
      <c r="O8" s="71"/>
    </row>
    <row r="9" spans="1:15" ht="15.75" x14ac:dyDescent="0.25">
      <c r="A9" s="7"/>
      <c r="B9" s="7"/>
      <c r="C9" s="7"/>
      <c r="D9" s="7"/>
      <c r="E9" s="7"/>
      <c r="F9" s="7"/>
      <c r="G9" s="7"/>
      <c r="H9" s="71"/>
      <c r="I9" s="71"/>
      <c r="J9" s="71"/>
      <c r="K9" s="71"/>
      <c r="L9" s="71"/>
      <c r="M9" s="71"/>
      <c r="N9" s="71"/>
      <c r="O9" s="71"/>
    </row>
    <row r="10" spans="1:15" ht="15.75" customHeight="1" x14ac:dyDescent="0.2">
      <c r="A10" s="92" t="s">
        <v>173</v>
      </c>
      <c r="B10" s="92"/>
      <c r="C10" s="92"/>
      <c r="D10" s="92"/>
      <c r="E10" s="92"/>
      <c r="F10" s="92"/>
      <c r="G10" s="92"/>
      <c r="H10" s="71"/>
      <c r="I10" s="71"/>
      <c r="J10" s="71"/>
      <c r="K10" s="71"/>
      <c r="L10" s="71"/>
      <c r="M10" s="71"/>
      <c r="N10" s="71"/>
      <c r="O10" s="71"/>
    </row>
    <row r="11" spans="1:15" ht="15.75" customHeight="1" x14ac:dyDescent="0.2">
      <c r="A11" s="92"/>
      <c r="B11" s="92"/>
      <c r="C11" s="92"/>
      <c r="D11" s="92"/>
      <c r="E11" s="92"/>
      <c r="F11" s="92"/>
      <c r="G11" s="92"/>
      <c r="H11" s="71"/>
      <c r="I11" s="71"/>
      <c r="J11" s="71"/>
      <c r="K11" s="71"/>
      <c r="L11" s="71"/>
      <c r="M11" s="71"/>
      <c r="N11" s="71"/>
      <c r="O11" s="71"/>
    </row>
    <row r="12" spans="1:15" ht="8.25" customHeight="1" x14ac:dyDescent="0.25">
      <c r="A12" s="65"/>
      <c r="B12" s="65"/>
      <c r="C12" s="65"/>
      <c r="D12" s="7"/>
      <c r="E12" s="7"/>
      <c r="F12" s="7"/>
      <c r="G12" s="7"/>
      <c r="H12" s="71"/>
      <c r="I12" s="71"/>
      <c r="J12" s="71"/>
      <c r="K12" s="71"/>
      <c r="L12" s="71"/>
      <c r="M12" s="71"/>
      <c r="N12" s="71"/>
      <c r="O12" s="71"/>
    </row>
    <row r="13" spans="1:15" ht="15.75" x14ac:dyDescent="0.25">
      <c r="A13" s="7"/>
      <c r="B13" s="33"/>
      <c r="C13" s="7"/>
      <c r="D13" s="34"/>
      <c r="E13" s="34"/>
      <c r="F13" s="34"/>
      <c r="G13" s="34" t="s">
        <v>116</v>
      </c>
      <c r="H13" s="71"/>
      <c r="I13" s="71"/>
      <c r="J13" s="71"/>
      <c r="K13" s="71"/>
      <c r="L13" s="71"/>
      <c r="M13" s="71"/>
      <c r="N13" s="71"/>
      <c r="O13" s="71"/>
    </row>
    <row r="14" spans="1:15" ht="15.75" x14ac:dyDescent="0.25">
      <c r="A14" s="7"/>
      <c r="B14" s="33"/>
      <c r="C14" s="7"/>
      <c r="D14" s="82" t="s">
        <v>226</v>
      </c>
      <c r="E14" s="83"/>
      <c r="F14" s="83"/>
      <c r="G14" s="84"/>
      <c r="H14" s="82" t="s">
        <v>225</v>
      </c>
      <c r="I14" s="83"/>
      <c r="J14" s="83"/>
      <c r="K14" s="84"/>
      <c r="L14" s="82" t="s">
        <v>224</v>
      </c>
      <c r="M14" s="83"/>
      <c r="N14" s="83"/>
      <c r="O14" s="84"/>
    </row>
    <row r="15" spans="1:15" ht="15.75" x14ac:dyDescent="0.25">
      <c r="A15" s="85" t="s">
        <v>0</v>
      </c>
      <c r="B15" s="85" t="s">
        <v>85</v>
      </c>
      <c r="C15" s="85" t="s">
        <v>86</v>
      </c>
      <c r="D15" s="87" t="s">
        <v>82</v>
      </c>
      <c r="E15" s="86" t="s">
        <v>2</v>
      </c>
      <c r="F15" s="86"/>
      <c r="G15" s="86"/>
      <c r="H15" s="87" t="s">
        <v>82</v>
      </c>
      <c r="I15" s="86" t="s">
        <v>2</v>
      </c>
      <c r="J15" s="86"/>
      <c r="K15" s="86"/>
      <c r="L15" s="87" t="s">
        <v>82</v>
      </c>
      <c r="M15" s="86" t="s">
        <v>2</v>
      </c>
      <c r="N15" s="86"/>
      <c r="O15" s="86"/>
    </row>
    <row r="16" spans="1:15" ht="15.75" customHeight="1" x14ac:dyDescent="0.25">
      <c r="A16" s="85"/>
      <c r="B16" s="85"/>
      <c r="C16" s="85"/>
      <c r="D16" s="87"/>
      <c r="E16" s="85" t="s">
        <v>33</v>
      </c>
      <c r="F16" s="85"/>
      <c r="G16" s="85" t="s">
        <v>34</v>
      </c>
      <c r="H16" s="87"/>
      <c r="I16" s="85" t="s">
        <v>33</v>
      </c>
      <c r="J16" s="85"/>
      <c r="K16" s="85" t="s">
        <v>34</v>
      </c>
      <c r="L16" s="87"/>
      <c r="M16" s="85" t="s">
        <v>33</v>
      </c>
      <c r="N16" s="85"/>
      <c r="O16" s="85" t="s">
        <v>34</v>
      </c>
    </row>
    <row r="17" spans="1:15" ht="47.25" x14ac:dyDescent="0.25">
      <c r="A17" s="85"/>
      <c r="B17" s="85"/>
      <c r="C17" s="85"/>
      <c r="D17" s="87"/>
      <c r="E17" s="10" t="s">
        <v>35</v>
      </c>
      <c r="F17" s="10" t="s">
        <v>36</v>
      </c>
      <c r="G17" s="85"/>
      <c r="H17" s="87"/>
      <c r="I17" s="10" t="s">
        <v>35</v>
      </c>
      <c r="J17" s="10" t="s">
        <v>36</v>
      </c>
      <c r="K17" s="85"/>
      <c r="L17" s="87"/>
      <c r="M17" s="10" t="s">
        <v>35</v>
      </c>
      <c r="N17" s="10" t="s">
        <v>36</v>
      </c>
      <c r="O17" s="85"/>
    </row>
    <row r="18" spans="1:15" ht="15.75" x14ac:dyDescent="0.25">
      <c r="A18" s="63">
        <v>1</v>
      </c>
      <c r="B18" s="62">
        <v>2</v>
      </c>
      <c r="C18" s="62">
        <v>3</v>
      </c>
      <c r="D18" s="63">
        <v>4</v>
      </c>
      <c r="E18" s="63">
        <v>5</v>
      </c>
      <c r="F18" s="63">
        <v>6</v>
      </c>
      <c r="G18" s="63">
        <v>7</v>
      </c>
      <c r="H18" s="63">
        <v>4</v>
      </c>
      <c r="I18" s="63">
        <v>5</v>
      </c>
      <c r="J18" s="63">
        <v>6</v>
      </c>
      <c r="K18" s="63">
        <v>7</v>
      </c>
      <c r="L18" s="63">
        <v>4</v>
      </c>
      <c r="M18" s="63">
        <v>5</v>
      </c>
      <c r="N18" s="63">
        <v>6</v>
      </c>
      <c r="O18" s="63">
        <v>7</v>
      </c>
    </row>
    <row r="19" spans="1:15" ht="47.25" x14ac:dyDescent="0.25">
      <c r="A19" s="35" t="s">
        <v>93</v>
      </c>
      <c r="B19" s="36" t="s">
        <v>94</v>
      </c>
      <c r="C19" s="62" t="s">
        <v>60</v>
      </c>
      <c r="D19" s="17">
        <f>+'1 pr. asignavimai'!C95</f>
        <v>390.9</v>
      </c>
      <c r="E19" s="17">
        <f>+'1 pr. asignavimai'!D95</f>
        <v>267.89999999999998</v>
      </c>
      <c r="F19" s="17">
        <f>+'1 pr. asignavimai'!E95</f>
        <v>0</v>
      </c>
      <c r="G19" s="17">
        <f>+'1 pr. asignavimai'!F95</f>
        <v>123</v>
      </c>
      <c r="H19" s="17">
        <f>+'1 pr. asignavimai'!G95</f>
        <v>0</v>
      </c>
      <c r="I19" s="17">
        <f>+'1 pr. asignavimai'!H95</f>
        <v>0</v>
      </c>
      <c r="J19" s="17">
        <f>+'1 pr. asignavimai'!I95</f>
        <v>0</v>
      </c>
      <c r="K19" s="17">
        <f>+'1 pr. asignavimai'!J95</f>
        <v>0</v>
      </c>
      <c r="L19" s="17">
        <f>+D19+H19</f>
        <v>390.9</v>
      </c>
      <c r="M19" s="17">
        <f t="shared" ref="M19:O19" si="0">+E19+I19</f>
        <v>267.89999999999998</v>
      </c>
      <c r="N19" s="17">
        <f t="shared" si="0"/>
        <v>0</v>
      </c>
      <c r="O19" s="17">
        <f t="shared" si="0"/>
        <v>123</v>
      </c>
    </row>
    <row r="20" spans="1:15" ht="47.25" x14ac:dyDescent="0.25">
      <c r="A20" s="37" t="s">
        <v>96</v>
      </c>
      <c r="B20" s="38" t="s">
        <v>97</v>
      </c>
      <c r="C20" s="62" t="s">
        <v>49</v>
      </c>
      <c r="D20" s="17">
        <f>+'1 pr. asignavimai'!C50</f>
        <v>1982.2</v>
      </c>
      <c r="E20" s="17">
        <f>+'1 pr. asignavimai'!D50</f>
        <v>298.39999999999998</v>
      </c>
      <c r="F20" s="17">
        <f>+'1 pr. asignavimai'!E50</f>
        <v>3.3</v>
      </c>
      <c r="G20" s="17">
        <f>+'1 pr. asignavimai'!F50</f>
        <v>1683.8</v>
      </c>
      <c r="H20" s="17">
        <f>+'1 pr. asignavimai'!G50</f>
        <v>0</v>
      </c>
      <c r="I20" s="17">
        <f>+'1 pr. asignavimai'!H50</f>
        <v>0</v>
      </c>
      <c r="J20" s="17">
        <f>+'1 pr. asignavimai'!I50</f>
        <v>0</v>
      </c>
      <c r="K20" s="17">
        <f>+'1 pr. asignavimai'!J50</f>
        <v>0</v>
      </c>
      <c r="L20" s="17">
        <f t="shared" ref="L20:L66" si="1">+D20+H20</f>
        <v>1982.2</v>
      </c>
      <c r="M20" s="17">
        <f t="shared" ref="M20:M66" si="2">+E20+I20</f>
        <v>298.39999999999998</v>
      </c>
      <c r="N20" s="17">
        <f t="shared" ref="N20:N66" si="3">+F20+J20</f>
        <v>3.3</v>
      </c>
      <c r="O20" s="17">
        <f t="shared" ref="O20:O66" si="4">+G20+K20</f>
        <v>1683.8</v>
      </c>
    </row>
    <row r="21" spans="1:15" ht="31.5" x14ac:dyDescent="0.25">
      <c r="A21" s="90" t="s">
        <v>98</v>
      </c>
      <c r="B21" s="91" t="s">
        <v>38</v>
      </c>
      <c r="C21" s="62" t="s">
        <v>3</v>
      </c>
      <c r="D21" s="39">
        <f>+'1 pr. asignavimai'!C13</f>
        <v>13969.1</v>
      </c>
      <c r="E21" s="39">
        <f>+'1 pr. asignavimai'!D13</f>
        <v>10844.2</v>
      </c>
      <c r="F21" s="39">
        <f>+'1 pr. asignavimai'!E13</f>
        <v>8296.7000000000007</v>
      </c>
      <c r="G21" s="39">
        <f>+'1 pr. asignavimai'!F13</f>
        <v>3124.9</v>
      </c>
      <c r="H21" s="39">
        <f>+'1 pr. asignavimai'!G13</f>
        <v>47.3</v>
      </c>
      <c r="I21" s="39">
        <f>+'1 pr. asignavimai'!H13</f>
        <v>47.3</v>
      </c>
      <c r="J21" s="39">
        <f>+'1 pr. asignavimai'!I13</f>
        <v>27.5</v>
      </c>
      <c r="K21" s="39">
        <f>+'1 pr. asignavimai'!J13</f>
        <v>0</v>
      </c>
      <c r="L21" s="39">
        <f t="shared" si="1"/>
        <v>14016.4</v>
      </c>
      <c r="M21" s="39">
        <f t="shared" si="2"/>
        <v>10891.5</v>
      </c>
      <c r="N21" s="39">
        <f t="shared" si="3"/>
        <v>8324.2000000000007</v>
      </c>
      <c r="O21" s="39">
        <f t="shared" si="4"/>
        <v>3124.9</v>
      </c>
    </row>
    <row r="22" spans="1:15" ht="47.25" x14ac:dyDescent="0.25">
      <c r="A22" s="90"/>
      <c r="B22" s="91"/>
      <c r="C22" s="62" t="s">
        <v>49</v>
      </c>
      <c r="D22" s="39">
        <f>+'1 pr. asignavimai'!C54</f>
        <v>125.3</v>
      </c>
      <c r="E22" s="39">
        <f>+'1 pr. asignavimai'!D54</f>
        <v>125.3</v>
      </c>
      <c r="F22" s="39">
        <f>+'1 pr. asignavimai'!E54</f>
        <v>0</v>
      </c>
      <c r="G22" s="39">
        <f>+'1 pr. asignavimai'!F54</f>
        <v>0</v>
      </c>
      <c r="H22" s="39">
        <f>+'1 pr. asignavimai'!G54</f>
        <v>0</v>
      </c>
      <c r="I22" s="39">
        <f>+'1 pr. asignavimai'!H54</f>
        <v>0</v>
      </c>
      <c r="J22" s="39">
        <f>+'1 pr. asignavimai'!I54</f>
        <v>0</v>
      </c>
      <c r="K22" s="39">
        <f>+'1 pr. asignavimai'!J54</f>
        <v>0</v>
      </c>
      <c r="L22" s="39">
        <f t="shared" si="1"/>
        <v>125.3</v>
      </c>
      <c r="M22" s="39">
        <f t="shared" si="2"/>
        <v>125.3</v>
      </c>
      <c r="N22" s="39">
        <f t="shared" si="3"/>
        <v>0</v>
      </c>
      <c r="O22" s="39">
        <f t="shared" si="4"/>
        <v>0</v>
      </c>
    </row>
    <row r="23" spans="1:15" ht="47.25" x14ac:dyDescent="0.25">
      <c r="A23" s="90"/>
      <c r="B23" s="91"/>
      <c r="C23" s="62" t="s">
        <v>37</v>
      </c>
      <c r="D23" s="39">
        <f>+'1 pr. asignavimai'!C9</f>
        <v>234</v>
      </c>
      <c r="E23" s="39">
        <f>+'1 pr. asignavimai'!D9</f>
        <v>233</v>
      </c>
      <c r="F23" s="39">
        <f>+'1 pr. asignavimai'!E9</f>
        <v>221.5</v>
      </c>
      <c r="G23" s="39">
        <f>+'1 pr. asignavimai'!F9</f>
        <v>1</v>
      </c>
      <c r="H23" s="39">
        <f>+'1 pr. asignavimai'!G9</f>
        <v>0</v>
      </c>
      <c r="I23" s="39">
        <f>+'1 pr. asignavimai'!H9</f>
        <v>0</v>
      </c>
      <c r="J23" s="39">
        <f>+'1 pr. asignavimai'!I9</f>
        <v>0</v>
      </c>
      <c r="K23" s="39">
        <f>+'1 pr. asignavimai'!J9</f>
        <v>0</v>
      </c>
      <c r="L23" s="39">
        <f t="shared" si="1"/>
        <v>234</v>
      </c>
      <c r="M23" s="39">
        <f t="shared" si="2"/>
        <v>233</v>
      </c>
      <c r="N23" s="39">
        <f t="shared" si="3"/>
        <v>221.5</v>
      </c>
      <c r="O23" s="39">
        <f t="shared" si="4"/>
        <v>1</v>
      </c>
    </row>
    <row r="24" spans="1:15" ht="15.75" x14ac:dyDescent="0.25">
      <c r="A24" s="90"/>
      <c r="B24" s="91"/>
      <c r="C24" s="62" t="s">
        <v>95</v>
      </c>
      <c r="D24" s="17">
        <f>SUM(D21:D23)</f>
        <v>14328.4</v>
      </c>
      <c r="E24" s="17">
        <f t="shared" ref="E24:G24" si="5">SUM(E21:E23)</f>
        <v>11202.5</v>
      </c>
      <c r="F24" s="17">
        <f t="shared" si="5"/>
        <v>8518.2000000000007</v>
      </c>
      <c r="G24" s="17">
        <f t="shared" si="5"/>
        <v>3125.9</v>
      </c>
      <c r="H24" s="17">
        <f t="shared" ref="H24:K24" si="6">SUM(H21:H23)</f>
        <v>47.3</v>
      </c>
      <c r="I24" s="17">
        <f t="shared" si="6"/>
        <v>47.3</v>
      </c>
      <c r="J24" s="17">
        <f t="shared" si="6"/>
        <v>27.5</v>
      </c>
      <c r="K24" s="17">
        <f t="shared" si="6"/>
        <v>0</v>
      </c>
      <c r="L24" s="17">
        <f t="shared" si="1"/>
        <v>14375.7</v>
      </c>
      <c r="M24" s="17">
        <f t="shared" si="2"/>
        <v>11249.8</v>
      </c>
      <c r="N24" s="17">
        <f t="shared" si="3"/>
        <v>8545.7000000000007</v>
      </c>
      <c r="O24" s="17">
        <f t="shared" si="4"/>
        <v>3125.9</v>
      </c>
    </row>
    <row r="25" spans="1:15" ht="47.25" x14ac:dyDescent="0.25">
      <c r="A25" s="66" t="s">
        <v>140</v>
      </c>
      <c r="B25" s="64" t="s">
        <v>87</v>
      </c>
      <c r="C25" s="62" t="s">
        <v>49</v>
      </c>
      <c r="D25" s="17">
        <f>+'1 pr. asignavimai'!C60</f>
        <v>463.1</v>
      </c>
      <c r="E25" s="17">
        <f>+'1 pr. asignavimai'!D60</f>
        <v>463.1</v>
      </c>
      <c r="F25" s="17">
        <f>+'1 pr. asignavimai'!E60</f>
        <v>0</v>
      </c>
      <c r="G25" s="17">
        <f>+'1 pr. asignavimai'!F60</f>
        <v>0</v>
      </c>
      <c r="H25" s="17">
        <f>+'1 pr. asignavimai'!G60</f>
        <v>0</v>
      </c>
      <c r="I25" s="17">
        <f>+'1 pr. asignavimai'!H60</f>
        <v>0</v>
      </c>
      <c r="J25" s="17">
        <f>+'1 pr. asignavimai'!I60</f>
        <v>0</v>
      </c>
      <c r="K25" s="17">
        <f>+'1 pr. asignavimai'!J60</f>
        <v>0</v>
      </c>
      <c r="L25" s="17">
        <f t="shared" si="1"/>
        <v>463.1</v>
      </c>
      <c r="M25" s="17">
        <f t="shared" si="2"/>
        <v>463.1</v>
      </c>
      <c r="N25" s="17">
        <f t="shared" si="3"/>
        <v>0</v>
      </c>
      <c r="O25" s="17">
        <f t="shared" si="4"/>
        <v>0</v>
      </c>
    </row>
    <row r="26" spans="1:15" ht="47.25" x14ac:dyDescent="0.25">
      <c r="A26" s="99" t="s">
        <v>99</v>
      </c>
      <c r="B26" s="96" t="s">
        <v>61</v>
      </c>
      <c r="C26" s="62" t="s">
        <v>49</v>
      </c>
      <c r="D26" s="39">
        <f>+'1 pr. asignavimai'!C61</f>
        <v>3328.4</v>
      </c>
      <c r="E26" s="39">
        <f>+'1 pr. asignavimai'!D61</f>
        <v>168.4</v>
      </c>
      <c r="F26" s="39">
        <f>+'1 pr. asignavimai'!E61</f>
        <v>0</v>
      </c>
      <c r="G26" s="39">
        <f>+'1 pr. asignavimai'!F61</f>
        <v>3160</v>
      </c>
      <c r="H26" s="39">
        <f>+'1 pr. asignavimai'!G61</f>
        <v>0</v>
      </c>
      <c r="I26" s="39">
        <f>+'1 pr. asignavimai'!H61</f>
        <v>0</v>
      </c>
      <c r="J26" s="39">
        <f>+'1 pr. asignavimai'!I61</f>
        <v>0</v>
      </c>
      <c r="K26" s="39">
        <f>+'1 pr. asignavimai'!J61</f>
        <v>0</v>
      </c>
      <c r="L26" s="39">
        <f t="shared" si="1"/>
        <v>3328.4</v>
      </c>
      <c r="M26" s="39">
        <f t="shared" si="2"/>
        <v>168.4</v>
      </c>
      <c r="N26" s="39">
        <f t="shared" si="3"/>
        <v>0</v>
      </c>
      <c r="O26" s="39">
        <f t="shared" si="4"/>
        <v>3160</v>
      </c>
    </row>
    <row r="27" spans="1:15" ht="31.5" x14ac:dyDescent="0.25">
      <c r="A27" s="94"/>
      <c r="B27" s="100"/>
      <c r="C27" s="62" t="s">
        <v>4</v>
      </c>
      <c r="D27" s="39">
        <f>+'1 pr. asignavimai'!C97</f>
        <v>5110.3999999999996</v>
      </c>
      <c r="E27" s="39">
        <f>+'1 pr. asignavimai'!D97</f>
        <v>5060.3999999999996</v>
      </c>
      <c r="F27" s="39">
        <f>+'1 pr. asignavimai'!E97</f>
        <v>0</v>
      </c>
      <c r="G27" s="39">
        <f>+'1 pr. asignavimai'!F97</f>
        <v>50</v>
      </c>
      <c r="H27" s="39">
        <f>+'1 pr. asignavimai'!G97</f>
        <v>0</v>
      </c>
      <c r="I27" s="39">
        <f>+'1 pr. asignavimai'!H97</f>
        <v>0</v>
      </c>
      <c r="J27" s="39">
        <f>+'1 pr. asignavimai'!I97</f>
        <v>0</v>
      </c>
      <c r="K27" s="39">
        <f>+'1 pr. asignavimai'!J97</f>
        <v>0</v>
      </c>
      <c r="L27" s="39">
        <f t="shared" si="1"/>
        <v>5110.3999999999996</v>
      </c>
      <c r="M27" s="39">
        <f t="shared" si="2"/>
        <v>5060.3999999999996</v>
      </c>
      <c r="N27" s="39">
        <f t="shared" si="3"/>
        <v>0</v>
      </c>
      <c r="O27" s="39">
        <f t="shared" si="4"/>
        <v>50</v>
      </c>
    </row>
    <row r="28" spans="1:15" ht="15.75" x14ac:dyDescent="0.25">
      <c r="A28" s="95"/>
      <c r="B28" s="101"/>
      <c r="C28" s="62" t="s">
        <v>95</v>
      </c>
      <c r="D28" s="17">
        <f>SUM(D26:D27)</f>
        <v>8438.7999999999993</v>
      </c>
      <c r="E28" s="17">
        <f t="shared" ref="E28:G28" si="7">SUM(E26:E27)</f>
        <v>5228.8</v>
      </c>
      <c r="F28" s="17">
        <f t="shared" si="7"/>
        <v>0</v>
      </c>
      <c r="G28" s="17">
        <f t="shared" si="7"/>
        <v>3210</v>
      </c>
      <c r="H28" s="17">
        <f t="shared" ref="H28:K28" si="8">SUM(H26:H27)</f>
        <v>0</v>
      </c>
      <c r="I28" s="17">
        <f t="shared" si="8"/>
        <v>0</v>
      </c>
      <c r="J28" s="17">
        <f t="shared" si="8"/>
        <v>0</v>
      </c>
      <c r="K28" s="17">
        <f t="shared" si="8"/>
        <v>0</v>
      </c>
      <c r="L28" s="17">
        <f t="shared" si="1"/>
        <v>8438.7999999999993</v>
      </c>
      <c r="M28" s="17">
        <f t="shared" si="2"/>
        <v>5228.8</v>
      </c>
      <c r="N28" s="17">
        <f t="shared" si="3"/>
        <v>0</v>
      </c>
      <c r="O28" s="17">
        <f t="shared" si="4"/>
        <v>3210</v>
      </c>
    </row>
    <row r="29" spans="1:15" ht="31.5" x14ac:dyDescent="0.25">
      <c r="A29" s="93" t="s">
        <v>100</v>
      </c>
      <c r="B29" s="91" t="s">
        <v>88</v>
      </c>
      <c r="C29" s="62" t="s">
        <v>3</v>
      </c>
      <c r="D29" s="39">
        <f>+'1 pr. asignavimai'!C42</f>
        <v>136.80000000000001</v>
      </c>
      <c r="E29" s="39">
        <f>+'1 pr. asignavimai'!D42</f>
        <v>136.80000000000001</v>
      </c>
      <c r="F29" s="39">
        <f>+'1 pr. asignavimai'!E42</f>
        <v>0</v>
      </c>
      <c r="G29" s="39">
        <f>+'1 pr. asignavimai'!F42</f>
        <v>0</v>
      </c>
      <c r="H29" s="39">
        <f>+'1 pr. asignavimai'!G42</f>
        <v>0</v>
      </c>
      <c r="I29" s="39">
        <f>+'1 pr. asignavimai'!H42</f>
        <v>0</v>
      </c>
      <c r="J29" s="39">
        <f>+'1 pr. asignavimai'!I42</f>
        <v>0</v>
      </c>
      <c r="K29" s="39">
        <f>+'1 pr. asignavimai'!J42</f>
        <v>0</v>
      </c>
      <c r="L29" s="39">
        <f t="shared" si="1"/>
        <v>136.80000000000001</v>
      </c>
      <c r="M29" s="39">
        <f t="shared" si="2"/>
        <v>136.80000000000001</v>
      </c>
      <c r="N29" s="39">
        <f t="shared" si="3"/>
        <v>0</v>
      </c>
      <c r="O29" s="39">
        <f t="shared" si="4"/>
        <v>0</v>
      </c>
    </row>
    <row r="30" spans="1:15" ht="47.25" x14ac:dyDescent="0.25">
      <c r="A30" s="93"/>
      <c r="B30" s="91"/>
      <c r="C30" s="62" t="s">
        <v>49</v>
      </c>
      <c r="D30" s="39">
        <f>+'1 pr. asignavimai'!C66</f>
        <v>9307</v>
      </c>
      <c r="E30" s="39">
        <f>+'1 pr. asignavimai'!D66</f>
        <v>4316.7</v>
      </c>
      <c r="F30" s="39">
        <f>+'1 pr. asignavimai'!E66</f>
        <v>7.9</v>
      </c>
      <c r="G30" s="39">
        <f>+'1 pr. asignavimai'!F66</f>
        <v>4990.3</v>
      </c>
      <c r="H30" s="39">
        <f>+'1 pr. asignavimai'!G66</f>
        <v>2718.1</v>
      </c>
      <c r="I30" s="39">
        <f>+'1 pr. asignavimai'!H66</f>
        <v>0</v>
      </c>
      <c r="J30" s="39">
        <f>+'1 pr. asignavimai'!I66</f>
        <v>0</v>
      </c>
      <c r="K30" s="39">
        <f>+'1 pr. asignavimai'!J66</f>
        <v>2718.1</v>
      </c>
      <c r="L30" s="39">
        <f t="shared" si="1"/>
        <v>12025.1</v>
      </c>
      <c r="M30" s="39">
        <f t="shared" si="2"/>
        <v>4316.7</v>
      </c>
      <c r="N30" s="39">
        <f t="shared" si="3"/>
        <v>7.9</v>
      </c>
      <c r="O30" s="39">
        <f t="shared" si="4"/>
        <v>7708.4</v>
      </c>
    </row>
    <row r="31" spans="1:15" ht="31.5" x14ac:dyDescent="0.25">
      <c r="A31" s="93"/>
      <c r="B31" s="91"/>
      <c r="C31" s="62" t="s">
        <v>4</v>
      </c>
      <c r="D31" s="39">
        <f>+'1 pr. asignavimai'!C102</f>
        <v>6151.1</v>
      </c>
      <c r="E31" s="39">
        <f>+'1 pr. asignavimai'!D102</f>
        <v>5884.2</v>
      </c>
      <c r="F31" s="39">
        <f>+'1 pr. asignavimai'!E102</f>
        <v>0</v>
      </c>
      <c r="G31" s="39">
        <f>+'1 pr. asignavimai'!F102</f>
        <v>266.89999999999998</v>
      </c>
      <c r="H31" s="39">
        <f>+'1 pr. asignavimai'!G102</f>
        <v>1948.3</v>
      </c>
      <c r="I31" s="39">
        <f>+'1 pr. asignavimai'!H102</f>
        <v>1884.3</v>
      </c>
      <c r="J31" s="39">
        <f>+'1 pr. asignavimai'!I102</f>
        <v>0</v>
      </c>
      <c r="K31" s="39">
        <f>+'1 pr. asignavimai'!J102</f>
        <v>64</v>
      </c>
      <c r="L31" s="39">
        <f t="shared" si="1"/>
        <v>8099.4</v>
      </c>
      <c r="M31" s="39">
        <f t="shared" si="2"/>
        <v>7768.5</v>
      </c>
      <c r="N31" s="39">
        <f t="shared" si="3"/>
        <v>0</v>
      </c>
      <c r="O31" s="39">
        <f t="shared" si="4"/>
        <v>330.9</v>
      </c>
    </row>
    <row r="32" spans="1:15" ht="15.75" x14ac:dyDescent="0.25">
      <c r="A32" s="93"/>
      <c r="B32" s="91"/>
      <c r="C32" s="62" t="s">
        <v>95</v>
      </c>
      <c r="D32" s="17">
        <f>SUM(D29:D31)</f>
        <v>15594.9</v>
      </c>
      <c r="E32" s="17">
        <f t="shared" ref="E32:G32" si="9">SUM(E29:E31)</f>
        <v>10337.700000000001</v>
      </c>
      <c r="F32" s="17">
        <f t="shared" si="9"/>
        <v>7.9</v>
      </c>
      <c r="G32" s="17">
        <f t="shared" si="9"/>
        <v>5257.2</v>
      </c>
      <c r="H32" s="17">
        <f t="shared" ref="H32:K32" si="10">SUM(H29:H31)</f>
        <v>4666.3999999999996</v>
      </c>
      <c r="I32" s="17">
        <f t="shared" si="10"/>
        <v>1884.3</v>
      </c>
      <c r="J32" s="17">
        <f t="shared" si="10"/>
        <v>0</v>
      </c>
      <c r="K32" s="17">
        <f t="shared" si="10"/>
        <v>2782.1</v>
      </c>
      <c r="L32" s="17">
        <f t="shared" si="1"/>
        <v>20261.3</v>
      </c>
      <c r="M32" s="17">
        <f t="shared" si="2"/>
        <v>12222</v>
      </c>
      <c r="N32" s="17">
        <f t="shared" si="3"/>
        <v>7.9</v>
      </c>
      <c r="O32" s="17">
        <f t="shared" si="4"/>
        <v>8039.3</v>
      </c>
    </row>
    <row r="33" spans="1:15" ht="31.5" x14ac:dyDescent="0.25">
      <c r="A33" s="93" t="s">
        <v>101</v>
      </c>
      <c r="B33" s="91" t="s">
        <v>127</v>
      </c>
      <c r="C33" s="62" t="s">
        <v>3</v>
      </c>
      <c r="D33" s="39">
        <f>+'1 pr. asignavimai'!C43</f>
        <v>204.4</v>
      </c>
      <c r="E33" s="39">
        <f>+'1 pr. asignavimai'!D43</f>
        <v>204.4</v>
      </c>
      <c r="F33" s="39">
        <f>+'1 pr. asignavimai'!E43</f>
        <v>0</v>
      </c>
      <c r="G33" s="39">
        <f>+'1 pr. asignavimai'!F43</f>
        <v>0</v>
      </c>
      <c r="H33" s="39">
        <f>+'1 pr. asignavimai'!G43</f>
        <v>0</v>
      </c>
      <c r="I33" s="39">
        <f>+'1 pr. asignavimai'!H43</f>
        <v>0</v>
      </c>
      <c r="J33" s="39">
        <f>+'1 pr. asignavimai'!I43</f>
        <v>0</v>
      </c>
      <c r="K33" s="39">
        <f>+'1 pr. asignavimai'!J43</f>
        <v>0</v>
      </c>
      <c r="L33" s="39">
        <f t="shared" si="1"/>
        <v>204.4</v>
      </c>
      <c r="M33" s="39">
        <f t="shared" si="2"/>
        <v>204.4</v>
      </c>
      <c r="N33" s="39">
        <f t="shared" si="3"/>
        <v>0</v>
      </c>
      <c r="O33" s="39">
        <f t="shared" si="4"/>
        <v>0</v>
      </c>
    </row>
    <row r="34" spans="1:15" ht="47.25" x14ac:dyDescent="0.25">
      <c r="A34" s="93"/>
      <c r="B34" s="91"/>
      <c r="C34" s="62" t="s">
        <v>49</v>
      </c>
      <c r="D34" s="39">
        <f>+'1 pr. asignavimai'!C71</f>
        <v>2895.4</v>
      </c>
      <c r="E34" s="39">
        <f>+'1 pr. asignavimai'!D71</f>
        <v>15.3</v>
      </c>
      <c r="F34" s="39">
        <f>+'1 pr. asignavimai'!E71</f>
        <v>14.7</v>
      </c>
      <c r="G34" s="39">
        <f>+'1 pr. asignavimai'!F71</f>
        <v>2880.1</v>
      </c>
      <c r="H34" s="39">
        <f>+'1 pr. asignavimai'!G71</f>
        <v>0</v>
      </c>
      <c r="I34" s="39">
        <f>+'1 pr. asignavimai'!H71</f>
        <v>0</v>
      </c>
      <c r="J34" s="39">
        <f>+'1 pr. asignavimai'!I71</f>
        <v>0</v>
      </c>
      <c r="K34" s="39">
        <f>+'1 pr. asignavimai'!J71</f>
        <v>0</v>
      </c>
      <c r="L34" s="39">
        <f t="shared" si="1"/>
        <v>2895.4</v>
      </c>
      <c r="M34" s="39">
        <f t="shared" si="2"/>
        <v>15.3</v>
      </c>
      <c r="N34" s="39">
        <f t="shared" si="3"/>
        <v>14.7</v>
      </c>
      <c r="O34" s="39">
        <f t="shared" si="4"/>
        <v>2880.1</v>
      </c>
    </row>
    <row r="35" spans="1:15" ht="31.5" x14ac:dyDescent="0.25">
      <c r="A35" s="93"/>
      <c r="B35" s="91"/>
      <c r="C35" s="62" t="s">
        <v>4</v>
      </c>
      <c r="D35" s="39">
        <f>+'1 pr. asignavimai'!C106</f>
        <v>8954.6</v>
      </c>
      <c r="E35" s="39">
        <f>+'1 pr. asignavimai'!D106</f>
        <v>6321</v>
      </c>
      <c r="F35" s="39">
        <f>+'1 pr. asignavimai'!E106</f>
        <v>564</v>
      </c>
      <c r="G35" s="39">
        <f>+'1 pr. asignavimai'!F106</f>
        <v>2633.6</v>
      </c>
      <c r="H35" s="39">
        <f>+'1 pr. asignavimai'!G106</f>
        <v>0</v>
      </c>
      <c r="I35" s="39">
        <f>+'1 pr. asignavimai'!H106</f>
        <v>0</v>
      </c>
      <c r="J35" s="39">
        <f>+'1 pr. asignavimai'!I106</f>
        <v>0</v>
      </c>
      <c r="K35" s="39">
        <f>+'1 pr. asignavimai'!J106</f>
        <v>0</v>
      </c>
      <c r="L35" s="39">
        <f t="shared" si="1"/>
        <v>8954.6</v>
      </c>
      <c r="M35" s="39">
        <f t="shared" si="2"/>
        <v>6321</v>
      </c>
      <c r="N35" s="39">
        <f t="shared" si="3"/>
        <v>564</v>
      </c>
      <c r="O35" s="39">
        <f t="shared" si="4"/>
        <v>2633.6</v>
      </c>
    </row>
    <row r="36" spans="1:15" ht="15.75" x14ac:dyDescent="0.25">
      <c r="A36" s="93"/>
      <c r="B36" s="91"/>
      <c r="C36" s="62" t="s">
        <v>95</v>
      </c>
      <c r="D36" s="17">
        <f>SUM(D33:D35)</f>
        <v>12054.4</v>
      </c>
      <c r="E36" s="17">
        <f t="shared" ref="E36:G36" si="11">SUM(E33:E35)</f>
        <v>6540.7</v>
      </c>
      <c r="F36" s="17">
        <f t="shared" si="11"/>
        <v>578.70000000000005</v>
      </c>
      <c r="G36" s="17">
        <f t="shared" si="11"/>
        <v>5513.7</v>
      </c>
      <c r="H36" s="17">
        <f t="shared" ref="H36:K36" si="12">SUM(H33:H35)</f>
        <v>0</v>
      </c>
      <c r="I36" s="17">
        <f t="shared" si="12"/>
        <v>0</v>
      </c>
      <c r="J36" s="17">
        <f t="shared" si="12"/>
        <v>0</v>
      </c>
      <c r="K36" s="17">
        <f t="shared" si="12"/>
        <v>0</v>
      </c>
      <c r="L36" s="17">
        <f t="shared" si="1"/>
        <v>12054.4</v>
      </c>
      <c r="M36" s="17">
        <f t="shared" si="2"/>
        <v>6540.7</v>
      </c>
      <c r="N36" s="17">
        <f t="shared" si="3"/>
        <v>578.70000000000005</v>
      </c>
      <c r="O36" s="17">
        <f t="shared" si="4"/>
        <v>5513.7</v>
      </c>
    </row>
    <row r="37" spans="1:15" ht="47.25" x14ac:dyDescent="0.25">
      <c r="A37" s="93" t="s">
        <v>108</v>
      </c>
      <c r="B37" s="96" t="s">
        <v>133</v>
      </c>
      <c r="C37" s="62" t="s">
        <v>49</v>
      </c>
      <c r="D37" s="39">
        <f>+'1 pr. asignavimai'!C75</f>
        <v>2320.5</v>
      </c>
      <c r="E37" s="39">
        <f>+'1 pr. asignavimai'!D75</f>
        <v>1005.6</v>
      </c>
      <c r="F37" s="39">
        <f>+'1 pr. asignavimai'!E75</f>
        <v>7.2</v>
      </c>
      <c r="G37" s="39">
        <f>+'1 pr. asignavimai'!F75</f>
        <v>1314.9</v>
      </c>
      <c r="H37" s="39">
        <f>+'1 pr. asignavimai'!G75</f>
        <v>0</v>
      </c>
      <c r="I37" s="39">
        <f>+'1 pr. asignavimai'!H75</f>
        <v>22.4</v>
      </c>
      <c r="J37" s="39">
        <f>+'1 pr. asignavimai'!I75</f>
        <v>0</v>
      </c>
      <c r="K37" s="39">
        <f>+'1 pr. asignavimai'!J75</f>
        <v>-22.4</v>
      </c>
      <c r="L37" s="39">
        <f t="shared" si="1"/>
        <v>2320.5</v>
      </c>
      <c r="M37" s="39">
        <f t="shared" si="2"/>
        <v>1028</v>
      </c>
      <c r="N37" s="39">
        <f t="shared" si="3"/>
        <v>7.2</v>
      </c>
      <c r="O37" s="39">
        <f t="shared" si="4"/>
        <v>1292.5</v>
      </c>
    </row>
    <row r="38" spans="1:15" ht="45" customHeight="1" x14ac:dyDescent="0.25">
      <c r="A38" s="93"/>
      <c r="B38" s="97"/>
      <c r="C38" s="62" t="s">
        <v>5</v>
      </c>
      <c r="D38" s="39">
        <f>+'1 pr. asignavimai'!C120</f>
        <v>7421.3</v>
      </c>
      <c r="E38" s="39">
        <f>+'1 pr. asignavimai'!D120</f>
        <v>7252.2</v>
      </c>
      <c r="F38" s="39">
        <f>+'1 pr. asignavimai'!E120</f>
        <v>3294.2</v>
      </c>
      <c r="G38" s="39">
        <f>+'1 pr. asignavimai'!F120</f>
        <v>169.1</v>
      </c>
      <c r="H38" s="39">
        <f>+'1 pr. asignavimai'!G120</f>
        <v>0</v>
      </c>
      <c r="I38" s="39">
        <f>+'1 pr. asignavimai'!H120</f>
        <v>0</v>
      </c>
      <c r="J38" s="39">
        <f>+'1 pr. asignavimai'!I120</f>
        <v>-5</v>
      </c>
      <c r="K38" s="39">
        <f>+'1 pr. asignavimai'!J120</f>
        <v>0</v>
      </c>
      <c r="L38" s="39">
        <f t="shared" si="1"/>
        <v>7421.3</v>
      </c>
      <c r="M38" s="39">
        <f t="shared" si="2"/>
        <v>7252.2</v>
      </c>
      <c r="N38" s="39">
        <f t="shared" si="3"/>
        <v>3289.2</v>
      </c>
      <c r="O38" s="39">
        <f t="shared" si="4"/>
        <v>169.1</v>
      </c>
    </row>
    <row r="39" spans="1:15" ht="31.5" x14ac:dyDescent="0.25">
      <c r="A39" s="93"/>
      <c r="B39" s="97"/>
      <c r="C39" s="62" t="s">
        <v>4</v>
      </c>
      <c r="D39" s="39">
        <f>+'1 pr. asignavimai'!C110</f>
        <v>202.8</v>
      </c>
      <c r="E39" s="39">
        <f>+'1 pr. asignavimai'!D110</f>
        <v>157.80000000000001</v>
      </c>
      <c r="F39" s="39">
        <f>+'1 pr. asignavimai'!E110</f>
        <v>0</v>
      </c>
      <c r="G39" s="39">
        <f>+'1 pr. asignavimai'!F110</f>
        <v>45</v>
      </c>
      <c r="H39" s="39">
        <f>+'1 pr. asignavimai'!G110</f>
        <v>0</v>
      </c>
      <c r="I39" s="39">
        <f>+'1 pr. asignavimai'!H110</f>
        <v>0</v>
      </c>
      <c r="J39" s="39">
        <f>+'1 pr. asignavimai'!I110</f>
        <v>0</v>
      </c>
      <c r="K39" s="39">
        <f>+'1 pr. asignavimai'!J110</f>
        <v>0</v>
      </c>
      <c r="L39" s="39">
        <f t="shared" si="1"/>
        <v>202.8</v>
      </c>
      <c r="M39" s="39">
        <f t="shared" si="2"/>
        <v>157.80000000000001</v>
      </c>
      <c r="N39" s="39">
        <f t="shared" si="3"/>
        <v>0</v>
      </c>
      <c r="O39" s="39">
        <f t="shared" si="4"/>
        <v>45</v>
      </c>
    </row>
    <row r="40" spans="1:15" ht="15.75" x14ac:dyDescent="0.25">
      <c r="A40" s="93"/>
      <c r="B40" s="98"/>
      <c r="C40" s="62" t="s">
        <v>95</v>
      </c>
      <c r="D40" s="17">
        <f>SUM(D37:D39)</f>
        <v>9944.6</v>
      </c>
      <c r="E40" s="17">
        <f t="shared" ref="E40:G40" si="13">SUM(E37:E39)</f>
        <v>8415.6</v>
      </c>
      <c r="F40" s="17">
        <f t="shared" si="13"/>
        <v>3301.4</v>
      </c>
      <c r="G40" s="17">
        <f t="shared" si="13"/>
        <v>1529</v>
      </c>
      <c r="H40" s="17">
        <f t="shared" ref="H40:K40" si="14">SUM(H37:H39)</f>
        <v>0</v>
      </c>
      <c r="I40" s="17">
        <f t="shared" si="14"/>
        <v>22.4</v>
      </c>
      <c r="J40" s="17">
        <f t="shared" si="14"/>
        <v>-5</v>
      </c>
      <c r="K40" s="17">
        <f t="shared" si="14"/>
        <v>-22.4</v>
      </c>
      <c r="L40" s="17">
        <f t="shared" si="1"/>
        <v>9944.6</v>
      </c>
      <c r="M40" s="17">
        <f t="shared" si="2"/>
        <v>8438</v>
      </c>
      <c r="N40" s="17">
        <f t="shared" si="3"/>
        <v>3296.4</v>
      </c>
      <c r="O40" s="17">
        <f t="shared" si="4"/>
        <v>1506.6</v>
      </c>
    </row>
    <row r="41" spans="1:15" ht="31.5" x14ac:dyDescent="0.25">
      <c r="A41" s="66" t="s">
        <v>102</v>
      </c>
      <c r="B41" s="40" t="s">
        <v>103</v>
      </c>
      <c r="C41" s="62" t="s">
        <v>3</v>
      </c>
      <c r="D41" s="17">
        <f>+'1 pr. asignavimai'!C44</f>
        <v>271</v>
      </c>
      <c r="E41" s="17">
        <f>+'1 pr. asignavimai'!D44</f>
        <v>271</v>
      </c>
      <c r="F41" s="17">
        <f>+'1 pr. asignavimai'!E44</f>
        <v>0</v>
      </c>
      <c r="G41" s="17">
        <f>+'1 pr. asignavimai'!F44</f>
        <v>0</v>
      </c>
      <c r="H41" s="17">
        <f>+'1 pr. asignavimai'!G44</f>
        <v>0</v>
      </c>
      <c r="I41" s="17">
        <f>+'1 pr. asignavimai'!H44</f>
        <v>0</v>
      </c>
      <c r="J41" s="17">
        <f>+'1 pr. asignavimai'!I44</f>
        <v>0</v>
      </c>
      <c r="K41" s="17">
        <f>+'1 pr. asignavimai'!J44</f>
        <v>0</v>
      </c>
      <c r="L41" s="17">
        <f t="shared" si="1"/>
        <v>271</v>
      </c>
      <c r="M41" s="17">
        <f t="shared" si="2"/>
        <v>271</v>
      </c>
      <c r="N41" s="17">
        <f t="shared" si="3"/>
        <v>0</v>
      </c>
      <c r="O41" s="17">
        <f t="shared" si="4"/>
        <v>0</v>
      </c>
    </row>
    <row r="42" spans="1:15" ht="31.5" x14ac:dyDescent="0.25">
      <c r="A42" s="99" t="s">
        <v>104</v>
      </c>
      <c r="B42" s="96" t="s">
        <v>65</v>
      </c>
      <c r="C42" s="62" t="s">
        <v>3</v>
      </c>
      <c r="D42" s="39">
        <f>+'1 pr. asignavimai'!C45</f>
        <v>163.4</v>
      </c>
      <c r="E42" s="39">
        <f>+'1 pr. asignavimai'!D45</f>
        <v>5.4</v>
      </c>
      <c r="F42" s="39">
        <f>+'1 pr. asignavimai'!E45</f>
        <v>0</v>
      </c>
      <c r="G42" s="39">
        <f>+'1 pr. asignavimai'!F45</f>
        <v>158</v>
      </c>
      <c r="H42" s="39">
        <f>+'1 pr. asignavimai'!G45</f>
        <v>0</v>
      </c>
      <c r="I42" s="39">
        <f>+'1 pr. asignavimai'!H45</f>
        <v>0</v>
      </c>
      <c r="J42" s="39">
        <f>+'1 pr. asignavimai'!I45</f>
        <v>0</v>
      </c>
      <c r="K42" s="39">
        <f>+'1 pr. asignavimai'!J45</f>
        <v>0</v>
      </c>
      <c r="L42" s="39">
        <f t="shared" si="1"/>
        <v>163.4</v>
      </c>
      <c r="M42" s="39">
        <f t="shared" si="2"/>
        <v>5.4</v>
      </c>
      <c r="N42" s="39">
        <f t="shared" si="3"/>
        <v>0</v>
      </c>
      <c r="O42" s="39">
        <f t="shared" si="4"/>
        <v>158</v>
      </c>
    </row>
    <row r="43" spans="1:15" ht="47.25" x14ac:dyDescent="0.25">
      <c r="A43" s="94"/>
      <c r="B43" s="100"/>
      <c r="C43" s="62" t="s">
        <v>49</v>
      </c>
      <c r="D43" s="39">
        <f>+'1 pr. asignavimai'!C79</f>
        <v>5047.6000000000004</v>
      </c>
      <c r="E43" s="39">
        <f>+'1 pr. asignavimai'!D79</f>
        <v>347.1</v>
      </c>
      <c r="F43" s="39">
        <f>+'1 pr. asignavimai'!E79</f>
        <v>2.1</v>
      </c>
      <c r="G43" s="39">
        <f>+'1 pr. asignavimai'!F79</f>
        <v>4700.5</v>
      </c>
      <c r="H43" s="39">
        <f>+'1 pr. asignavimai'!G79</f>
        <v>0</v>
      </c>
      <c r="I43" s="39">
        <f>+'1 pr. asignavimai'!H79</f>
        <v>0</v>
      </c>
      <c r="J43" s="39">
        <f>+'1 pr. asignavimai'!I79</f>
        <v>0</v>
      </c>
      <c r="K43" s="39">
        <f>+'1 pr. asignavimai'!J79</f>
        <v>0</v>
      </c>
      <c r="L43" s="39">
        <f t="shared" si="1"/>
        <v>5047.6000000000004</v>
      </c>
      <c r="M43" s="39">
        <f t="shared" si="2"/>
        <v>347.1</v>
      </c>
      <c r="N43" s="39">
        <f t="shared" si="3"/>
        <v>2.1</v>
      </c>
      <c r="O43" s="39">
        <f t="shared" si="4"/>
        <v>4700.5</v>
      </c>
    </row>
    <row r="44" spans="1:15" ht="31.5" x14ac:dyDescent="0.25">
      <c r="A44" s="94"/>
      <c r="B44" s="100"/>
      <c r="C44" s="62" t="s">
        <v>4</v>
      </c>
      <c r="D44" s="39">
        <f>+'1 pr. asignavimai'!C111</f>
        <v>5317</v>
      </c>
      <c r="E44" s="39">
        <f>+'1 pr. asignavimai'!D111</f>
        <v>3715</v>
      </c>
      <c r="F44" s="39">
        <f>+'1 pr. asignavimai'!E111</f>
        <v>0</v>
      </c>
      <c r="G44" s="39">
        <f>+'1 pr. asignavimai'!F111</f>
        <v>1602</v>
      </c>
      <c r="H44" s="39">
        <f>+'1 pr. asignavimai'!G111</f>
        <v>0</v>
      </c>
      <c r="I44" s="39">
        <f>+'1 pr. asignavimai'!H111</f>
        <v>0</v>
      </c>
      <c r="J44" s="39">
        <f>+'1 pr. asignavimai'!I111</f>
        <v>0</v>
      </c>
      <c r="K44" s="39">
        <f>+'1 pr. asignavimai'!J111</f>
        <v>0</v>
      </c>
      <c r="L44" s="39">
        <f t="shared" si="1"/>
        <v>5317</v>
      </c>
      <c r="M44" s="39">
        <f t="shared" si="2"/>
        <v>3715</v>
      </c>
      <c r="N44" s="39">
        <f t="shared" si="3"/>
        <v>0</v>
      </c>
      <c r="O44" s="39">
        <f t="shared" si="4"/>
        <v>1602</v>
      </c>
    </row>
    <row r="45" spans="1:15" ht="48" customHeight="1" x14ac:dyDescent="0.25">
      <c r="A45" s="94"/>
      <c r="B45" s="100"/>
      <c r="C45" s="62" t="s">
        <v>5</v>
      </c>
      <c r="D45" s="39">
        <f>+'1 pr. asignavimai'!C124</f>
        <v>78611.399999999994</v>
      </c>
      <c r="E45" s="39">
        <f>+'1 pr. asignavimai'!D124</f>
        <v>78294.100000000006</v>
      </c>
      <c r="F45" s="39">
        <f>+'1 pr. asignavimai'!E124</f>
        <v>67353</v>
      </c>
      <c r="G45" s="39">
        <f>+'1 pr. asignavimai'!F124</f>
        <v>317.3</v>
      </c>
      <c r="H45" s="39">
        <f>+'1 pr. asignavimai'!G124</f>
        <v>730.3</v>
      </c>
      <c r="I45" s="39">
        <f>+'1 pr. asignavimai'!H124</f>
        <v>730.3</v>
      </c>
      <c r="J45" s="39">
        <f>+'1 pr. asignavimai'!I124</f>
        <v>-188.7</v>
      </c>
      <c r="K45" s="39">
        <f>+'1 pr. asignavimai'!J124</f>
        <v>0</v>
      </c>
      <c r="L45" s="39">
        <f t="shared" si="1"/>
        <v>79341.7</v>
      </c>
      <c r="M45" s="39">
        <f t="shared" si="2"/>
        <v>79024.399999999994</v>
      </c>
      <c r="N45" s="39">
        <f t="shared" si="3"/>
        <v>67164.3</v>
      </c>
      <c r="O45" s="39">
        <f t="shared" si="4"/>
        <v>317.3</v>
      </c>
    </row>
    <row r="46" spans="1:15" ht="15.75" x14ac:dyDescent="0.25">
      <c r="A46" s="95"/>
      <c r="B46" s="101"/>
      <c r="C46" s="62" t="s">
        <v>95</v>
      </c>
      <c r="D46" s="17">
        <f>SUM(D42:D45)</f>
        <v>89139.4</v>
      </c>
      <c r="E46" s="17">
        <f t="shared" ref="E46:G46" si="15">SUM(E42:E45)</f>
        <v>82361.600000000006</v>
      </c>
      <c r="F46" s="17">
        <f t="shared" si="15"/>
        <v>67355.100000000006</v>
      </c>
      <c r="G46" s="17">
        <f t="shared" si="15"/>
        <v>6777.8</v>
      </c>
      <c r="H46" s="17">
        <f t="shared" ref="H46:K46" si="16">SUM(H42:H45)</f>
        <v>730.3</v>
      </c>
      <c r="I46" s="17">
        <f t="shared" si="16"/>
        <v>730.3</v>
      </c>
      <c r="J46" s="17">
        <f t="shared" si="16"/>
        <v>-188.7</v>
      </c>
      <c r="K46" s="17">
        <f t="shared" si="16"/>
        <v>0</v>
      </c>
      <c r="L46" s="17">
        <f t="shared" si="1"/>
        <v>89869.7</v>
      </c>
      <c r="M46" s="17">
        <f t="shared" si="2"/>
        <v>83091.899999999994</v>
      </c>
      <c r="N46" s="17">
        <f t="shared" si="3"/>
        <v>67166.399999999994</v>
      </c>
      <c r="O46" s="17">
        <f t="shared" si="4"/>
        <v>6777.8</v>
      </c>
    </row>
    <row r="47" spans="1:15" ht="31.5" x14ac:dyDescent="0.25">
      <c r="A47" s="99" t="s">
        <v>105</v>
      </c>
      <c r="B47" s="96" t="s">
        <v>69</v>
      </c>
      <c r="C47" s="62" t="s">
        <v>3</v>
      </c>
      <c r="D47" s="39">
        <f>+'1 pr. asignavimai'!C46</f>
        <v>12.6</v>
      </c>
      <c r="E47" s="39">
        <f>+'1 pr. asignavimai'!D46</f>
        <v>0</v>
      </c>
      <c r="F47" s="39">
        <f>+'1 pr. asignavimai'!E46</f>
        <v>0</v>
      </c>
      <c r="G47" s="39">
        <f>+'1 pr. asignavimai'!F46</f>
        <v>12.6</v>
      </c>
      <c r="H47" s="39">
        <f>+'1 pr. asignavimai'!G46</f>
        <v>0</v>
      </c>
      <c r="I47" s="39">
        <f>+'1 pr. asignavimai'!H46</f>
        <v>0</v>
      </c>
      <c r="J47" s="39">
        <f>+'1 pr. asignavimai'!I46</f>
        <v>0</v>
      </c>
      <c r="K47" s="39">
        <f>+'1 pr. asignavimai'!J46</f>
        <v>0</v>
      </c>
      <c r="L47" s="39">
        <f t="shared" si="1"/>
        <v>12.6</v>
      </c>
      <c r="M47" s="39">
        <f t="shared" si="2"/>
        <v>0</v>
      </c>
      <c r="N47" s="39">
        <f t="shared" si="3"/>
        <v>0</v>
      </c>
      <c r="O47" s="39">
        <f t="shared" si="4"/>
        <v>12.6</v>
      </c>
    </row>
    <row r="48" spans="1:15" ht="53.25" customHeight="1" x14ac:dyDescent="0.25">
      <c r="A48" s="94"/>
      <c r="B48" s="100"/>
      <c r="C48" s="62" t="s">
        <v>49</v>
      </c>
      <c r="D48" s="39">
        <f>+'1 pr. asignavimai'!C84</f>
        <v>1428.6</v>
      </c>
      <c r="E48" s="39">
        <f>+'1 pr. asignavimai'!D84</f>
        <v>0</v>
      </c>
      <c r="F48" s="39">
        <f>+'1 pr. asignavimai'!E84</f>
        <v>0</v>
      </c>
      <c r="G48" s="39">
        <f>+'1 pr. asignavimai'!F84</f>
        <v>1428.6</v>
      </c>
      <c r="H48" s="39">
        <f>+'1 pr. asignavimai'!G84</f>
        <v>0</v>
      </c>
      <c r="I48" s="39">
        <f>+'1 pr. asignavimai'!H84</f>
        <v>0</v>
      </c>
      <c r="J48" s="39">
        <f>+'1 pr. asignavimai'!I84</f>
        <v>0</v>
      </c>
      <c r="K48" s="39">
        <f>+'1 pr. asignavimai'!J84</f>
        <v>0</v>
      </c>
      <c r="L48" s="39">
        <f t="shared" si="1"/>
        <v>1428.6</v>
      </c>
      <c r="M48" s="39">
        <f t="shared" si="2"/>
        <v>0</v>
      </c>
      <c r="N48" s="39">
        <f t="shared" si="3"/>
        <v>0</v>
      </c>
      <c r="O48" s="39">
        <f t="shared" si="4"/>
        <v>1428.6</v>
      </c>
    </row>
    <row r="49" spans="1:15" ht="31.5" x14ac:dyDescent="0.25">
      <c r="A49" s="94"/>
      <c r="B49" s="100"/>
      <c r="C49" s="62" t="s">
        <v>4</v>
      </c>
      <c r="D49" s="39">
        <f>+'1 pr. asignavimai'!C116</f>
        <v>218.7</v>
      </c>
      <c r="E49" s="39">
        <f>+'1 pr. asignavimai'!D116</f>
        <v>218.7</v>
      </c>
      <c r="F49" s="39">
        <f>+'1 pr. asignavimai'!E116</f>
        <v>0</v>
      </c>
      <c r="G49" s="39">
        <f>+'1 pr. asignavimai'!F116</f>
        <v>0</v>
      </c>
      <c r="H49" s="39">
        <f>+'1 pr. asignavimai'!G116</f>
        <v>0</v>
      </c>
      <c r="I49" s="39">
        <f>+'1 pr. asignavimai'!H116</f>
        <v>0</v>
      </c>
      <c r="J49" s="39">
        <f>+'1 pr. asignavimai'!I116</f>
        <v>0</v>
      </c>
      <c r="K49" s="39">
        <f>+'1 pr. asignavimai'!J116</f>
        <v>0</v>
      </c>
      <c r="L49" s="39">
        <f t="shared" si="1"/>
        <v>218.7</v>
      </c>
      <c r="M49" s="39">
        <f t="shared" si="2"/>
        <v>218.7</v>
      </c>
      <c r="N49" s="39">
        <f t="shared" si="3"/>
        <v>0</v>
      </c>
      <c r="O49" s="39">
        <f t="shared" si="4"/>
        <v>0</v>
      </c>
    </row>
    <row r="50" spans="1:15" ht="46.5" customHeight="1" x14ac:dyDescent="0.25">
      <c r="A50" s="94"/>
      <c r="B50" s="100"/>
      <c r="C50" s="62" t="s">
        <v>5</v>
      </c>
      <c r="D50" s="39">
        <f>+'1 pr. asignavimai'!C133</f>
        <v>8003.2</v>
      </c>
      <c r="E50" s="39">
        <f>+'1 pr. asignavimai'!D133</f>
        <v>7820.6</v>
      </c>
      <c r="F50" s="39">
        <f>+'1 pr. asignavimai'!E133</f>
        <v>3852.5</v>
      </c>
      <c r="G50" s="39">
        <f>+'1 pr. asignavimai'!F133</f>
        <v>182.6</v>
      </c>
      <c r="H50" s="39">
        <f>+'1 pr. asignavimai'!G133</f>
        <v>0</v>
      </c>
      <c r="I50" s="39">
        <f>+'1 pr. asignavimai'!H133</f>
        <v>0</v>
      </c>
      <c r="J50" s="39">
        <f>+'1 pr. asignavimai'!I133</f>
        <v>0</v>
      </c>
      <c r="K50" s="39">
        <f>+'1 pr. asignavimai'!J133</f>
        <v>0</v>
      </c>
      <c r="L50" s="39">
        <f t="shared" si="1"/>
        <v>8003.2</v>
      </c>
      <c r="M50" s="39">
        <f t="shared" si="2"/>
        <v>7820.6</v>
      </c>
      <c r="N50" s="39">
        <f t="shared" si="3"/>
        <v>3852.5</v>
      </c>
      <c r="O50" s="39">
        <f t="shared" si="4"/>
        <v>182.6</v>
      </c>
    </row>
    <row r="51" spans="1:15" ht="39" customHeight="1" x14ac:dyDescent="0.25">
      <c r="A51" s="94"/>
      <c r="B51" s="100"/>
      <c r="C51" s="62" t="s">
        <v>6</v>
      </c>
      <c r="D51" s="39">
        <f>+'1 pr. asignavimai'!C165</f>
        <v>10.4</v>
      </c>
      <c r="E51" s="39">
        <f>+'1 pr. asignavimai'!D165</f>
        <v>10.4</v>
      </c>
      <c r="F51" s="39">
        <f>+'1 pr. asignavimai'!E165</f>
        <v>2</v>
      </c>
      <c r="G51" s="39">
        <f>+'1 pr. asignavimai'!F165</f>
        <v>0</v>
      </c>
      <c r="H51" s="39">
        <f>+'1 pr. asignavimai'!G165</f>
        <v>0</v>
      </c>
      <c r="I51" s="39">
        <f>+'1 pr. asignavimai'!H165</f>
        <v>0</v>
      </c>
      <c r="J51" s="39">
        <f>+'1 pr. asignavimai'!I165</f>
        <v>0</v>
      </c>
      <c r="K51" s="39">
        <f>+'1 pr. asignavimai'!J165</f>
        <v>0</v>
      </c>
      <c r="L51" s="39">
        <f t="shared" si="1"/>
        <v>10.4</v>
      </c>
      <c r="M51" s="39">
        <f t="shared" si="2"/>
        <v>10.4</v>
      </c>
      <c r="N51" s="39">
        <f t="shared" si="3"/>
        <v>2</v>
      </c>
      <c r="O51" s="39">
        <f t="shared" si="4"/>
        <v>0</v>
      </c>
    </row>
    <row r="52" spans="1:15" ht="21.75" customHeight="1" x14ac:dyDescent="0.25">
      <c r="A52" s="95"/>
      <c r="B52" s="101"/>
      <c r="C52" s="62" t="s">
        <v>95</v>
      </c>
      <c r="D52" s="17">
        <f>SUM(D47:D51)</f>
        <v>9673.5</v>
      </c>
      <c r="E52" s="17">
        <f t="shared" ref="E52:G52" si="17">SUM(E47:E51)</f>
        <v>8049.7</v>
      </c>
      <c r="F52" s="17">
        <f t="shared" si="17"/>
        <v>3854.5</v>
      </c>
      <c r="G52" s="17">
        <f t="shared" si="17"/>
        <v>1623.8</v>
      </c>
      <c r="H52" s="17">
        <f t="shared" ref="H52:K52" si="18">SUM(H47:H51)</f>
        <v>0</v>
      </c>
      <c r="I52" s="17">
        <f t="shared" si="18"/>
        <v>0</v>
      </c>
      <c r="J52" s="17">
        <f t="shared" si="18"/>
        <v>0</v>
      </c>
      <c r="K52" s="17">
        <f t="shared" si="18"/>
        <v>0</v>
      </c>
      <c r="L52" s="17">
        <f t="shared" si="1"/>
        <v>9673.5</v>
      </c>
      <c r="M52" s="17">
        <f t="shared" si="2"/>
        <v>8049.7</v>
      </c>
      <c r="N52" s="17">
        <f t="shared" si="3"/>
        <v>3854.5</v>
      </c>
      <c r="O52" s="17">
        <f t="shared" si="4"/>
        <v>1623.8</v>
      </c>
    </row>
    <row r="53" spans="1:15" ht="34.5" customHeight="1" x14ac:dyDescent="0.25">
      <c r="A53" s="99" t="s">
        <v>106</v>
      </c>
      <c r="B53" s="96" t="s">
        <v>72</v>
      </c>
      <c r="C53" s="62" t="s">
        <v>3</v>
      </c>
      <c r="D53" s="39">
        <f>+'1 pr. asignavimai'!C47</f>
        <v>414.2</v>
      </c>
      <c r="E53" s="39">
        <f>+'1 pr. asignavimai'!D47</f>
        <v>0</v>
      </c>
      <c r="F53" s="39">
        <f>+'1 pr. asignavimai'!E47</f>
        <v>0</v>
      </c>
      <c r="G53" s="39">
        <f>+'1 pr. asignavimai'!F47</f>
        <v>414.2</v>
      </c>
      <c r="H53" s="39">
        <f>+'1 pr. asignavimai'!G47</f>
        <v>0</v>
      </c>
      <c r="I53" s="39">
        <f>+'1 pr. asignavimai'!H47</f>
        <v>0</v>
      </c>
      <c r="J53" s="39">
        <f>+'1 pr. asignavimai'!I47</f>
        <v>0</v>
      </c>
      <c r="K53" s="39">
        <f>+'1 pr. asignavimai'!J47</f>
        <v>0</v>
      </c>
      <c r="L53" s="39">
        <f t="shared" si="1"/>
        <v>414.2</v>
      </c>
      <c r="M53" s="39">
        <f t="shared" si="2"/>
        <v>0</v>
      </c>
      <c r="N53" s="39">
        <f t="shared" si="3"/>
        <v>0</v>
      </c>
      <c r="O53" s="39">
        <f t="shared" si="4"/>
        <v>414.2</v>
      </c>
    </row>
    <row r="54" spans="1:15" ht="54.75" customHeight="1" x14ac:dyDescent="0.25">
      <c r="A54" s="94"/>
      <c r="B54" s="100"/>
      <c r="C54" s="62" t="s">
        <v>49</v>
      </c>
      <c r="D54" s="39">
        <f>+'1 pr. asignavimai'!C89</f>
        <v>2801</v>
      </c>
      <c r="E54" s="39">
        <f>+'1 pr. asignavimai'!D89</f>
        <v>89.8</v>
      </c>
      <c r="F54" s="39">
        <f>+'1 pr. asignavimai'!E89</f>
        <v>1.4</v>
      </c>
      <c r="G54" s="39">
        <f>+'1 pr. asignavimai'!F89</f>
        <v>2711.2</v>
      </c>
      <c r="H54" s="39">
        <f>+'1 pr. asignavimai'!G89</f>
        <v>0</v>
      </c>
      <c r="I54" s="39">
        <f>+'1 pr. asignavimai'!H89</f>
        <v>13.5</v>
      </c>
      <c r="J54" s="39">
        <f>+'1 pr. asignavimai'!I89</f>
        <v>0</v>
      </c>
      <c r="K54" s="39">
        <f>+'1 pr. asignavimai'!J89</f>
        <v>-13.5</v>
      </c>
      <c r="L54" s="39">
        <f t="shared" si="1"/>
        <v>2801</v>
      </c>
      <c r="M54" s="39">
        <f t="shared" si="2"/>
        <v>103.3</v>
      </c>
      <c r="N54" s="39">
        <f t="shared" si="3"/>
        <v>1.4</v>
      </c>
      <c r="O54" s="39">
        <f t="shared" si="4"/>
        <v>2697.7</v>
      </c>
    </row>
    <row r="55" spans="1:15" ht="36.75" customHeight="1" x14ac:dyDescent="0.25">
      <c r="A55" s="94"/>
      <c r="B55" s="100"/>
      <c r="C55" s="62" t="s">
        <v>4</v>
      </c>
      <c r="D55" s="39">
        <f>+'1 pr. asignavimai'!C117</f>
        <v>183.6</v>
      </c>
      <c r="E55" s="39">
        <f>+'1 pr. asignavimai'!D117</f>
        <v>160.19999999999999</v>
      </c>
      <c r="F55" s="39">
        <f>+'1 pr. asignavimai'!E117</f>
        <v>0</v>
      </c>
      <c r="G55" s="39">
        <f>+'1 pr. asignavimai'!F117</f>
        <v>23.4</v>
      </c>
      <c r="H55" s="39">
        <f>+'1 pr. asignavimai'!G117</f>
        <v>0</v>
      </c>
      <c r="I55" s="39">
        <f>+'1 pr. asignavimai'!H117</f>
        <v>0</v>
      </c>
      <c r="J55" s="39">
        <f>+'1 pr. asignavimai'!I117</f>
        <v>0</v>
      </c>
      <c r="K55" s="39">
        <f>+'1 pr. asignavimai'!J117</f>
        <v>0</v>
      </c>
      <c r="L55" s="39">
        <f t="shared" si="1"/>
        <v>183.6</v>
      </c>
      <c r="M55" s="39">
        <f t="shared" si="2"/>
        <v>160.19999999999999</v>
      </c>
      <c r="N55" s="39">
        <f t="shared" si="3"/>
        <v>0</v>
      </c>
      <c r="O55" s="39">
        <f t="shared" si="4"/>
        <v>23.4</v>
      </c>
    </row>
    <row r="56" spans="1:15" ht="36" customHeight="1" x14ac:dyDescent="0.25">
      <c r="A56" s="94"/>
      <c r="B56" s="100"/>
      <c r="C56" s="62" t="s">
        <v>6</v>
      </c>
      <c r="D56" s="39">
        <f>+'1 pr. asignavimai'!C138</f>
        <v>17027.099999999999</v>
      </c>
      <c r="E56" s="39">
        <f>+'1 pr. asignavimai'!D138</f>
        <v>16933.3</v>
      </c>
      <c r="F56" s="39">
        <f>+'1 pr. asignavimai'!E138</f>
        <v>7219.9</v>
      </c>
      <c r="G56" s="39">
        <f>+'1 pr. asignavimai'!F138</f>
        <v>93.8</v>
      </c>
      <c r="H56" s="39">
        <f>+'1 pr. asignavimai'!G138</f>
        <v>50.6</v>
      </c>
      <c r="I56" s="39">
        <f>+'1 pr. asignavimai'!H138</f>
        <v>46.3</v>
      </c>
      <c r="J56" s="39">
        <f>+'1 pr. asignavimai'!I138</f>
        <v>20.3</v>
      </c>
      <c r="K56" s="39">
        <f>+'1 pr. asignavimai'!J138</f>
        <v>4.3</v>
      </c>
      <c r="L56" s="39">
        <f t="shared" si="1"/>
        <v>17077.7</v>
      </c>
      <c r="M56" s="39">
        <f t="shared" si="2"/>
        <v>16979.599999999999</v>
      </c>
      <c r="N56" s="39">
        <f t="shared" si="3"/>
        <v>7240.2</v>
      </c>
      <c r="O56" s="39">
        <f t="shared" si="4"/>
        <v>98.1</v>
      </c>
    </row>
    <row r="57" spans="1:15" ht="21" customHeight="1" x14ac:dyDescent="0.25">
      <c r="A57" s="95"/>
      <c r="B57" s="101"/>
      <c r="C57" s="62" t="s">
        <v>95</v>
      </c>
      <c r="D57" s="17">
        <f>SUM(D53:D56)</f>
        <v>20425.900000000001</v>
      </c>
      <c r="E57" s="17">
        <f t="shared" ref="E57:G57" si="19">SUM(E53:E56)</f>
        <v>17183.3</v>
      </c>
      <c r="F57" s="17">
        <f t="shared" si="19"/>
        <v>7221.3</v>
      </c>
      <c r="G57" s="17">
        <f t="shared" si="19"/>
        <v>3242.6</v>
      </c>
      <c r="H57" s="17">
        <f t="shared" ref="H57:K57" si="20">SUM(H53:H56)</f>
        <v>50.6</v>
      </c>
      <c r="I57" s="17">
        <f t="shared" si="20"/>
        <v>59.8</v>
      </c>
      <c r="J57" s="17">
        <f t="shared" si="20"/>
        <v>20.3</v>
      </c>
      <c r="K57" s="17">
        <f t="shared" si="20"/>
        <v>-9.1999999999999993</v>
      </c>
      <c r="L57" s="17">
        <f t="shared" si="1"/>
        <v>20476.5</v>
      </c>
      <c r="M57" s="17">
        <f t="shared" si="2"/>
        <v>17243.099999999999</v>
      </c>
      <c r="N57" s="17">
        <f t="shared" si="3"/>
        <v>7241.6</v>
      </c>
      <c r="O57" s="17">
        <f t="shared" si="4"/>
        <v>3233.4</v>
      </c>
    </row>
    <row r="58" spans="1:15" ht="28.5" customHeight="1" x14ac:dyDescent="0.25">
      <c r="A58" s="67"/>
      <c r="B58" s="96" t="s">
        <v>78</v>
      </c>
      <c r="C58" s="62" t="s">
        <v>3</v>
      </c>
      <c r="D58" s="39">
        <f>+'1 pr. asignavimai'!C48</f>
        <v>150</v>
      </c>
      <c r="E58" s="39">
        <f>+'1 pr. asignavimai'!D48</f>
        <v>0</v>
      </c>
      <c r="F58" s="39">
        <f>+'1 pr. asignavimai'!E48</f>
        <v>0</v>
      </c>
      <c r="G58" s="39">
        <f>+'1 pr. asignavimai'!F48</f>
        <v>150</v>
      </c>
      <c r="H58" s="39">
        <f>+'1 pr. asignavimai'!G48</f>
        <v>0</v>
      </c>
      <c r="I58" s="39">
        <f>+'1 pr. asignavimai'!H48</f>
        <v>0</v>
      </c>
      <c r="J58" s="39">
        <f>+'1 pr. asignavimai'!I48</f>
        <v>0</v>
      </c>
      <c r="K58" s="39">
        <f>+'1 pr. asignavimai'!J48</f>
        <v>0</v>
      </c>
      <c r="L58" s="39">
        <f t="shared" si="1"/>
        <v>150</v>
      </c>
      <c r="M58" s="39">
        <f t="shared" si="2"/>
        <v>0</v>
      </c>
      <c r="N58" s="39">
        <f t="shared" si="3"/>
        <v>0</v>
      </c>
      <c r="O58" s="39">
        <f t="shared" si="4"/>
        <v>150</v>
      </c>
    </row>
    <row r="59" spans="1:15" ht="47.25" x14ac:dyDescent="0.25">
      <c r="A59" s="94" t="s">
        <v>139</v>
      </c>
      <c r="B59" s="100"/>
      <c r="C59" s="62" t="s">
        <v>49</v>
      </c>
      <c r="D59" s="39">
        <f>+'1 pr. asignavimai'!C93</f>
        <v>613.9</v>
      </c>
      <c r="E59" s="39">
        <f>+'1 pr. asignavimai'!D93</f>
        <v>0</v>
      </c>
      <c r="F59" s="39">
        <f>+'1 pr. asignavimai'!E93</f>
        <v>0</v>
      </c>
      <c r="G59" s="39">
        <f>+'1 pr. asignavimai'!F93</f>
        <v>613.9</v>
      </c>
      <c r="H59" s="39">
        <f>+'1 pr. asignavimai'!G93</f>
        <v>0</v>
      </c>
      <c r="I59" s="39">
        <f>+'1 pr. asignavimai'!H93</f>
        <v>166.9</v>
      </c>
      <c r="J59" s="39">
        <f>+'1 pr. asignavimai'!I93</f>
        <v>0</v>
      </c>
      <c r="K59" s="39">
        <f>+'1 pr. asignavimai'!J93</f>
        <v>-166.9</v>
      </c>
      <c r="L59" s="39">
        <f t="shared" si="1"/>
        <v>613.9</v>
      </c>
      <c r="M59" s="39">
        <f t="shared" si="2"/>
        <v>166.9</v>
      </c>
      <c r="N59" s="39">
        <f t="shared" si="3"/>
        <v>0</v>
      </c>
      <c r="O59" s="39">
        <f t="shared" si="4"/>
        <v>447</v>
      </c>
    </row>
    <row r="60" spans="1:15" ht="31.5" x14ac:dyDescent="0.25">
      <c r="A60" s="94"/>
      <c r="B60" s="100"/>
      <c r="C60" s="62" t="s">
        <v>4</v>
      </c>
      <c r="D60" s="39">
        <f>+'1 pr. asignavimai'!C118</f>
        <v>183.9</v>
      </c>
      <c r="E60" s="39">
        <f>+'1 pr. asignavimai'!D118</f>
        <v>3</v>
      </c>
      <c r="F60" s="39">
        <f>+'1 pr. asignavimai'!E118</f>
        <v>0</v>
      </c>
      <c r="G60" s="39">
        <f>+'1 pr. asignavimai'!F118</f>
        <v>180.9</v>
      </c>
      <c r="H60" s="39">
        <f>+'1 pr. asignavimai'!G118</f>
        <v>0</v>
      </c>
      <c r="I60" s="39">
        <f>+'1 pr. asignavimai'!H118</f>
        <v>0</v>
      </c>
      <c r="J60" s="39">
        <f>+'1 pr. asignavimai'!I118</f>
        <v>0</v>
      </c>
      <c r="K60" s="39">
        <f>+'1 pr. asignavimai'!J118</f>
        <v>0</v>
      </c>
      <c r="L60" s="39">
        <f t="shared" si="1"/>
        <v>183.9</v>
      </c>
      <c r="M60" s="39">
        <f t="shared" si="2"/>
        <v>3</v>
      </c>
      <c r="N60" s="39">
        <f t="shared" si="3"/>
        <v>0</v>
      </c>
      <c r="O60" s="39">
        <f t="shared" si="4"/>
        <v>180.9</v>
      </c>
    </row>
    <row r="61" spans="1:15" ht="31.5" x14ac:dyDescent="0.25">
      <c r="A61" s="94"/>
      <c r="B61" s="100"/>
      <c r="C61" s="62" t="s">
        <v>6</v>
      </c>
      <c r="D61" s="39">
        <f>+'1 pr. asignavimai'!C152</f>
        <v>2804.7</v>
      </c>
      <c r="E61" s="39">
        <f>+'1 pr. asignavimai'!D152</f>
        <v>2774.3</v>
      </c>
      <c r="F61" s="39">
        <f>+'1 pr. asignavimai'!E152</f>
        <v>2022.4</v>
      </c>
      <c r="G61" s="39">
        <f>+'1 pr. asignavimai'!F152</f>
        <v>30.4</v>
      </c>
      <c r="H61" s="39">
        <f>+'1 pr. asignavimai'!G152</f>
        <v>0</v>
      </c>
      <c r="I61" s="39">
        <f>+'1 pr. asignavimai'!H152</f>
        <v>0</v>
      </c>
      <c r="J61" s="39">
        <f>+'1 pr. asignavimai'!I152</f>
        <v>0</v>
      </c>
      <c r="K61" s="39">
        <f>+'1 pr. asignavimai'!J152</f>
        <v>0</v>
      </c>
      <c r="L61" s="39">
        <f t="shared" si="1"/>
        <v>2804.7</v>
      </c>
      <c r="M61" s="39">
        <f t="shared" si="2"/>
        <v>2774.3</v>
      </c>
      <c r="N61" s="39">
        <f t="shared" si="3"/>
        <v>2022.4</v>
      </c>
      <c r="O61" s="39">
        <f t="shared" si="4"/>
        <v>30.4</v>
      </c>
    </row>
    <row r="62" spans="1:15" ht="15.75" x14ac:dyDescent="0.25">
      <c r="A62" s="95"/>
      <c r="B62" s="101"/>
      <c r="C62" s="62" t="s">
        <v>95</v>
      </c>
      <c r="D62" s="17">
        <f>SUM(D58:D61)</f>
        <v>3752.5</v>
      </c>
      <c r="E62" s="17">
        <f t="shared" ref="E62:G62" si="21">SUM(E58:E61)</f>
        <v>2777.3</v>
      </c>
      <c r="F62" s="17">
        <f t="shared" si="21"/>
        <v>2022.4</v>
      </c>
      <c r="G62" s="17">
        <f t="shared" si="21"/>
        <v>975.2</v>
      </c>
      <c r="H62" s="17">
        <f t="shared" ref="H62:K62" si="22">SUM(H58:H61)</f>
        <v>0</v>
      </c>
      <c r="I62" s="17">
        <f t="shared" si="22"/>
        <v>166.9</v>
      </c>
      <c r="J62" s="17">
        <f t="shared" si="22"/>
        <v>0</v>
      </c>
      <c r="K62" s="17">
        <f t="shared" si="22"/>
        <v>-166.9</v>
      </c>
      <c r="L62" s="17">
        <f t="shared" si="1"/>
        <v>3752.5</v>
      </c>
      <c r="M62" s="17">
        <f t="shared" si="2"/>
        <v>2944.2</v>
      </c>
      <c r="N62" s="17">
        <f t="shared" si="3"/>
        <v>2022.4</v>
      </c>
      <c r="O62" s="17">
        <f t="shared" si="4"/>
        <v>808.3</v>
      </c>
    </row>
    <row r="63" spans="1:15" ht="15.75" x14ac:dyDescent="0.25">
      <c r="A63" s="63" t="s">
        <v>92</v>
      </c>
      <c r="B63" s="6" t="s">
        <v>107</v>
      </c>
      <c r="C63" s="6"/>
      <c r="D63" s="17">
        <f>+D19+D20+D24+D25+D28+D32+D36+D40+D41+D46+D52+D57+D62</f>
        <v>186459.6</v>
      </c>
      <c r="E63" s="17">
        <f t="shared" ref="E63:O63" si="23">+E19+E20+E24+E25+E28+E32+E36+E40+E41+E46+E52+E57+E62</f>
        <v>153397.6</v>
      </c>
      <c r="F63" s="17">
        <f t="shared" si="23"/>
        <v>92862.8</v>
      </c>
      <c r="G63" s="17">
        <f t="shared" si="23"/>
        <v>33062</v>
      </c>
      <c r="H63" s="17">
        <f t="shared" si="23"/>
        <v>5494.6</v>
      </c>
      <c r="I63" s="17">
        <f t="shared" si="23"/>
        <v>2911</v>
      </c>
      <c r="J63" s="17">
        <f t="shared" si="23"/>
        <v>-145.9</v>
      </c>
      <c r="K63" s="17">
        <f t="shared" si="23"/>
        <v>2583.6</v>
      </c>
      <c r="L63" s="17">
        <f t="shared" si="23"/>
        <v>191954.2</v>
      </c>
      <c r="M63" s="17">
        <f t="shared" si="23"/>
        <v>156308.6</v>
      </c>
      <c r="N63" s="17">
        <f t="shared" si="23"/>
        <v>92716.9</v>
      </c>
      <c r="O63" s="17">
        <f t="shared" si="23"/>
        <v>35645.599999999999</v>
      </c>
    </row>
    <row r="64" spans="1:15" ht="15.75" x14ac:dyDescent="0.25">
      <c r="A64" s="63" t="s">
        <v>206</v>
      </c>
      <c r="B64" s="79"/>
      <c r="C64" s="62" t="s">
        <v>2</v>
      </c>
      <c r="D64" s="31"/>
      <c r="E64" s="31"/>
      <c r="F64" s="31"/>
      <c r="G64" s="31"/>
      <c r="H64" s="31"/>
      <c r="I64" s="31"/>
      <c r="J64" s="31"/>
      <c r="K64" s="31"/>
      <c r="L64" s="17">
        <f t="shared" si="1"/>
        <v>0</v>
      </c>
      <c r="M64" s="17">
        <f t="shared" si="2"/>
        <v>0</v>
      </c>
      <c r="N64" s="17">
        <f t="shared" si="3"/>
        <v>0</v>
      </c>
      <c r="O64" s="17">
        <f t="shared" si="4"/>
        <v>0</v>
      </c>
    </row>
    <row r="65" spans="1:15" ht="15.75" x14ac:dyDescent="0.25">
      <c r="A65" s="63" t="s">
        <v>207</v>
      </c>
      <c r="B65" s="79"/>
      <c r="C65" s="5" t="s">
        <v>205</v>
      </c>
      <c r="D65" s="31">
        <f>+E65+G65</f>
        <v>2904.2</v>
      </c>
      <c r="E65" s="31"/>
      <c r="F65" s="31"/>
      <c r="G65" s="31">
        <v>2904.2</v>
      </c>
      <c r="H65" s="31"/>
      <c r="I65" s="31"/>
      <c r="J65" s="31"/>
      <c r="K65" s="31"/>
      <c r="L65" s="39">
        <f t="shared" si="1"/>
        <v>2904.2</v>
      </c>
      <c r="M65" s="39">
        <f t="shared" si="2"/>
        <v>0</v>
      </c>
      <c r="N65" s="39">
        <f t="shared" si="3"/>
        <v>0</v>
      </c>
      <c r="O65" s="39">
        <f t="shared" si="4"/>
        <v>2904.2</v>
      </c>
    </row>
    <row r="66" spans="1:15" ht="15.75" x14ac:dyDescent="0.25">
      <c r="A66" s="63" t="s">
        <v>208</v>
      </c>
      <c r="B66" s="88" t="s">
        <v>209</v>
      </c>
      <c r="C66" s="89"/>
      <c r="D66" s="30">
        <f>+D63-D65</f>
        <v>183555.4</v>
      </c>
      <c r="E66" s="30">
        <f t="shared" ref="E66:G66" si="24">+E63-E65</f>
        <v>153397.6</v>
      </c>
      <c r="F66" s="30">
        <f t="shared" si="24"/>
        <v>92862.8</v>
      </c>
      <c r="G66" s="30">
        <f t="shared" si="24"/>
        <v>30157.8</v>
      </c>
      <c r="H66" s="30">
        <f t="shared" ref="H66:K66" si="25">+H63-H65</f>
        <v>5494.6</v>
      </c>
      <c r="I66" s="30">
        <f t="shared" si="25"/>
        <v>2911</v>
      </c>
      <c r="J66" s="30">
        <f t="shared" si="25"/>
        <v>-145.9</v>
      </c>
      <c r="K66" s="30">
        <f t="shared" si="25"/>
        <v>2583.6</v>
      </c>
      <c r="L66" s="17">
        <f t="shared" si="1"/>
        <v>189050</v>
      </c>
      <c r="M66" s="17">
        <f t="shared" si="2"/>
        <v>156308.6</v>
      </c>
      <c r="N66" s="17">
        <f t="shared" si="3"/>
        <v>92716.9</v>
      </c>
      <c r="O66" s="17">
        <f t="shared" si="4"/>
        <v>32741.4</v>
      </c>
    </row>
    <row r="67" spans="1:15" x14ac:dyDescent="0.2">
      <c r="B67" s="55"/>
      <c r="C67" s="55"/>
      <c r="D67" s="18"/>
      <c r="E67" s="18"/>
      <c r="F67" s="18"/>
      <c r="G67" s="18"/>
    </row>
    <row r="68" spans="1:15" x14ac:dyDescent="0.2">
      <c r="B68" s="13"/>
      <c r="C68" s="13"/>
    </row>
  </sheetData>
  <mergeCells count="38">
    <mergeCell ref="A26:A28"/>
    <mergeCell ref="B26:B28"/>
    <mergeCell ref="B29:B32"/>
    <mergeCell ref="A33:A36"/>
    <mergeCell ref="B33:B36"/>
    <mergeCell ref="B53:B57"/>
    <mergeCell ref="B42:B46"/>
    <mergeCell ref="B47:B52"/>
    <mergeCell ref="B58:B62"/>
    <mergeCell ref="A47:A52"/>
    <mergeCell ref="A42:A46"/>
    <mergeCell ref="B66:C66"/>
    <mergeCell ref="A21:A24"/>
    <mergeCell ref="B21:B24"/>
    <mergeCell ref="A10:G11"/>
    <mergeCell ref="A15:A17"/>
    <mergeCell ref="B15:B17"/>
    <mergeCell ref="C15:C17"/>
    <mergeCell ref="D15:D17"/>
    <mergeCell ref="E15:G15"/>
    <mergeCell ref="E16:F16"/>
    <mergeCell ref="G16:G17"/>
    <mergeCell ref="A37:A40"/>
    <mergeCell ref="A29:A32"/>
    <mergeCell ref="A59:A62"/>
    <mergeCell ref="B37:B40"/>
    <mergeCell ref="A53:A57"/>
    <mergeCell ref="D14:G14"/>
    <mergeCell ref="H14:K14"/>
    <mergeCell ref="L14:O14"/>
    <mergeCell ref="H15:H17"/>
    <mergeCell ref="I15:K15"/>
    <mergeCell ref="L15:L17"/>
    <mergeCell ref="M15:O15"/>
    <mergeCell ref="I16:J16"/>
    <mergeCell ref="K16:K17"/>
    <mergeCell ref="M16:N16"/>
    <mergeCell ref="O16:O17"/>
  </mergeCells>
  <pageMargins left="0.9055118110236221" right="0.31496062992125984" top="0.78740157480314965" bottom="0.3937007874015748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showZeros="0" zoomScaleNormal="100" workbookViewId="0">
      <pane xSplit="2" ySplit="16" topLeftCell="C101" activePane="bottomRight" state="frozen"/>
      <selection pane="topRight" activeCell="C1" sqref="C1"/>
      <selection pane="bottomLeft" activeCell="A12" sqref="A12"/>
      <selection pane="bottomRight" sqref="A1:N133"/>
    </sheetView>
  </sheetViews>
  <sheetFormatPr defaultRowHeight="15" x14ac:dyDescent="0.25"/>
  <cols>
    <col min="2" max="2" width="44" customWidth="1"/>
    <col min="3" max="3" width="10.42578125" customWidth="1"/>
    <col min="4" max="4" width="10.140625" customWidth="1"/>
    <col min="5" max="5" width="10.42578125" customWidth="1"/>
    <col min="6" max="6" width="11" customWidth="1"/>
    <col min="7" max="9" width="9.140625" customWidth="1"/>
  </cols>
  <sheetData>
    <row r="1" spans="1:14" x14ac:dyDescent="0.25">
      <c r="A1" s="70"/>
      <c r="B1" s="70"/>
      <c r="C1" s="70"/>
      <c r="D1" s="77" t="s">
        <v>219</v>
      </c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15.75" x14ac:dyDescent="0.25">
      <c r="A2" s="51"/>
      <c r="B2" s="51"/>
      <c r="C2" s="52" t="s">
        <v>91</v>
      </c>
      <c r="D2" s="51"/>
      <c r="E2" s="51"/>
      <c r="F2" s="51"/>
      <c r="G2" s="70"/>
      <c r="H2" s="70"/>
      <c r="I2" s="70"/>
      <c r="J2" s="70"/>
      <c r="K2" s="70"/>
      <c r="L2" s="70"/>
      <c r="M2" s="70"/>
      <c r="N2" s="70"/>
    </row>
    <row r="3" spans="1:14" ht="15.75" x14ac:dyDescent="0.25">
      <c r="A3" s="51"/>
      <c r="B3" s="51"/>
      <c r="C3" s="53" t="s">
        <v>217</v>
      </c>
      <c r="D3" s="51"/>
      <c r="E3" s="51"/>
      <c r="F3" s="51"/>
      <c r="G3" s="70"/>
      <c r="H3" s="70"/>
      <c r="I3" s="70"/>
      <c r="J3" s="70"/>
      <c r="K3" s="70"/>
      <c r="L3" s="70"/>
      <c r="M3" s="70"/>
      <c r="N3" s="70"/>
    </row>
    <row r="4" spans="1:14" ht="15.75" x14ac:dyDescent="0.25">
      <c r="A4" s="51"/>
      <c r="B4" s="51"/>
      <c r="C4" s="53" t="s">
        <v>163</v>
      </c>
      <c r="D4" s="51"/>
      <c r="E4" s="51"/>
      <c r="F4" s="51"/>
      <c r="G4" s="70"/>
      <c r="H4" s="70"/>
      <c r="I4" s="70"/>
      <c r="J4" s="70"/>
      <c r="K4" s="70"/>
      <c r="L4" s="70"/>
      <c r="M4" s="70"/>
      <c r="N4" s="70"/>
    </row>
    <row r="5" spans="1:14" ht="15.75" x14ac:dyDescent="0.25">
      <c r="A5" s="51"/>
      <c r="B5" s="51"/>
      <c r="C5" s="69" t="s">
        <v>220</v>
      </c>
      <c r="D5" s="51"/>
      <c r="E5" s="51"/>
      <c r="F5" s="51"/>
      <c r="G5" s="70"/>
      <c r="H5" s="70"/>
      <c r="I5" s="70"/>
      <c r="J5" s="70"/>
      <c r="K5" s="70"/>
      <c r="L5" s="70"/>
      <c r="M5" s="70"/>
      <c r="N5" s="70"/>
    </row>
    <row r="6" spans="1:14" ht="15.75" x14ac:dyDescent="0.25">
      <c r="A6" s="51"/>
      <c r="B6" s="51"/>
      <c r="C6" s="69" t="s">
        <v>221</v>
      </c>
      <c r="D6" s="51"/>
      <c r="E6" s="51"/>
      <c r="F6" s="51"/>
      <c r="G6" s="70"/>
      <c r="H6" s="70"/>
      <c r="I6" s="70"/>
      <c r="J6" s="70"/>
      <c r="K6" s="70"/>
      <c r="L6" s="70"/>
      <c r="M6" s="70"/>
      <c r="N6" s="70"/>
    </row>
    <row r="7" spans="1:14" ht="15.75" x14ac:dyDescent="0.25">
      <c r="A7" s="51"/>
      <c r="B7" s="51"/>
      <c r="C7" s="69" t="s">
        <v>222</v>
      </c>
      <c r="D7" s="51"/>
      <c r="E7" s="51"/>
      <c r="F7" s="51"/>
      <c r="G7" s="70"/>
      <c r="H7" s="70"/>
      <c r="I7" s="70"/>
      <c r="J7" s="70"/>
      <c r="K7" s="70"/>
      <c r="L7" s="70"/>
      <c r="M7" s="70"/>
      <c r="N7" s="70"/>
    </row>
    <row r="8" spans="1:14" ht="15.75" x14ac:dyDescent="0.25">
      <c r="A8" s="51"/>
      <c r="B8" s="51"/>
      <c r="C8" s="51"/>
      <c r="D8" s="51"/>
      <c r="E8" s="51"/>
      <c r="F8" s="51"/>
      <c r="G8" s="70"/>
      <c r="H8" s="70"/>
      <c r="I8" s="70"/>
      <c r="J8" s="70"/>
      <c r="K8" s="70"/>
      <c r="L8" s="70"/>
      <c r="M8" s="70"/>
      <c r="N8" s="70"/>
    </row>
    <row r="9" spans="1:14" s="1" customFormat="1" ht="15.75" x14ac:dyDescent="0.25">
      <c r="A9" s="103" t="s">
        <v>164</v>
      </c>
      <c r="B9" s="103"/>
      <c r="C9" s="103"/>
      <c r="D9" s="103"/>
      <c r="E9" s="103"/>
      <c r="F9" s="103"/>
      <c r="G9" s="71"/>
      <c r="H9" s="71"/>
      <c r="I9" s="71"/>
      <c r="J9" s="71"/>
      <c r="K9" s="71"/>
      <c r="L9" s="71"/>
      <c r="M9" s="71"/>
      <c r="N9" s="71"/>
    </row>
    <row r="10" spans="1:14" s="1" customFormat="1" ht="15.75" x14ac:dyDescent="0.25">
      <c r="A10" s="68"/>
      <c r="B10" s="68"/>
      <c r="C10" s="68"/>
      <c r="D10" s="68"/>
      <c r="E10" s="68"/>
      <c r="F10" s="68"/>
      <c r="G10" s="71"/>
      <c r="H10" s="71"/>
      <c r="I10" s="71"/>
      <c r="J10" s="71"/>
      <c r="K10" s="71"/>
      <c r="L10" s="71"/>
      <c r="M10" s="71"/>
      <c r="N10" s="71"/>
    </row>
    <row r="11" spans="1:14" s="19" customFormat="1" ht="15.75" x14ac:dyDescent="0.25">
      <c r="A11" s="44"/>
      <c r="B11" s="45"/>
      <c r="C11" s="46"/>
      <c r="D11" s="46"/>
      <c r="E11" s="46"/>
      <c r="F11" s="54" t="s">
        <v>116</v>
      </c>
      <c r="G11" s="80"/>
      <c r="H11" s="80"/>
      <c r="I11" s="80"/>
      <c r="J11" s="80"/>
      <c r="K11" s="80"/>
      <c r="L11" s="80"/>
      <c r="M11" s="80"/>
      <c r="N11" s="80"/>
    </row>
    <row r="12" spans="1:14" s="19" customFormat="1" ht="15.75" x14ac:dyDescent="0.25">
      <c r="A12" s="44"/>
      <c r="B12" s="45"/>
      <c r="C12" s="104" t="s">
        <v>226</v>
      </c>
      <c r="D12" s="105"/>
      <c r="E12" s="105"/>
      <c r="F12" s="106"/>
      <c r="G12" s="102" t="s">
        <v>223</v>
      </c>
      <c r="H12" s="102"/>
      <c r="I12" s="102"/>
      <c r="J12" s="102"/>
      <c r="K12" s="102" t="s">
        <v>233</v>
      </c>
      <c r="L12" s="102"/>
      <c r="M12" s="102"/>
      <c r="N12" s="102"/>
    </row>
    <row r="13" spans="1:14" s="1" customFormat="1" ht="15.75" x14ac:dyDescent="0.25">
      <c r="A13" s="85" t="s">
        <v>0</v>
      </c>
      <c r="B13" s="85" t="s">
        <v>129</v>
      </c>
      <c r="C13" s="85" t="s">
        <v>1</v>
      </c>
      <c r="D13" s="86" t="s">
        <v>2</v>
      </c>
      <c r="E13" s="86"/>
      <c r="F13" s="86"/>
      <c r="G13" s="85" t="s">
        <v>1</v>
      </c>
      <c r="H13" s="86" t="s">
        <v>2</v>
      </c>
      <c r="I13" s="86"/>
      <c r="J13" s="86"/>
      <c r="K13" s="85" t="s">
        <v>1</v>
      </c>
      <c r="L13" s="86" t="s">
        <v>2</v>
      </c>
      <c r="M13" s="86"/>
      <c r="N13" s="86"/>
    </row>
    <row r="14" spans="1:14" s="1" customFormat="1" ht="15.75" customHeight="1" x14ac:dyDescent="0.25">
      <c r="A14" s="85"/>
      <c r="B14" s="85"/>
      <c r="C14" s="85"/>
      <c r="D14" s="85" t="s">
        <v>33</v>
      </c>
      <c r="E14" s="85"/>
      <c r="F14" s="85" t="s">
        <v>34</v>
      </c>
      <c r="G14" s="85"/>
      <c r="H14" s="85" t="s">
        <v>33</v>
      </c>
      <c r="I14" s="85"/>
      <c r="J14" s="85" t="s">
        <v>34</v>
      </c>
      <c r="K14" s="85"/>
      <c r="L14" s="85" t="s">
        <v>33</v>
      </c>
      <c r="M14" s="85"/>
      <c r="N14" s="85" t="s">
        <v>34</v>
      </c>
    </row>
    <row r="15" spans="1:14" s="1" customFormat="1" ht="63" x14ac:dyDescent="0.25">
      <c r="A15" s="85"/>
      <c r="B15" s="85"/>
      <c r="C15" s="85"/>
      <c r="D15" s="10" t="s">
        <v>35</v>
      </c>
      <c r="E15" s="10" t="s">
        <v>36</v>
      </c>
      <c r="F15" s="85"/>
      <c r="G15" s="85"/>
      <c r="H15" s="10" t="s">
        <v>35</v>
      </c>
      <c r="I15" s="10" t="s">
        <v>36</v>
      </c>
      <c r="J15" s="85"/>
      <c r="K15" s="85"/>
      <c r="L15" s="10" t="s">
        <v>35</v>
      </c>
      <c r="M15" s="10" t="s">
        <v>36</v>
      </c>
      <c r="N15" s="85"/>
    </row>
    <row r="16" spans="1:14" s="1" customFormat="1" ht="15.75" x14ac:dyDescent="0.25">
      <c r="A16" s="62">
        <v>1</v>
      </c>
      <c r="B16" s="62">
        <v>2</v>
      </c>
      <c r="C16" s="62">
        <v>3</v>
      </c>
      <c r="D16" s="62">
        <v>4</v>
      </c>
      <c r="E16" s="62">
        <v>5</v>
      </c>
      <c r="F16" s="62">
        <v>6</v>
      </c>
      <c r="G16" s="62">
        <v>3</v>
      </c>
      <c r="H16" s="62">
        <v>4</v>
      </c>
      <c r="I16" s="62">
        <v>5</v>
      </c>
      <c r="J16" s="62">
        <v>6</v>
      </c>
      <c r="K16" s="62">
        <v>3</v>
      </c>
      <c r="L16" s="62">
        <v>4</v>
      </c>
      <c r="M16" s="62">
        <v>5</v>
      </c>
      <c r="N16" s="62">
        <v>6</v>
      </c>
    </row>
    <row r="17" spans="1:14" s="1" customFormat="1" ht="31.5" x14ac:dyDescent="0.25">
      <c r="A17" s="11">
        <v>1</v>
      </c>
      <c r="B17" s="9" t="s">
        <v>119</v>
      </c>
      <c r="C17" s="30">
        <f>+C19+C21+C24+C31</f>
        <v>1687.9</v>
      </c>
      <c r="D17" s="30">
        <f t="shared" ref="D17:N17" si="0">+D19+D21+D24+D31</f>
        <v>1447.1</v>
      </c>
      <c r="E17" s="30">
        <f t="shared" si="0"/>
        <v>136.4</v>
      </c>
      <c r="F17" s="30">
        <f t="shared" si="0"/>
        <v>240.8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30">
        <f t="shared" si="0"/>
        <v>0</v>
      </c>
      <c r="K17" s="30">
        <f t="shared" si="0"/>
        <v>1687.9</v>
      </c>
      <c r="L17" s="30">
        <f t="shared" si="0"/>
        <v>1447.1</v>
      </c>
      <c r="M17" s="30">
        <f t="shared" si="0"/>
        <v>136.4</v>
      </c>
      <c r="N17" s="30">
        <f t="shared" si="0"/>
        <v>240.8</v>
      </c>
    </row>
    <row r="18" spans="1:14" s="1" customFormat="1" ht="15.75" x14ac:dyDescent="0.25">
      <c r="A18" s="11">
        <v>2</v>
      </c>
      <c r="B18" s="62" t="s">
        <v>2</v>
      </c>
      <c r="C18" s="31"/>
      <c r="D18" s="31"/>
      <c r="E18" s="31"/>
      <c r="F18" s="31"/>
      <c r="G18" s="72"/>
      <c r="H18" s="72"/>
      <c r="I18" s="72"/>
      <c r="J18" s="72"/>
      <c r="K18" s="72"/>
      <c r="L18" s="72"/>
      <c r="M18" s="72"/>
      <c r="N18" s="72"/>
    </row>
    <row r="19" spans="1:14" s="1" customFormat="1" ht="15.75" x14ac:dyDescent="0.25">
      <c r="A19" s="11">
        <v>3</v>
      </c>
      <c r="B19" s="6" t="s">
        <v>3</v>
      </c>
      <c r="C19" s="30">
        <f>+C20</f>
        <v>158.5</v>
      </c>
      <c r="D19" s="30">
        <f t="shared" ref="D19:N19" si="1">+D20</f>
        <v>0</v>
      </c>
      <c r="E19" s="30">
        <f t="shared" si="1"/>
        <v>0</v>
      </c>
      <c r="F19" s="30">
        <f t="shared" si="1"/>
        <v>158.5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158.5</v>
      </c>
      <c r="L19" s="30">
        <f t="shared" si="1"/>
        <v>0</v>
      </c>
      <c r="M19" s="30">
        <f t="shared" si="1"/>
        <v>0</v>
      </c>
      <c r="N19" s="30">
        <f t="shared" si="1"/>
        <v>158.5</v>
      </c>
    </row>
    <row r="20" spans="1:14" s="1" customFormat="1" ht="15.75" x14ac:dyDescent="0.25">
      <c r="A20" s="11">
        <v>4</v>
      </c>
      <c r="B20" s="5" t="s">
        <v>38</v>
      </c>
      <c r="C20" s="31">
        <f>+D20+F20</f>
        <v>158.5</v>
      </c>
      <c r="D20" s="31"/>
      <c r="E20" s="31"/>
      <c r="F20" s="31">
        <v>158.5</v>
      </c>
      <c r="G20" s="72">
        <f>+H20+J20</f>
        <v>0</v>
      </c>
      <c r="H20" s="72"/>
      <c r="I20" s="72"/>
      <c r="J20" s="72"/>
      <c r="K20" s="73">
        <f>+C20+G20</f>
        <v>158.5</v>
      </c>
      <c r="L20" s="73">
        <f t="shared" ref="L20:N20" si="2">+D20+H20</f>
        <v>0</v>
      </c>
      <c r="M20" s="73">
        <f t="shared" si="2"/>
        <v>0</v>
      </c>
      <c r="N20" s="73">
        <f t="shared" si="2"/>
        <v>158.5</v>
      </c>
    </row>
    <row r="21" spans="1:14" s="1" customFormat="1" ht="15.75" x14ac:dyDescent="0.25">
      <c r="A21" s="11">
        <v>5</v>
      </c>
      <c r="B21" s="6" t="s">
        <v>4</v>
      </c>
      <c r="C21" s="30">
        <f>+C22</f>
        <v>4.4000000000000004</v>
      </c>
      <c r="D21" s="30">
        <f t="shared" ref="D21:N21" si="3">+D22</f>
        <v>4.4000000000000004</v>
      </c>
      <c r="E21" s="30">
        <f t="shared" si="3"/>
        <v>0</v>
      </c>
      <c r="F21" s="30">
        <f t="shared" si="3"/>
        <v>0</v>
      </c>
      <c r="G21" s="30">
        <f t="shared" si="3"/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  <c r="K21" s="30">
        <f t="shared" si="3"/>
        <v>4.4000000000000004</v>
      </c>
      <c r="L21" s="30">
        <f t="shared" si="3"/>
        <v>4.4000000000000004</v>
      </c>
      <c r="M21" s="30">
        <f t="shared" si="3"/>
        <v>0</v>
      </c>
      <c r="N21" s="30">
        <f t="shared" si="3"/>
        <v>0</v>
      </c>
    </row>
    <row r="22" spans="1:14" s="1" customFormat="1" ht="31.5" x14ac:dyDescent="0.25">
      <c r="A22" s="11">
        <v>6</v>
      </c>
      <c r="B22" s="5" t="s">
        <v>62</v>
      </c>
      <c r="C22" s="31">
        <f>+D22+F22</f>
        <v>4.4000000000000004</v>
      </c>
      <c r="D22" s="31">
        <f>0.5+1.7+0.4+1.8</f>
        <v>4.4000000000000004</v>
      </c>
      <c r="E22" s="31"/>
      <c r="F22" s="31"/>
      <c r="G22" s="72">
        <f t="shared" ref="G22:G23" si="4">+H22+J22</f>
        <v>0</v>
      </c>
      <c r="H22" s="72"/>
      <c r="I22" s="72"/>
      <c r="J22" s="72"/>
      <c r="K22" s="73">
        <f t="shared" ref="K22:K23" si="5">+C22+G22</f>
        <v>4.4000000000000004</v>
      </c>
      <c r="L22" s="73">
        <f t="shared" ref="L22:L23" si="6">+D22+H22</f>
        <v>4.4000000000000004</v>
      </c>
      <c r="M22" s="73">
        <f t="shared" ref="M22:M23" si="7">+E22+I22</f>
        <v>0</v>
      </c>
      <c r="N22" s="73">
        <f t="shared" ref="N22:N23" si="8">+F22+J22</f>
        <v>0</v>
      </c>
    </row>
    <row r="23" spans="1:14" s="1" customFormat="1" ht="15.75" x14ac:dyDescent="0.25">
      <c r="A23" s="11">
        <v>7</v>
      </c>
      <c r="B23" s="41" t="s">
        <v>138</v>
      </c>
      <c r="C23" s="31">
        <f>+D23+F23</f>
        <v>0.5</v>
      </c>
      <c r="D23" s="31">
        <f>0.2+0.3</f>
        <v>0.5</v>
      </c>
      <c r="E23" s="31"/>
      <c r="F23" s="31"/>
      <c r="G23" s="72">
        <f t="shared" si="4"/>
        <v>0</v>
      </c>
      <c r="H23" s="72"/>
      <c r="I23" s="72"/>
      <c r="J23" s="72"/>
      <c r="K23" s="73">
        <f t="shared" si="5"/>
        <v>0.5</v>
      </c>
      <c r="L23" s="73">
        <f t="shared" si="6"/>
        <v>0.5</v>
      </c>
      <c r="M23" s="73">
        <f t="shared" si="7"/>
        <v>0</v>
      </c>
      <c r="N23" s="73">
        <f t="shared" si="8"/>
        <v>0</v>
      </c>
    </row>
    <row r="24" spans="1:14" s="1" customFormat="1" ht="15.75" x14ac:dyDescent="0.25">
      <c r="A24" s="11">
        <v>8</v>
      </c>
      <c r="B24" s="2" t="s">
        <v>120</v>
      </c>
      <c r="C24" s="30">
        <f>+C25+C27+C29</f>
        <v>630.6</v>
      </c>
      <c r="D24" s="30">
        <f t="shared" ref="D24:N24" si="9">+D25+D27+D29</f>
        <v>550.29999999999995</v>
      </c>
      <c r="E24" s="30">
        <f t="shared" si="9"/>
        <v>136.4</v>
      </c>
      <c r="F24" s="30">
        <f t="shared" si="9"/>
        <v>80.3</v>
      </c>
      <c r="G24" s="30">
        <f t="shared" si="9"/>
        <v>0</v>
      </c>
      <c r="H24" s="30">
        <f t="shared" si="9"/>
        <v>0</v>
      </c>
      <c r="I24" s="30">
        <f t="shared" si="9"/>
        <v>0</v>
      </c>
      <c r="J24" s="30">
        <f t="shared" si="9"/>
        <v>0</v>
      </c>
      <c r="K24" s="30">
        <f t="shared" si="9"/>
        <v>630.6</v>
      </c>
      <c r="L24" s="30">
        <f t="shared" si="9"/>
        <v>550.29999999999995</v>
      </c>
      <c r="M24" s="30">
        <f t="shared" si="9"/>
        <v>136.4</v>
      </c>
      <c r="N24" s="30">
        <f t="shared" si="9"/>
        <v>80.3</v>
      </c>
    </row>
    <row r="25" spans="1:14" s="1" customFormat="1" ht="15.75" x14ac:dyDescent="0.25">
      <c r="A25" s="11">
        <v>9</v>
      </c>
      <c r="B25" s="5" t="s">
        <v>133</v>
      </c>
      <c r="C25" s="31">
        <f t="shared" ref="C25:C33" si="10">+D25+F25</f>
        <v>82.7</v>
      </c>
      <c r="D25" s="31">
        <f>82.7-15.8</f>
        <v>66.900000000000006</v>
      </c>
      <c r="E25" s="31"/>
      <c r="F25" s="31">
        <v>15.8</v>
      </c>
      <c r="G25" s="72">
        <f t="shared" ref="G25:G30" si="11">+H25+J25</f>
        <v>0</v>
      </c>
      <c r="H25" s="72"/>
      <c r="I25" s="72"/>
      <c r="J25" s="72"/>
      <c r="K25" s="73">
        <f t="shared" ref="K25:K30" si="12">+C25+G25</f>
        <v>82.7</v>
      </c>
      <c r="L25" s="73">
        <f t="shared" ref="L25:L30" si="13">+D25+H25</f>
        <v>66.900000000000006</v>
      </c>
      <c r="M25" s="73">
        <f t="shared" ref="M25:M30" si="14">+E25+I25</f>
        <v>0</v>
      </c>
      <c r="N25" s="73">
        <f t="shared" ref="N25:N30" si="15">+F25+J25</f>
        <v>15.8</v>
      </c>
    </row>
    <row r="26" spans="1:14" s="1" customFormat="1" ht="15.75" x14ac:dyDescent="0.25">
      <c r="A26" s="11">
        <v>10</v>
      </c>
      <c r="B26" s="41" t="s">
        <v>138</v>
      </c>
      <c r="C26" s="31">
        <f t="shared" si="10"/>
        <v>5.7</v>
      </c>
      <c r="D26" s="31">
        <v>5.7</v>
      </c>
      <c r="E26" s="31"/>
      <c r="F26" s="31"/>
      <c r="G26" s="72">
        <f t="shared" si="11"/>
        <v>0</v>
      </c>
      <c r="H26" s="72"/>
      <c r="I26" s="72"/>
      <c r="J26" s="72"/>
      <c r="K26" s="73">
        <f t="shared" si="12"/>
        <v>5.7</v>
      </c>
      <c r="L26" s="73">
        <f t="shared" si="13"/>
        <v>5.7</v>
      </c>
      <c r="M26" s="73">
        <f t="shared" si="14"/>
        <v>0</v>
      </c>
      <c r="N26" s="73">
        <f t="shared" si="15"/>
        <v>0</v>
      </c>
    </row>
    <row r="27" spans="1:14" s="1" customFormat="1" ht="15.75" x14ac:dyDescent="0.25">
      <c r="A27" s="11">
        <v>11</v>
      </c>
      <c r="B27" s="3" t="s">
        <v>55</v>
      </c>
      <c r="C27" s="31">
        <f t="shared" si="10"/>
        <v>482.3</v>
      </c>
      <c r="D27" s="31">
        <f>482.3-64.5</f>
        <v>417.8</v>
      </c>
      <c r="E27" s="31">
        <f>127.3+9.1</f>
        <v>136.4</v>
      </c>
      <c r="F27" s="31">
        <v>64.5</v>
      </c>
      <c r="G27" s="72">
        <f t="shared" si="11"/>
        <v>0</v>
      </c>
      <c r="H27" s="72"/>
      <c r="I27" s="72"/>
      <c r="J27" s="72"/>
      <c r="K27" s="73">
        <f t="shared" si="12"/>
        <v>482.3</v>
      </c>
      <c r="L27" s="73">
        <f t="shared" si="13"/>
        <v>417.8</v>
      </c>
      <c r="M27" s="73">
        <f t="shared" si="14"/>
        <v>136.4</v>
      </c>
      <c r="N27" s="73">
        <f t="shared" si="15"/>
        <v>64.5</v>
      </c>
    </row>
    <row r="28" spans="1:14" s="1" customFormat="1" ht="15.75" x14ac:dyDescent="0.25">
      <c r="A28" s="11">
        <v>12</v>
      </c>
      <c r="B28" s="41" t="s">
        <v>138</v>
      </c>
      <c r="C28" s="31">
        <f t="shared" si="10"/>
        <v>27.3</v>
      </c>
      <c r="D28" s="31">
        <v>27.3</v>
      </c>
      <c r="E28" s="31"/>
      <c r="F28" s="31"/>
      <c r="G28" s="72">
        <f t="shared" si="11"/>
        <v>0</v>
      </c>
      <c r="H28" s="72"/>
      <c r="I28" s="72"/>
      <c r="J28" s="72"/>
      <c r="K28" s="73">
        <f t="shared" si="12"/>
        <v>27.3</v>
      </c>
      <c r="L28" s="73">
        <f t="shared" si="13"/>
        <v>27.3</v>
      </c>
      <c r="M28" s="73">
        <f t="shared" si="14"/>
        <v>0</v>
      </c>
      <c r="N28" s="73">
        <f t="shared" si="15"/>
        <v>0</v>
      </c>
    </row>
    <row r="29" spans="1:14" s="1" customFormat="1" ht="15.75" x14ac:dyDescent="0.25">
      <c r="A29" s="11">
        <v>13</v>
      </c>
      <c r="B29" s="3" t="s">
        <v>69</v>
      </c>
      <c r="C29" s="31">
        <f t="shared" si="10"/>
        <v>65.599999999999994</v>
      </c>
      <c r="D29" s="31">
        <v>65.599999999999994</v>
      </c>
      <c r="E29" s="31"/>
      <c r="F29" s="31"/>
      <c r="G29" s="72">
        <f t="shared" si="11"/>
        <v>0</v>
      </c>
      <c r="H29" s="72"/>
      <c r="I29" s="72"/>
      <c r="J29" s="72"/>
      <c r="K29" s="73">
        <f t="shared" si="12"/>
        <v>65.599999999999994</v>
      </c>
      <c r="L29" s="73">
        <f t="shared" si="13"/>
        <v>65.599999999999994</v>
      </c>
      <c r="M29" s="73">
        <f t="shared" si="14"/>
        <v>0</v>
      </c>
      <c r="N29" s="73">
        <f t="shared" si="15"/>
        <v>0</v>
      </c>
    </row>
    <row r="30" spans="1:14" s="1" customFormat="1" ht="15.75" x14ac:dyDescent="0.25">
      <c r="A30" s="11">
        <v>14</v>
      </c>
      <c r="B30" s="41" t="s">
        <v>138</v>
      </c>
      <c r="C30" s="31">
        <f t="shared" si="10"/>
        <v>2.4</v>
      </c>
      <c r="D30" s="31">
        <v>2.4</v>
      </c>
      <c r="E30" s="31"/>
      <c r="F30" s="31"/>
      <c r="G30" s="72">
        <f t="shared" si="11"/>
        <v>0</v>
      </c>
      <c r="H30" s="72"/>
      <c r="I30" s="72"/>
      <c r="J30" s="72"/>
      <c r="K30" s="73">
        <f t="shared" si="12"/>
        <v>2.4</v>
      </c>
      <c r="L30" s="73">
        <f t="shared" si="13"/>
        <v>2.4</v>
      </c>
      <c r="M30" s="73">
        <f t="shared" si="14"/>
        <v>0</v>
      </c>
      <c r="N30" s="73">
        <f t="shared" si="15"/>
        <v>0</v>
      </c>
    </row>
    <row r="31" spans="1:14" s="1" customFormat="1" ht="15.75" x14ac:dyDescent="0.25">
      <c r="A31" s="11">
        <v>15</v>
      </c>
      <c r="B31" s="2" t="s">
        <v>6</v>
      </c>
      <c r="C31" s="30">
        <f>+C32+C34</f>
        <v>894.4</v>
      </c>
      <c r="D31" s="30">
        <f t="shared" ref="D31:N31" si="16">+D32+D34</f>
        <v>892.4</v>
      </c>
      <c r="E31" s="30">
        <f t="shared" si="16"/>
        <v>0</v>
      </c>
      <c r="F31" s="30">
        <f t="shared" si="16"/>
        <v>2</v>
      </c>
      <c r="G31" s="30">
        <f t="shared" si="16"/>
        <v>0</v>
      </c>
      <c r="H31" s="30">
        <f t="shared" si="16"/>
        <v>0</v>
      </c>
      <c r="I31" s="30">
        <f t="shared" si="16"/>
        <v>0</v>
      </c>
      <c r="J31" s="30">
        <f t="shared" si="16"/>
        <v>0</v>
      </c>
      <c r="K31" s="30">
        <f t="shared" si="16"/>
        <v>894.4</v>
      </c>
      <c r="L31" s="30">
        <f t="shared" si="16"/>
        <v>892.4</v>
      </c>
      <c r="M31" s="30">
        <f t="shared" si="16"/>
        <v>0</v>
      </c>
      <c r="N31" s="30">
        <f t="shared" si="16"/>
        <v>2</v>
      </c>
    </row>
    <row r="32" spans="1:14" s="1" customFormat="1" ht="15.75" x14ac:dyDescent="0.25">
      <c r="A32" s="11">
        <v>16</v>
      </c>
      <c r="B32" s="3" t="s">
        <v>72</v>
      </c>
      <c r="C32" s="31">
        <f t="shared" si="10"/>
        <v>891.4</v>
      </c>
      <c r="D32" s="31">
        <f>60.9+830.5-2</f>
        <v>889.4</v>
      </c>
      <c r="E32" s="31"/>
      <c r="F32" s="31">
        <v>2</v>
      </c>
      <c r="G32" s="72">
        <f t="shared" ref="G32:G34" si="17">+H32+J32</f>
        <v>0</v>
      </c>
      <c r="H32" s="72"/>
      <c r="I32" s="72"/>
      <c r="J32" s="72"/>
      <c r="K32" s="73">
        <f t="shared" ref="K32:K34" si="18">+C32+G32</f>
        <v>891.4</v>
      </c>
      <c r="L32" s="73">
        <f t="shared" ref="L32:L34" si="19">+D32+H32</f>
        <v>889.4</v>
      </c>
      <c r="M32" s="73">
        <f t="shared" ref="M32:M34" si="20">+E32+I32</f>
        <v>0</v>
      </c>
      <c r="N32" s="73">
        <f t="shared" ref="N32:N34" si="21">+F32+J32</f>
        <v>2</v>
      </c>
    </row>
    <row r="33" spans="1:14" s="1" customFormat="1" ht="15.75" x14ac:dyDescent="0.25">
      <c r="A33" s="11">
        <v>17</v>
      </c>
      <c r="B33" s="41" t="s">
        <v>138</v>
      </c>
      <c r="C33" s="31">
        <f t="shared" si="10"/>
        <v>24.5</v>
      </c>
      <c r="D33" s="31">
        <f>14.5+10</f>
        <v>24.5</v>
      </c>
      <c r="E33" s="31"/>
      <c r="F33" s="31"/>
      <c r="G33" s="72">
        <f t="shared" si="17"/>
        <v>0</v>
      </c>
      <c r="H33" s="72"/>
      <c r="I33" s="72"/>
      <c r="J33" s="72"/>
      <c r="K33" s="73">
        <f t="shared" si="18"/>
        <v>24.5</v>
      </c>
      <c r="L33" s="73">
        <f t="shared" si="19"/>
        <v>24.5</v>
      </c>
      <c r="M33" s="73">
        <f t="shared" si="20"/>
        <v>0</v>
      </c>
      <c r="N33" s="73">
        <f t="shared" si="21"/>
        <v>0</v>
      </c>
    </row>
    <row r="34" spans="1:14" s="1" customFormat="1" ht="15.75" x14ac:dyDescent="0.25">
      <c r="A34" s="11">
        <v>18</v>
      </c>
      <c r="B34" s="3" t="s">
        <v>78</v>
      </c>
      <c r="C34" s="31">
        <v>3</v>
      </c>
      <c r="D34" s="31">
        <v>3</v>
      </c>
      <c r="E34" s="31"/>
      <c r="F34" s="31"/>
      <c r="G34" s="72">
        <f t="shared" si="17"/>
        <v>0</v>
      </c>
      <c r="H34" s="72"/>
      <c r="I34" s="72"/>
      <c r="J34" s="72"/>
      <c r="K34" s="73">
        <f t="shared" si="18"/>
        <v>3</v>
      </c>
      <c r="L34" s="73">
        <f t="shared" si="19"/>
        <v>3</v>
      </c>
      <c r="M34" s="73">
        <f t="shared" si="20"/>
        <v>0</v>
      </c>
      <c r="N34" s="73">
        <f t="shared" si="21"/>
        <v>0</v>
      </c>
    </row>
    <row r="35" spans="1:14" s="1" customFormat="1" ht="31.5" x14ac:dyDescent="0.25">
      <c r="A35" s="11">
        <v>19</v>
      </c>
      <c r="B35" s="9" t="s">
        <v>121</v>
      </c>
      <c r="C35" s="30">
        <f>+C37+C42+C45+C52+C56+C59+C64+C70+C76</f>
        <v>4961.8</v>
      </c>
      <c r="D35" s="30">
        <f t="shared" ref="D35:N35" si="22">+D37+D42+D45+D52+D56+D59+D64+D70+D76</f>
        <v>2876.6</v>
      </c>
      <c r="E35" s="30">
        <f t="shared" si="22"/>
        <v>206.5</v>
      </c>
      <c r="F35" s="30">
        <f t="shared" si="22"/>
        <v>2085.1999999999998</v>
      </c>
      <c r="G35" s="30">
        <f t="shared" si="22"/>
        <v>0</v>
      </c>
      <c r="H35" s="30">
        <f t="shared" si="22"/>
        <v>0</v>
      </c>
      <c r="I35" s="30">
        <f t="shared" si="22"/>
        <v>0</v>
      </c>
      <c r="J35" s="30">
        <f t="shared" si="22"/>
        <v>0</v>
      </c>
      <c r="K35" s="30">
        <f t="shared" si="22"/>
        <v>4961.8</v>
      </c>
      <c r="L35" s="30">
        <f t="shared" si="22"/>
        <v>2876.6</v>
      </c>
      <c r="M35" s="30">
        <f t="shared" si="22"/>
        <v>206.5</v>
      </c>
      <c r="N35" s="30">
        <f t="shared" si="22"/>
        <v>2085.1999999999998</v>
      </c>
    </row>
    <row r="36" spans="1:14" s="1" customFormat="1" ht="15.75" x14ac:dyDescent="0.25">
      <c r="A36" s="11">
        <v>20</v>
      </c>
      <c r="B36" s="62" t="s">
        <v>2</v>
      </c>
      <c r="C36" s="31"/>
      <c r="D36" s="31"/>
      <c r="E36" s="31"/>
      <c r="F36" s="31"/>
      <c r="G36" s="72"/>
      <c r="H36" s="72"/>
      <c r="I36" s="72"/>
      <c r="J36" s="72"/>
      <c r="K36" s="72"/>
      <c r="L36" s="72"/>
      <c r="M36" s="72"/>
      <c r="N36" s="72"/>
    </row>
    <row r="37" spans="1:14" s="1" customFormat="1" ht="47.25" x14ac:dyDescent="0.25">
      <c r="A37" s="11">
        <v>21</v>
      </c>
      <c r="B37" s="9" t="s">
        <v>122</v>
      </c>
      <c r="C37" s="30">
        <f>+C38+C40</f>
        <v>382</v>
      </c>
      <c r="D37" s="30">
        <f>+D38+D40</f>
        <v>364.4</v>
      </c>
      <c r="E37" s="30">
        <f>+E38+E40</f>
        <v>0</v>
      </c>
      <c r="F37" s="30">
        <f>+F38+F40</f>
        <v>17.600000000000001</v>
      </c>
      <c r="G37" s="30">
        <f t="shared" ref="G37:N37" si="23">+G38+G40</f>
        <v>0</v>
      </c>
      <c r="H37" s="30">
        <f t="shared" si="23"/>
        <v>0</v>
      </c>
      <c r="I37" s="30">
        <f t="shared" si="23"/>
        <v>0</v>
      </c>
      <c r="J37" s="30">
        <f t="shared" si="23"/>
        <v>0</v>
      </c>
      <c r="K37" s="30">
        <f t="shared" si="23"/>
        <v>382</v>
      </c>
      <c r="L37" s="30">
        <f t="shared" si="23"/>
        <v>364.4</v>
      </c>
      <c r="M37" s="30">
        <f t="shared" si="23"/>
        <v>0</v>
      </c>
      <c r="N37" s="30">
        <f t="shared" si="23"/>
        <v>17.600000000000001</v>
      </c>
    </row>
    <row r="38" spans="1:14" s="1" customFormat="1" ht="15.75" x14ac:dyDescent="0.25">
      <c r="A38" s="11">
        <v>22</v>
      </c>
      <c r="B38" s="6" t="s">
        <v>60</v>
      </c>
      <c r="C38" s="30">
        <f>+C39</f>
        <v>17.600000000000001</v>
      </c>
      <c r="D38" s="30">
        <f>+D39</f>
        <v>0</v>
      </c>
      <c r="E38" s="30">
        <f>+E39</f>
        <v>0</v>
      </c>
      <c r="F38" s="30">
        <f>+F39</f>
        <v>17.600000000000001</v>
      </c>
      <c r="G38" s="30">
        <f t="shared" ref="G38:N38" si="24">+G39</f>
        <v>0</v>
      </c>
      <c r="H38" s="30">
        <f t="shared" si="24"/>
        <v>0</v>
      </c>
      <c r="I38" s="30">
        <f t="shared" si="24"/>
        <v>0</v>
      </c>
      <c r="J38" s="30">
        <f t="shared" si="24"/>
        <v>0</v>
      </c>
      <c r="K38" s="30">
        <f t="shared" si="24"/>
        <v>17.600000000000001</v>
      </c>
      <c r="L38" s="30">
        <f t="shared" si="24"/>
        <v>0</v>
      </c>
      <c r="M38" s="30">
        <f t="shared" si="24"/>
        <v>0</v>
      </c>
      <c r="N38" s="30">
        <f t="shared" si="24"/>
        <v>17.600000000000001</v>
      </c>
    </row>
    <row r="39" spans="1:14" s="1" customFormat="1" ht="15.75" x14ac:dyDescent="0.25">
      <c r="A39" s="11">
        <v>23</v>
      </c>
      <c r="B39" s="3" t="s">
        <v>61</v>
      </c>
      <c r="C39" s="31">
        <f>+D39+F39</f>
        <v>17.600000000000001</v>
      </c>
      <c r="D39" s="31"/>
      <c r="E39" s="31"/>
      <c r="F39" s="31">
        <v>17.600000000000001</v>
      </c>
      <c r="G39" s="72">
        <f>+H39+J39</f>
        <v>0</v>
      </c>
      <c r="H39" s="72"/>
      <c r="I39" s="72"/>
      <c r="J39" s="72"/>
      <c r="K39" s="73">
        <f>+C39+G39</f>
        <v>17.600000000000001</v>
      </c>
      <c r="L39" s="73">
        <f t="shared" ref="L39" si="25">+D39+H39</f>
        <v>0</v>
      </c>
      <c r="M39" s="73">
        <f t="shared" ref="M39" si="26">+E39+I39</f>
        <v>0</v>
      </c>
      <c r="N39" s="73">
        <f t="shared" ref="N39" si="27">+F39+J39</f>
        <v>17.600000000000001</v>
      </c>
    </row>
    <row r="40" spans="1:14" s="1" customFormat="1" ht="15.75" x14ac:dyDescent="0.25">
      <c r="A40" s="11">
        <v>24</v>
      </c>
      <c r="B40" s="6" t="s">
        <v>4</v>
      </c>
      <c r="C40" s="30">
        <f>+C41</f>
        <v>364.4</v>
      </c>
      <c r="D40" s="30">
        <f>+D41</f>
        <v>364.4</v>
      </c>
      <c r="E40" s="30">
        <f>+E41</f>
        <v>0</v>
      </c>
      <c r="F40" s="30">
        <f>+F41</f>
        <v>0</v>
      </c>
      <c r="G40" s="30">
        <f t="shared" ref="G40:N40" si="28">+G41</f>
        <v>0</v>
      </c>
      <c r="H40" s="30">
        <f t="shared" si="28"/>
        <v>0</v>
      </c>
      <c r="I40" s="30">
        <f t="shared" si="28"/>
        <v>0</v>
      </c>
      <c r="J40" s="30">
        <f t="shared" si="28"/>
        <v>0</v>
      </c>
      <c r="K40" s="30">
        <f t="shared" si="28"/>
        <v>364.4</v>
      </c>
      <c r="L40" s="30">
        <f t="shared" si="28"/>
        <v>364.4</v>
      </c>
      <c r="M40" s="30">
        <f t="shared" si="28"/>
        <v>0</v>
      </c>
      <c r="N40" s="30">
        <f t="shared" si="28"/>
        <v>0</v>
      </c>
    </row>
    <row r="41" spans="1:14" s="1" customFormat="1" ht="15.75" x14ac:dyDescent="0.25">
      <c r="A41" s="11">
        <v>25</v>
      </c>
      <c r="B41" s="3" t="s">
        <v>61</v>
      </c>
      <c r="C41" s="31">
        <f>+D41+F41</f>
        <v>364.4</v>
      </c>
      <c r="D41" s="31">
        <v>364.4</v>
      </c>
      <c r="E41" s="31"/>
      <c r="F41" s="31"/>
      <c r="G41" s="72">
        <f>+H41+J41</f>
        <v>0</v>
      </c>
      <c r="H41" s="72"/>
      <c r="I41" s="72"/>
      <c r="J41" s="72"/>
      <c r="K41" s="73">
        <f>+C41+G41</f>
        <v>364.4</v>
      </c>
      <c r="L41" s="73">
        <f t="shared" ref="L41" si="29">+D41+H41</f>
        <v>364.4</v>
      </c>
      <c r="M41" s="73">
        <f t="shared" ref="M41" si="30">+E41+I41</f>
        <v>0</v>
      </c>
      <c r="N41" s="73">
        <f t="shared" ref="N41" si="31">+F41+J41</f>
        <v>0</v>
      </c>
    </row>
    <row r="42" spans="1:14" s="1" customFormat="1" ht="47.25" x14ac:dyDescent="0.25">
      <c r="A42" s="11">
        <v>26</v>
      </c>
      <c r="B42" s="6" t="s">
        <v>125</v>
      </c>
      <c r="C42" s="30">
        <f>+C43</f>
        <v>34.799999999999997</v>
      </c>
      <c r="D42" s="30">
        <f t="shared" ref="D42:N43" si="32">+D43</f>
        <v>34.799999999999997</v>
      </c>
      <c r="E42" s="30">
        <f t="shared" si="32"/>
        <v>0</v>
      </c>
      <c r="F42" s="30">
        <f t="shared" si="32"/>
        <v>0</v>
      </c>
      <c r="G42" s="30">
        <f t="shared" si="32"/>
        <v>0</v>
      </c>
      <c r="H42" s="30">
        <f t="shared" si="32"/>
        <v>0</v>
      </c>
      <c r="I42" s="30">
        <f t="shared" si="32"/>
        <v>0</v>
      </c>
      <c r="J42" s="30">
        <f t="shared" si="32"/>
        <v>0</v>
      </c>
      <c r="K42" s="30">
        <f t="shared" si="32"/>
        <v>34.799999999999997</v>
      </c>
      <c r="L42" s="30">
        <f t="shared" si="32"/>
        <v>34.799999999999997</v>
      </c>
      <c r="M42" s="30">
        <f t="shared" si="32"/>
        <v>0</v>
      </c>
      <c r="N42" s="30">
        <f t="shared" si="32"/>
        <v>0</v>
      </c>
    </row>
    <row r="43" spans="1:14" s="1" customFormat="1" ht="15.75" x14ac:dyDescent="0.25">
      <c r="A43" s="11">
        <v>27</v>
      </c>
      <c r="B43" s="6" t="s">
        <v>6</v>
      </c>
      <c r="C43" s="30">
        <f>+C44</f>
        <v>34.799999999999997</v>
      </c>
      <c r="D43" s="30">
        <f t="shared" si="32"/>
        <v>34.799999999999997</v>
      </c>
      <c r="E43" s="30">
        <f t="shared" si="32"/>
        <v>0</v>
      </c>
      <c r="F43" s="30">
        <f t="shared" si="32"/>
        <v>0</v>
      </c>
      <c r="G43" s="30">
        <f t="shared" si="32"/>
        <v>0</v>
      </c>
      <c r="H43" s="30">
        <f t="shared" si="32"/>
        <v>0</v>
      </c>
      <c r="I43" s="30">
        <f t="shared" si="32"/>
        <v>0</v>
      </c>
      <c r="J43" s="30">
        <f t="shared" si="32"/>
        <v>0</v>
      </c>
      <c r="K43" s="30">
        <f t="shared" si="32"/>
        <v>34.799999999999997</v>
      </c>
      <c r="L43" s="30">
        <f t="shared" si="32"/>
        <v>34.799999999999997</v>
      </c>
      <c r="M43" s="30">
        <f t="shared" si="32"/>
        <v>0</v>
      </c>
      <c r="N43" s="30">
        <f t="shared" si="32"/>
        <v>0</v>
      </c>
    </row>
    <row r="44" spans="1:14" s="1" customFormat="1" ht="15.75" x14ac:dyDescent="0.25">
      <c r="A44" s="11">
        <v>28</v>
      </c>
      <c r="B44" s="5" t="s">
        <v>78</v>
      </c>
      <c r="C44" s="31">
        <f>+D44+F44</f>
        <v>34.799999999999997</v>
      </c>
      <c r="D44" s="31">
        <v>34.799999999999997</v>
      </c>
      <c r="E44" s="31"/>
      <c r="F44" s="31"/>
      <c r="G44" s="72">
        <f>+H44+J44</f>
        <v>0</v>
      </c>
      <c r="H44" s="72"/>
      <c r="I44" s="72"/>
      <c r="J44" s="72"/>
      <c r="K44" s="73">
        <f>+C44+G44</f>
        <v>34.799999999999997</v>
      </c>
      <c r="L44" s="73">
        <f t="shared" ref="L44" si="33">+D44+H44</f>
        <v>34.799999999999997</v>
      </c>
      <c r="M44" s="73">
        <f t="shared" ref="M44" si="34">+E44+I44</f>
        <v>0</v>
      </c>
      <c r="N44" s="73">
        <f t="shared" ref="N44" si="35">+F44+J44</f>
        <v>0</v>
      </c>
    </row>
    <row r="45" spans="1:14" s="1" customFormat="1" ht="63" x14ac:dyDescent="0.25">
      <c r="A45" s="11">
        <v>29</v>
      </c>
      <c r="B45" s="9" t="s">
        <v>123</v>
      </c>
      <c r="C45" s="30">
        <f>+C47+C49</f>
        <v>1235.5</v>
      </c>
      <c r="D45" s="30">
        <f>+D47+D49</f>
        <v>1235.5</v>
      </c>
      <c r="E45" s="30">
        <f>+E47+E49</f>
        <v>0</v>
      </c>
      <c r="F45" s="30">
        <f>+F47+F49</f>
        <v>0</v>
      </c>
      <c r="G45" s="30">
        <f t="shared" ref="G45:N45" si="36">+G47+G49</f>
        <v>0</v>
      </c>
      <c r="H45" s="30">
        <f t="shared" si="36"/>
        <v>0</v>
      </c>
      <c r="I45" s="30">
        <f t="shared" si="36"/>
        <v>0</v>
      </c>
      <c r="J45" s="30">
        <f t="shared" si="36"/>
        <v>0</v>
      </c>
      <c r="K45" s="30">
        <f t="shared" si="36"/>
        <v>1235.5</v>
      </c>
      <c r="L45" s="30">
        <f t="shared" si="36"/>
        <v>1235.5</v>
      </c>
      <c r="M45" s="30">
        <f t="shared" si="36"/>
        <v>0</v>
      </c>
      <c r="N45" s="30">
        <f t="shared" si="36"/>
        <v>0</v>
      </c>
    </row>
    <row r="46" spans="1:14" s="1" customFormat="1" ht="15.75" x14ac:dyDescent="0.25">
      <c r="A46" s="11">
        <v>30</v>
      </c>
      <c r="B46" s="63" t="s">
        <v>2</v>
      </c>
      <c r="C46" s="31"/>
      <c r="D46" s="31"/>
      <c r="E46" s="31"/>
      <c r="F46" s="31"/>
      <c r="G46" s="72"/>
      <c r="H46" s="72"/>
      <c r="I46" s="72"/>
      <c r="J46" s="72"/>
      <c r="K46" s="72"/>
      <c r="L46" s="72"/>
      <c r="M46" s="72"/>
      <c r="N46" s="72"/>
    </row>
    <row r="47" spans="1:14" s="1" customFormat="1" ht="15.75" x14ac:dyDescent="0.25">
      <c r="A47" s="11">
        <v>31</v>
      </c>
      <c r="B47" s="32" t="s">
        <v>49</v>
      </c>
      <c r="C47" s="30">
        <f>+C48</f>
        <v>720.6</v>
      </c>
      <c r="D47" s="30">
        <f>+D48</f>
        <v>720.6</v>
      </c>
      <c r="E47" s="30">
        <f>+E48</f>
        <v>0</v>
      </c>
      <c r="F47" s="30">
        <f>+F48</f>
        <v>0</v>
      </c>
      <c r="G47" s="30">
        <f t="shared" ref="G47:N47" si="37">+G48</f>
        <v>0</v>
      </c>
      <c r="H47" s="30">
        <f t="shared" si="37"/>
        <v>0</v>
      </c>
      <c r="I47" s="30">
        <f t="shared" si="37"/>
        <v>0</v>
      </c>
      <c r="J47" s="30">
        <f t="shared" si="37"/>
        <v>0</v>
      </c>
      <c r="K47" s="30">
        <f t="shared" si="37"/>
        <v>720.6</v>
      </c>
      <c r="L47" s="30">
        <f t="shared" si="37"/>
        <v>720.6</v>
      </c>
      <c r="M47" s="30">
        <f t="shared" si="37"/>
        <v>0</v>
      </c>
      <c r="N47" s="30">
        <f t="shared" si="37"/>
        <v>0</v>
      </c>
    </row>
    <row r="48" spans="1:14" s="1" customFormat="1" ht="15.75" x14ac:dyDescent="0.25">
      <c r="A48" s="11">
        <v>32</v>
      </c>
      <c r="B48" s="10" t="s">
        <v>61</v>
      </c>
      <c r="C48" s="31">
        <f>+D48+F48</f>
        <v>720.6</v>
      </c>
      <c r="D48" s="31">
        <v>720.6</v>
      </c>
      <c r="E48" s="31"/>
      <c r="F48" s="31"/>
      <c r="G48" s="72">
        <f>+H48+J48</f>
        <v>0</v>
      </c>
      <c r="H48" s="72"/>
      <c r="I48" s="72"/>
      <c r="J48" s="72"/>
      <c r="K48" s="73">
        <f>+C48+G48</f>
        <v>720.6</v>
      </c>
      <c r="L48" s="73">
        <f t="shared" ref="L48" si="38">+D48+H48</f>
        <v>720.6</v>
      </c>
      <c r="M48" s="73">
        <f t="shared" ref="M48" si="39">+E48+I48</f>
        <v>0</v>
      </c>
      <c r="N48" s="73">
        <f t="shared" ref="N48" si="40">+F48+J48</f>
        <v>0</v>
      </c>
    </row>
    <row r="49" spans="1:14" s="1" customFormat="1" ht="15.75" x14ac:dyDescent="0.25">
      <c r="A49" s="11">
        <v>33</v>
      </c>
      <c r="B49" s="6" t="s">
        <v>4</v>
      </c>
      <c r="C49" s="30">
        <f>+C50</f>
        <v>514.9</v>
      </c>
      <c r="D49" s="30">
        <f>+D50</f>
        <v>514.9</v>
      </c>
      <c r="E49" s="30">
        <f>+E50</f>
        <v>0</v>
      </c>
      <c r="F49" s="30">
        <f>+F50</f>
        <v>0</v>
      </c>
      <c r="G49" s="30">
        <f t="shared" ref="G49:N49" si="41">+G50</f>
        <v>0</v>
      </c>
      <c r="H49" s="30">
        <f t="shared" si="41"/>
        <v>0</v>
      </c>
      <c r="I49" s="30">
        <f t="shared" si="41"/>
        <v>0</v>
      </c>
      <c r="J49" s="30">
        <f t="shared" si="41"/>
        <v>0</v>
      </c>
      <c r="K49" s="30">
        <f t="shared" si="41"/>
        <v>514.9</v>
      </c>
      <c r="L49" s="30">
        <f t="shared" si="41"/>
        <v>514.9</v>
      </c>
      <c r="M49" s="30">
        <f t="shared" si="41"/>
        <v>0</v>
      </c>
      <c r="N49" s="30">
        <f t="shared" si="41"/>
        <v>0</v>
      </c>
    </row>
    <row r="50" spans="1:14" s="1" customFormat="1" ht="15.75" x14ac:dyDescent="0.25">
      <c r="A50" s="11">
        <v>34</v>
      </c>
      <c r="B50" s="10" t="s">
        <v>61</v>
      </c>
      <c r="C50" s="31">
        <f>+D50+F50</f>
        <v>514.9</v>
      </c>
      <c r="D50" s="31">
        <v>514.9</v>
      </c>
      <c r="E50" s="31"/>
      <c r="F50" s="31"/>
      <c r="G50" s="72">
        <f t="shared" ref="G50:G51" si="42">+H50+J50</f>
        <v>0</v>
      </c>
      <c r="H50" s="72"/>
      <c r="I50" s="72"/>
      <c r="J50" s="72"/>
      <c r="K50" s="73">
        <f t="shared" ref="K50:K51" si="43">+C50+G50</f>
        <v>514.9</v>
      </c>
      <c r="L50" s="73">
        <f t="shared" ref="L50:L51" si="44">+D50+H50</f>
        <v>514.9</v>
      </c>
      <c r="M50" s="73">
        <f t="shared" ref="M50:M51" si="45">+E50+I50</f>
        <v>0</v>
      </c>
      <c r="N50" s="73">
        <f t="shared" ref="N50:N51" si="46">+F50+J50</f>
        <v>0</v>
      </c>
    </row>
    <row r="51" spans="1:14" s="1" customFormat="1" ht="15.75" x14ac:dyDescent="0.25">
      <c r="A51" s="11">
        <v>35</v>
      </c>
      <c r="B51" s="41" t="s">
        <v>138</v>
      </c>
      <c r="C51" s="31">
        <f>+D51+F51</f>
        <v>364.6</v>
      </c>
      <c r="D51" s="31">
        <v>364.6</v>
      </c>
      <c r="E51" s="31"/>
      <c r="F51" s="31"/>
      <c r="G51" s="72">
        <f t="shared" si="42"/>
        <v>0</v>
      </c>
      <c r="H51" s="72"/>
      <c r="I51" s="72"/>
      <c r="J51" s="72"/>
      <c r="K51" s="73">
        <f t="shared" si="43"/>
        <v>364.6</v>
      </c>
      <c r="L51" s="73">
        <f t="shared" si="44"/>
        <v>364.6</v>
      </c>
      <c r="M51" s="73">
        <f t="shared" si="45"/>
        <v>0</v>
      </c>
      <c r="N51" s="73">
        <f t="shared" si="46"/>
        <v>0</v>
      </c>
    </row>
    <row r="52" spans="1:14" s="1" customFormat="1" ht="63" x14ac:dyDescent="0.25">
      <c r="A52" s="11">
        <v>36</v>
      </c>
      <c r="B52" s="9" t="s">
        <v>190</v>
      </c>
      <c r="C52" s="30">
        <f>+C54</f>
        <v>761.9</v>
      </c>
      <c r="D52" s="30">
        <f>+D54</f>
        <v>694.3</v>
      </c>
      <c r="E52" s="30">
        <f>+E54</f>
        <v>0</v>
      </c>
      <c r="F52" s="30">
        <f>+F54</f>
        <v>67.599999999999994</v>
      </c>
      <c r="G52" s="30">
        <f t="shared" ref="G52:N52" si="47">+G54</f>
        <v>0</v>
      </c>
      <c r="H52" s="30">
        <f t="shared" si="47"/>
        <v>0</v>
      </c>
      <c r="I52" s="30">
        <f t="shared" si="47"/>
        <v>0</v>
      </c>
      <c r="J52" s="30">
        <f t="shared" si="47"/>
        <v>0</v>
      </c>
      <c r="K52" s="30">
        <f t="shared" si="47"/>
        <v>761.9</v>
      </c>
      <c r="L52" s="30">
        <f t="shared" si="47"/>
        <v>694.3</v>
      </c>
      <c r="M52" s="30">
        <f t="shared" si="47"/>
        <v>0</v>
      </c>
      <c r="N52" s="30">
        <f t="shared" si="47"/>
        <v>67.599999999999994</v>
      </c>
    </row>
    <row r="53" spans="1:14" s="1" customFormat="1" ht="15.75" x14ac:dyDescent="0.25">
      <c r="A53" s="11">
        <v>37</v>
      </c>
      <c r="B53" s="63" t="s">
        <v>2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4" s="1" customFormat="1" ht="15.75" x14ac:dyDescent="0.25">
      <c r="A54" s="11">
        <v>38</v>
      </c>
      <c r="B54" s="6" t="s">
        <v>4</v>
      </c>
      <c r="C54" s="30">
        <f>+C55</f>
        <v>761.9</v>
      </c>
      <c r="D54" s="30">
        <f>+D55</f>
        <v>694.3</v>
      </c>
      <c r="E54" s="30">
        <f>+E55</f>
        <v>0</v>
      </c>
      <c r="F54" s="30">
        <f>+F55</f>
        <v>67.599999999999994</v>
      </c>
      <c r="G54" s="30">
        <f t="shared" ref="G54:N54" si="48">+G55</f>
        <v>0</v>
      </c>
      <c r="H54" s="30">
        <f t="shared" si="48"/>
        <v>0</v>
      </c>
      <c r="I54" s="30">
        <f t="shared" si="48"/>
        <v>0</v>
      </c>
      <c r="J54" s="30">
        <f t="shared" si="48"/>
        <v>0</v>
      </c>
      <c r="K54" s="30">
        <f t="shared" si="48"/>
        <v>761.9</v>
      </c>
      <c r="L54" s="30">
        <f t="shared" si="48"/>
        <v>694.3</v>
      </c>
      <c r="M54" s="30">
        <f t="shared" si="48"/>
        <v>0</v>
      </c>
      <c r="N54" s="30">
        <f t="shared" si="48"/>
        <v>67.599999999999994</v>
      </c>
    </row>
    <row r="55" spans="1:14" s="1" customFormat="1" ht="46.5" customHeight="1" x14ac:dyDescent="0.25">
      <c r="A55" s="11">
        <v>39</v>
      </c>
      <c r="B55" s="10" t="s">
        <v>88</v>
      </c>
      <c r="C55" s="31">
        <f>+D55+F55</f>
        <v>761.9</v>
      </c>
      <c r="D55" s="31">
        <f>565.1-120.8+250</f>
        <v>694.3</v>
      </c>
      <c r="E55" s="31"/>
      <c r="F55" s="31">
        <f>317.6-250</f>
        <v>67.599999999999994</v>
      </c>
      <c r="G55" s="72">
        <f>+H55+J55</f>
        <v>0</v>
      </c>
      <c r="H55" s="72"/>
      <c r="I55" s="72"/>
      <c r="J55" s="72"/>
      <c r="K55" s="73">
        <f>+C55+G55</f>
        <v>761.9</v>
      </c>
      <c r="L55" s="73">
        <f t="shared" ref="L55" si="49">+D55+H55</f>
        <v>694.3</v>
      </c>
      <c r="M55" s="73">
        <f t="shared" ref="M55" si="50">+E55+I55</f>
        <v>0</v>
      </c>
      <c r="N55" s="73">
        <f t="shared" ref="N55" si="51">+F55+J55</f>
        <v>67.599999999999994</v>
      </c>
    </row>
    <row r="56" spans="1:14" s="1" customFormat="1" ht="69.75" customHeight="1" x14ac:dyDescent="0.25">
      <c r="A56" s="11">
        <v>40</v>
      </c>
      <c r="B56" s="6" t="s">
        <v>191</v>
      </c>
      <c r="C56" s="30">
        <f t="shared" ref="C56:N57" si="52">+C57</f>
        <v>10.199999999999999</v>
      </c>
      <c r="D56" s="30">
        <f t="shared" si="52"/>
        <v>10.199999999999999</v>
      </c>
      <c r="E56" s="30">
        <f t="shared" si="52"/>
        <v>10</v>
      </c>
      <c r="F56" s="30">
        <f t="shared" si="52"/>
        <v>0</v>
      </c>
      <c r="G56" s="30">
        <f t="shared" si="52"/>
        <v>0</v>
      </c>
      <c r="H56" s="30">
        <f t="shared" si="52"/>
        <v>0</v>
      </c>
      <c r="I56" s="30">
        <f t="shared" si="52"/>
        <v>0</v>
      </c>
      <c r="J56" s="30">
        <f t="shared" si="52"/>
        <v>0</v>
      </c>
      <c r="K56" s="30">
        <f t="shared" si="52"/>
        <v>10.199999999999999</v>
      </c>
      <c r="L56" s="30">
        <f t="shared" si="52"/>
        <v>10.199999999999999</v>
      </c>
      <c r="M56" s="30">
        <f t="shared" si="52"/>
        <v>10</v>
      </c>
      <c r="N56" s="30">
        <f t="shared" si="52"/>
        <v>0</v>
      </c>
    </row>
    <row r="57" spans="1:14" s="1" customFormat="1" ht="15.75" x14ac:dyDescent="0.25">
      <c r="A57" s="11">
        <v>41</v>
      </c>
      <c r="B57" s="6" t="s">
        <v>3</v>
      </c>
      <c r="C57" s="30">
        <f t="shared" si="52"/>
        <v>10.199999999999999</v>
      </c>
      <c r="D57" s="30">
        <f t="shared" si="52"/>
        <v>10.199999999999999</v>
      </c>
      <c r="E57" s="30">
        <f t="shared" si="52"/>
        <v>10</v>
      </c>
      <c r="F57" s="30">
        <f t="shared" si="52"/>
        <v>0</v>
      </c>
      <c r="G57" s="30">
        <f t="shared" si="52"/>
        <v>0</v>
      </c>
      <c r="H57" s="30">
        <f t="shared" si="52"/>
        <v>0</v>
      </c>
      <c r="I57" s="30">
        <f t="shared" si="52"/>
        <v>0</v>
      </c>
      <c r="J57" s="30">
        <f t="shared" si="52"/>
        <v>0</v>
      </c>
      <c r="K57" s="30">
        <f t="shared" si="52"/>
        <v>10.199999999999999</v>
      </c>
      <c r="L57" s="30">
        <f t="shared" si="52"/>
        <v>10.199999999999999</v>
      </c>
      <c r="M57" s="30">
        <f t="shared" si="52"/>
        <v>10</v>
      </c>
      <c r="N57" s="30">
        <f t="shared" si="52"/>
        <v>0</v>
      </c>
    </row>
    <row r="58" spans="1:14" s="1" customFormat="1" ht="15.75" x14ac:dyDescent="0.25">
      <c r="A58" s="11">
        <v>42</v>
      </c>
      <c r="B58" s="5" t="s">
        <v>38</v>
      </c>
      <c r="C58" s="31">
        <f>+D58+F58</f>
        <v>10.199999999999999</v>
      </c>
      <c r="D58" s="31">
        <v>10.199999999999999</v>
      </c>
      <c r="E58" s="31">
        <f>10.1-0.1</f>
        <v>10</v>
      </c>
      <c r="F58" s="31"/>
      <c r="G58" s="72">
        <f>+H58+J58</f>
        <v>0</v>
      </c>
      <c r="H58" s="72"/>
      <c r="I58" s="72"/>
      <c r="J58" s="72"/>
      <c r="K58" s="73">
        <f>+C58+G58</f>
        <v>10.199999999999999</v>
      </c>
      <c r="L58" s="73">
        <f t="shared" ref="L58" si="53">+D58+H58</f>
        <v>10.199999999999999</v>
      </c>
      <c r="M58" s="73">
        <f t="shared" ref="M58" si="54">+E58+I58</f>
        <v>10</v>
      </c>
      <c r="N58" s="73">
        <f t="shared" ref="N58" si="55">+F58+J58</f>
        <v>0</v>
      </c>
    </row>
    <row r="59" spans="1:14" s="1" customFormat="1" ht="63" x14ac:dyDescent="0.25">
      <c r="A59" s="11">
        <v>43</v>
      </c>
      <c r="B59" s="2" t="s">
        <v>147</v>
      </c>
      <c r="C59" s="30">
        <f>+C60+C62</f>
        <v>23.3</v>
      </c>
      <c r="D59" s="30">
        <f t="shared" ref="D59:E59" si="56">+D60+D62</f>
        <v>23.3</v>
      </c>
      <c r="E59" s="30">
        <f t="shared" si="56"/>
        <v>11.9</v>
      </c>
      <c r="F59" s="30">
        <f t="shared" ref="F59:N59" si="57">+F60+F62</f>
        <v>0</v>
      </c>
      <c r="G59" s="30">
        <f t="shared" si="57"/>
        <v>0</v>
      </c>
      <c r="H59" s="30">
        <f t="shared" si="57"/>
        <v>0</v>
      </c>
      <c r="I59" s="30">
        <f t="shared" si="57"/>
        <v>0</v>
      </c>
      <c r="J59" s="30">
        <f t="shared" si="57"/>
        <v>0</v>
      </c>
      <c r="K59" s="30">
        <f t="shared" si="57"/>
        <v>23.3</v>
      </c>
      <c r="L59" s="30">
        <f t="shared" si="57"/>
        <v>23.3</v>
      </c>
      <c r="M59" s="30">
        <f t="shared" si="57"/>
        <v>11.9</v>
      </c>
      <c r="N59" s="30">
        <f t="shared" si="57"/>
        <v>0</v>
      </c>
    </row>
    <row r="60" spans="1:14" s="1" customFormat="1" ht="15.75" x14ac:dyDescent="0.25">
      <c r="A60" s="11">
        <v>44</v>
      </c>
      <c r="B60" s="6" t="s">
        <v>3</v>
      </c>
      <c r="C60" s="30">
        <f>+C61</f>
        <v>12.1</v>
      </c>
      <c r="D60" s="30">
        <f t="shared" ref="D60:N60" si="58">+D61</f>
        <v>12.1</v>
      </c>
      <c r="E60" s="30">
        <f t="shared" si="58"/>
        <v>11.9</v>
      </c>
      <c r="F60" s="30">
        <f t="shared" si="58"/>
        <v>0</v>
      </c>
      <c r="G60" s="30">
        <f t="shared" si="58"/>
        <v>0</v>
      </c>
      <c r="H60" s="30">
        <f t="shared" si="58"/>
        <v>0</v>
      </c>
      <c r="I60" s="30">
        <f t="shared" si="58"/>
        <v>0</v>
      </c>
      <c r="J60" s="30">
        <f t="shared" si="58"/>
        <v>0</v>
      </c>
      <c r="K60" s="30">
        <f t="shared" si="58"/>
        <v>12.1</v>
      </c>
      <c r="L60" s="30">
        <f t="shared" si="58"/>
        <v>12.1</v>
      </c>
      <c r="M60" s="30">
        <f t="shared" si="58"/>
        <v>11.9</v>
      </c>
      <c r="N60" s="30">
        <f t="shared" si="58"/>
        <v>0</v>
      </c>
    </row>
    <row r="61" spans="1:14" s="1" customFormat="1" ht="15.75" x14ac:dyDescent="0.25">
      <c r="A61" s="11">
        <v>45</v>
      </c>
      <c r="B61" s="5" t="s">
        <v>38</v>
      </c>
      <c r="C61" s="31">
        <f>+D61+F61</f>
        <v>12.1</v>
      </c>
      <c r="D61" s="31">
        <v>12.1</v>
      </c>
      <c r="E61" s="31">
        <v>11.9</v>
      </c>
      <c r="F61" s="31"/>
      <c r="G61" s="72">
        <f>+H61+J61</f>
        <v>0</v>
      </c>
      <c r="H61" s="72"/>
      <c r="I61" s="72"/>
      <c r="J61" s="72"/>
      <c r="K61" s="73">
        <f>+C61+G61</f>
        <v>12.1</v>
      </c>
      <c r="L61" s="73">
        <f t="shared" ref="L61" si="59">+D61+H61</f>
        <v>12.1</v>
      </c>
      <c r="M61" s="73">
        <f t="shared" ref="M61" si="60">+E61+I61</f>
        <v>11.9</v>
      </c>
      <c r="N61" s="73">
        <f t="shared" ref="N61" si="61">+F61+J61</f>
        <v>0</v>
      </c>
    </row>
    <row r="62" spans="1:14" s="1" customFormat="1" ht="15.75" x14ac:dyDescent="0.25">
      <c r="A62" s="11">
        <v>46</v>
      </c>
      <c r="B62" s="2" t="s">
        <v>120</v>
      </c>
      <c r="C62" s="30">
        <f>+C63</f>
        <v>11.2</v>
      </c>
      <c r="D62" s="30">
        <f t="shared" ref="D62:N62" si="62">+D63</f>
        <v>11.2</v>
      </c>
      <c r="E62" s="30">
        <f t="shared" si="62"/>
        <v>0</v>
      </c>
      <c r="F62" s="30">
        <f t="shared" si="62"/>
        <v>0</v>
      </c>
      <c r="G62" s="30">
        <f t="shared" si="62"/>
        <v>0</v>
      </c>
      <c r="H62" s="30">
        <f t="shared" si="62"/>
        <v>0</v>
      </c>
      <c r="I62" s="30">
        <f t="shared" si="62"/>
        <v>0</v>
      </c>
      <c r="J62" s="30">
        <f t="shared" si="62"/>
        <v>0</v>
      </c>
      <c r="K62" s="30">
        <f t="shared" si="62"/>
        <v>11.2</v>
      </c>
      <c r="L62" s="30">
        <f t="shared" si="62"/>
        <v>11.2</v>
      </c>
      <c r="M62" s="30">
        <f t="shared" si="62"/>
        <v>0</v>
      </c>
      <c r="N62" s="30">
        <f t="shared" si="62"/>
        <v>0</v>
      </c>
    </row>
    <row r="63" spans="1:14" s="1" customFormat="1" ht="15.75" x14ac:dyDescent="0.25">
      <c r="A63" s="11">
        <v>47</v>
      </c>
      <c r="B63" s="5" t="s">
        <v>133</v>
      </c>
      <c r="C63" s="31">
        <f>+D63+F63</f>
        <v>11.2</v>
      </c>
      <c r="D63" s="31">
        <v>11.2</v>
      </c>
      <c r="E63" s="31"/>
      <c r="F63" s="31"/>
      <c r="G63" s="72">
        <f>+H63+J63</f>
        <v>0</v>
      </c>
      <c r="H63" s="72"/>
      <c r="I63" s="72"/>
      <c r="J63" s="72"/>
      <c r="K63" s="73">
        <f>+C63+G63</f>
        <v>11.2</v>
      </c>
      <c r="L63" s="73">
        <f t="shared" ref="L63" si="63">+D63+H63</f>
        <v>11.2</v>
      </c>
      <c r="M63" s="73">
        <f t="shared" ref="M63" si="64">+E63+I63</f>
        <v>0</v>
      </c>
      <c r="N63" s="73">
        <f t="shared" ref="N63" si="65">+F63+J63</f>
        <v>0</v>
      </c>
    </row>
    <row r="64" spans="1:14" s="1" customFormat="1" ht="31.5" x14ac:dyDescent="0.25">
      <c r="A64" s="11">
        <v>48</v>
      </c>
      <c r="B64" s="9" t="s">
        <v>192</v>
      </c>
      <c r="C64" s="30">
        <f>+C66+C68</f>
        <v>936.1</v>
      </c>
      <c r="D64" s="30">
        <f>+D66+D68</f>
        <v>10</v>
      </c>
      <c r="E64" s="30">
        <f>+E66+E68</f>
        <v>0</v>
      </c>
      <c r="F64" s="30">
        <f>+F66+F68</f>
        <v>926.1</v>
      </c>
      <c r="G64" s="30">
        <f t="shared" ref="G64:N64" si="66">+G66+G68</f>
        <v>0</v>
      </c>
      <c r="H64" s="30">
        <f t="shared" si="66"/>
        <v>0</v>
      </c>
      <c r="I64" s="30">
        <f t="shared" si="66"/>
        <v>0</v>
      </c>
      <c r="J64" s="30">
        <f t="shared" si="66"/>
        <v>0</v>
      </c>
      <c r="K64" s="30">
        <f t="shared" si="66"/>
        <v>936.1</v>
      </c>
      <c r="L64" s="30">
        <f t="shared" si="66"/>
        <v>10</v>
      </c>
      <c r="M64" s="30">
        <f t="shared" si="66"/>
        <v>0</v>
      </c>
      <c r="N64" s="30">
        <f t="shared" si="66"/>
        <v>926.1</v>
      </c>
    </row>
    <row r="65" spans="1:14" s="1" customFormat="1" ht="15.75" x14ac:dyDescent="0.25">
      <c r="A65" s="11">
        <v>49</v>
      </c>
      <c r="B65" s="63" t="s">
        <v>2</v>
      </c>
      <c r="C65" s="31">
        <f>+D65+F65</f>
        <v>0</v>
      </c>
      <c r="D65" s="31"/>
      <c r="E65" s="31"/>
      <c r="F65" s="31"/>
      <c r="G65" s="72"/>
      <c r="H65" s="72"/>
      <c r="I65" s="72"/>
      <c r="J65" s="72"/>
      <c r="K65" s="72"/>
      <c r="L65" s="72"/>
      <c r="M65" s="72"/>
      <c r="N65" s="72"/>
    </row>
    <row r="66" spans="1:14" s="1" customFormat="1" ht="15.75" x14ac:dyDescent="0.25">
      <c r="A66" s="11">
        <v>50</v>
      </c>
      <c r="B66" s="32" t="s">
        <v>49</v>
      </c>
      <c r="C66" s="30">
        <f>+C67</f>
        <v>480.6</v>
      </c>
      <c r="D66" s="30">
        <f>+D67</f>
        <v>0</v>
      </c>
      <c r="E66" s="30">
        <f>+E67</f>
        <v>0</v>
      </c>
      <c r="F66" s="30">
        <f>+F67</f>
        <v>480.6</v>
      </c>
      <c r="G66" s="30">
        <f t="shared" ref="G66:N66" si="67">+G67</f>
        <v>0</v>
      </c>
      <c r="H66" s="30">
        <f t="shared" si="67"/>
        <v>0</v>
      </c>
      <c r="I66" s="30">
        <f t="shared" si="67"/>
        <v>0</v>
      </c>
      <c r="J66" s="30">
        <f t="shared" si="67"/>
        <v>0</v>
      </c>
      <c r="K66" s="30">
        <f t="shared" si="67"/>
        <v>480.6</v>
      </c>
      <c r="L66" s="30">
        <f t="shared" si="67"/>
        <v>0</v>
      </c>
      <c r="M66" s="30">
        <f t="shared" si="67"/>
        <v>0</v>
      </c>
      <c r="N66" s="30">
        <f t="shared" si="67"/>
        <v>480.6</v>
      </c>
    </row>
    <row r="67" spans="1:14" s="1" customFormat="1" ht="31.5" x14ac:dyDescent="0.25">
      <c r="A67" s="11">
        <v>51</v>
      </c>
      <c r="B67" s="10" t="s">
        <v>88</v>
      </c>
      <c r="C67" s="31">
        <f>+D67+F67</f>
        <v>480.6</v>
      </c>
      <c r="D67" s="31"/>
      <c r="E67" s="31"/>
      <c r="F67" s="31">
        <f>491.6-10.5+14.5-15</f>
        <v>480.6</v>
      </c>
      <c r="G67" s="72">
        <f>+H67+J67</f>
        <v>0</v>
      </c>
      <c r="H67" s="72"/>
      <c r="I67" s="72"/>
      <c r="J67" s="72"/>
      <c r="K67" s="73">
        <f>+C67+G67</f>
        <v>480.6</v>
      </c>
      <c r="L67" s="73">
        <f t="shared" ref="L67" si="68">+D67+H67</f>
        <v>0</v>
      </c>
      <c r="M67" s="73">
        <f t="shared" ref="M67" si="69">+E67+I67</f>
        <v>0</v>
      </c>
      <c r="N67" s="73">
        <f t="shared" ref="N67" si="70">+F67+J67</f>
        <v>480.6</v>
      </c>
    </row>
    <row r="68" spans="1:14" s="1" customFormat="1" ht="15.75" x14ac:dyDescent="0.25">
      <c r="A68" s="11">
        <v>52</v>
      </c>
      <c r="B68" s="6" t="s">
        <v>60</v>
      </c>
      <c r="C68" s="30">
        <f>+C69</f>
        <v>455.5</v>
      </c>
      <c r="D68" s="30">
        <f>+D69</f>
        <v>10</v>
      </c>
      <c r="E68" s="30">
        <f>+E69</f>
        <v>0</v>
      </c>
      <c r="F68" s="30">
        <f>+F69</f>
        <v>445.5</v>
      </c>
      <c r="G68" s="30">
        <f t="shared" ref="G68:N68" si="71">+G69</f>
        <v>0</v>
      </c>
      <c r="H68" s="30">
        <f t="shared" si="71"/>
        <v>0</v>
      </c>
      <c r="I68" s="30">
        <f t="shared" si="71"/>
        <v>0</v>
      </c>
      <c r="J68" s="30">
        <f t="shared" si="71"/>
        <v>0</v>
      </c>
      <c r="K68" s="30">
        <f t="shared" si="71"/>
        <v>455.5</v>
      </c>
      <c r="L68" s="30">
        <f t="shared" si="71"/>
        <v>10</v>
      </c>
      <c r="M68" s="30">
        <f t="shared" si="71"/>
        <v>0</v>
      </c>
      <c r="N68" s="30">
        <f t="shared" si="71"/>
        <v>445.5</v>
      </c>
    </row>
    <row r="69" spans="1:14" s="1" customFormat="1" ht="15.75" x14ac:dyDescent="0.25">
      <c r="A69" s="11">
        <v>53</v>
      </c>
      <c r="B69" s="5" t="s">
        <v>124</v>
      </c>
      <c r="C69" s="31">
        <f>+D69+F69</f>
        <v>455.5</v>
      </c>
      <c r="D69" s="31">
        <v>10</v>
      </c>
      <c r="E69" s="31"/>
      <c r="F69" s="31">
        <v>445.5</v>
      </c>
      <c r="G69" s="72">
        <f>+H69+J69</f>
        <v>0</v>
      </c>
      <c r="H69" s="72"/>
      <c r="I69" s="72"/>
      <c r="J69" s="72"/>
      <c r="K69" s="73">
        <f>+C69+G69</f>
        <v>455.5</v>
      </c>
      <c r="L69" s="73">
        <f t="shared" ref="L69" si="72">+D69+H69</f>
        <v>10</v>
      </c>
      <c r="M69" s="73">
        <f t="shared" ref="M69" si="73">+E69+I69</f>
        <v>0</v>
      </c>
      <c r="N69" s="73">
        <f t="shared" ref="N69" si="74">+F69+J69</f>
        <v>445.5</v>
      </c>
    </row>
    <row r="70" spans="1:14" s="1" customFormat="1" ht="31.5" x14ac:dyDescent="0.25">
      <c r="A70" s="11">
        <v>54</v>
      </c>
      <c r="B70" s="6" t="s">
        <v>193</v>
      </c>
      <c r="C70" s="30">
        <f>+C72+C74</f>
        <v>511.5</v>
      </c>
      <c r="D70" s="30">
        <f>+D72+D74</f>
        <v>0</v>
      </c>
      <c r="E70" s="30">
        <f>+E72+E74</f>
        <v>0</v>
      </c>
      <c r="F70" s="30">
        <f>+F72+F74</f>
        <v>511.5</v>
      </c>
      <c r="G70" s="30">
        <f t="shared" ref="G70:N70" si="75">+G72+G74</f>
        <v>0</v>
      </c>
      <c r="H70" s="30">
        <f t="shared" si="75"/>
        <v>0</v>
      </c>
      <c r="I70" s="30">
        <f t="shared" si="75"/>
        <v>0</v>
      </c>
      <c r="J70" s="30">
        <f t="shared" si="75"/>
        <v>0</v>
      </c>
      <c r="K70" s="30">
        <f t="shared" si="75"/>
        <v>511.5</v>
      </c>
      <c r="L70" s="30">
        <f t="shared" si="75"/>
        <v>0</v>
      </c>
      <c r="M70" s="30">
        <f t="shared" si="75"/>
        <v>0</v>
      </c>
      <c r="N70" s="30">
        <f t="shared" si="75"/>
        <v>511.5</v>
      </c>
    </row>
    <row r="71" spans="1:14" s="4" customFormat="1" ht="15.75" x14ac:dyDescent="0.25">
      <c r="A71" s="11">
        <v>55</v>
      </c>
      <c r="B71" s="63" t="s">
        <v>2</v>
      </c>
      <c r="C71" s="30"/>
      <c r="D71" s="30"/>
      <c r="E71" s="30"/>
      <c r="F71" s="30"/>
      <c r="G71" s="60"/>
      <c r="H71" s="60"/>
      <c r="I71" s="60"/>
      <c r="J71" s="60"/>
      <c r="K71" s="60"/>
      <c r="L71" s="60"/>
      <c r="M71" s="60"/>
      <c r="N71" s="60"/>
    </row>
    <row r="72" spans="1:14" s="1" customFormat="1" ht="15.75" x14ac:dyDescent="0.25">
      <c r="A72" s="11">
        <v>56</v>
      </c>
      <c r="B72" s="32" t="s">
        <v>49</v>
      </c>
      <c r="C72" s="30">
        <f>+C73</f>
        <v>461.5</v>
      </c>
      <c r="D72" s="30">
        <f>+D73</f>
        <v>0</v>
      </c>
      <c r="E72" s="30">
        <f>+E73</f>
        <v>0</v>
      </c>
      <c r="F72" s="30">
        <f>+F73</f>
        <v>461.5</v>
      </c>
      <c r="G72" s="30">
        <f t="shared" ref="G72:N72" si="76">+G73</f>
        <v>0</v>
      </c>
      <c r="H72" s="30">
        <f t="shared" si="76"/>
        <v>0</v>
      </c>
      <c r="I72" s="30">
        <f t="shared" si="76"/>
        <v>0</v>
      </c>
      <c r="J72" s="30">
        <f t="shared" si="76"/>
        <v>0</v>
      </c>
      <c r="K72" s="30">
        <f t="shared" si="76"/>
        <v>461.5</v>
      </c>
      <c r="L72" s="30">
        <f t="shared" si="76"/>
        <v>0</v>
      </c>
      <c r="M72" s="30">
        <f t="shared" si="76"/>
        <v>0</v>
      </c>
      <c r="N72" s="30">
        <f t="shared" si="76"/>
        <v>461.5</v>
      </c>
    </row>
    <row r="73" spans="1:14" s="1" customFormat="1" ht="15.75" x14ac:dyDescent="0.25">
      <c r="A73" s="11">
        <v>57</v>
      </c>
      <c r="B73" s="5" t="s">
        <v>72</v>
      </c>
      <c r="C73" s="31">
        <f>+D73+F73</f>
        <v>461.5</v>
      </c>
      <c r="D73" s="31"/>
      <c r="E73" s="31"/>
      <c r="F73" s="31">
        <v>461.5</v>
      </c>
      <c r="G73" s="72">
        <f>+H73+J73</f>
        <v>0</v>
      </c>
      <c r="H73" s="72"/>
      <c r="I73" s="72"/>
      <c r="J73" s="72"/>
      <c r="K73" s="73">
        <f>+C73+G73</f>
        <v>461.5</v>
      </c>
      <c r="L73" s="73">
        <f t="shared" ref="L73" si="77">+D73+H73</f>
        <v>0</v>
      </c>
      <c r="M73" s="73">
        <f t="shared" ref="M73" si="78">+E73+I73</f>
        <v>0</v>
      </c>
      <c r="N73" s="73">
        <f t="shared" ref="N73" si="79">+F73+J73</f>
        <v>461.5</v>
      </c>
    </row>
    <row r="74" spans="1:14" s="4" customFormat="1" ht="15.75" x14ac:dyDescent="0.25">
      <c r="A74" s="11">
        <v>58</v>
      </c>
      <c r="B74" s="6" t="s">
        <v>3</v>
      </c>
      <c r="C74" s="30">
        <f>+C75</f>
        <v>50</v>
      </c>
      <c r="D74" s="30">
        <f>+D75</f>
        <v>0</v>
      </c>
      <c r="E74" s="30">
        <f>+E75</f>
        <v>0</v>
      </c>
      <c r="F74" s="30">
        <f>+F75</f>
        <v>50</v>
      </c>
      <c r="G74" s="30">
        <f t="shared" ref="G74:N74" si="80">+G75</f>
        <v>0</v>
      </c>
      <c r="H74" s="30">
        <f t="shared" si="80"/>
        <v>0</v>
      </c>
      <c r="I74" s="30">
        <f t="shared" si="80"/>
        <v>0</v>
      </c>
      <c r="J74" s="30">
        <f t="shared" si="80"/>
        <v>0</v>
      </c>
      <c r="K74" s="30">
        <f t="shared" si="80"/>
        <v>50</v>
      </c>
      <c r="L74" s="30">
        <f t="shared" si="80"/>
        <v>0</v>
      </c>
      <c r="M74" s="30">
        <f t="shared" si="80"/>
        <v>0</v>
      </c>
      <c r="N74" s="30">
        <f t="shared" si="80"/>
        <v>50</v>
      </c>
    </row>
    <row r="75" spans="1:14" s="1" customFormat="1" ht="15.75" x14ac:dyDescent="0.25">
      <c r="A75" s="11">
        <v>59</v>
      </c>
      <c r="B75" s="5" t="s">
        <v>72</v>
      </c>
      <c r="C75" s="31">
        <f>+D75+F75</f>
        <v>50</v>
      </c>
      <c r="D75" s="31"/>
      <c r="E75" s="31"/>
      <c r="F75" s="31">
        <v>50</v>
      </c>
      <c r="G75" s="72">
        <f>+H75+J75</f>
        <v>0</v>
      </c>
      <c r="H75" s="72"/>
      <c r="I75" s="72"/>
      <c r="J75" s="72"/>
      <c r="K75" s="73">
        <f>+C75+G75</f>
        <v>50</v>
      </c>
      <c r="L75" s="73">
        <f t="shared" ref="L75" si="81">+D75+H75</f>
        <v>0</v>
      </c>
      <c r="M75" s="73">
        <f t="shared" ref="M75" si="82">+E75+I75</f>
        <v>0</v>
      </c>
      <c r="N75" s="73">
        <f t="shared" ref="N75" si="83">+F75+J75</f>
        <v>50</v>
      </c>
    </row>
    <row r="76" spans="1:14" s="1" customFormat="1" ht="47.25" x14ac:dyDescent="0.25">
      <c r="A76" s="11">
        <v>60</v>
      </c>
      <c r="B76" s="2" t="s">
        <v>211</v>
      </c>
      <c r="C76" s="30">
        <f>+C77+C80+C86</f>
        <v>1066.5</v>
      </c>
      <c r="D76" s="30">
        <f t="shared" ref="D76:F76" si="84">+D77+D80+D86</f>
        <v>504.1</v>
      </c>
      <c r="E76" s="30">
        <f t="shared" si="84"/>
        <v>184.6</v>
      </c>
      <c r="F76" s="30">
        <f t="shared" si="84"/>
        <v>562.4</v>
      </c>
      <c r="G76" s="30">
        <f t="shared" ref="G76:N76" si="85">+G77+G80+G86</f>
        <v>0</v>
      </c>
      <c r="H76" s="30">
        <f t="shared" si="85"/>
        <v>0</v>
      </c>
      <c r="I76" s="30">
        <f t="shared" si="85"/>
        <v>0</v>
      </c>
      <c r="J76" s="30">
        <f t="shared" si="85"/>
        <v>0</v>
      </c>
      <c r="K76" s="30">
        <f t="shared" si="85"/>
        <v>1066.5</v>
      </c>
      <c r="L76" s="30">
        <f t="shared" si="85"/>
        <v>504.1</v>
      </c>
      <c r="M76" s="30">
        <f t="shared" si="85"/>
        <v>184.6</v>
      </c>
      <c r="N76" s="30">
        <f t="shared" si="85"/>
        <v>562.4</v>
      </c>
    </row>
    <row r="77" spans="1:14" s="1" customFormat="1" ht="15.75" x14ac:dyDescent="0.25">
      <c r="A77" s="11">
        <v>61</v>
      </c>
      <c r="B77" s="2" t="s">
        <v>6</v>
      </c>
      <c r="C77" s="30">
        <f>+C78</f>
        <v>319.39999999999998</v>
      </c>
      <c r="D77" s="30">
        <f t="shared" ref="D77:N77" si="86">+D78</f>
        <v>319.39999999999998</v>
      </c>
      <c r="E77" s="30">
        <f t="shared" si="86"/>
        <v>155.5</v>
      </c>
      <c r="F77" s="30">
        <f t="shared" si="86"/>
        <v>0</v>
      </c>
      <c r="G77" s="30">
        <f t="shared" si="86"/>
        <v>0</v>
      </c>
      <c r="H77" s="30">
        <f t="shared" si="86"/>
        <v>0</v>
      </c>
      <c r="I77" s="30">
        <f t="shared" si="86"/>
        <v>0</v>
      </c>
      <c r="J77" s="30">
        <f t="shared" si="86"/>
        <v>0</v>
      </c>
      <c r="K77" s="30">
        <f t="shared" si="86"/>
        <v>319.39999999999998</v>
      </c>
      <c r="L77" s="30">
        <f t="shared" si="86"/>
        <v>319.39999999999998</v>
      </c>
      <c r="M77" s="30">
        <f t="shared" si="86"/>
        <v>155.5</v>
      </c>
      <c r="N77" s="30">
        <f t="shared" si="86"/>
        <v>0</v>
      </c>
    </row>
    <row r="78" spans="1:14" s="1" customFormat="1" ht="15.75" x14ac:dyDescent="0.25">
      <c r="A78" s="11">
        <v>62</v>
      </c>
      <c r="B78" s="3" t="s">
        <v>72</v>
      </c>
      <c r="C78" s="31">
        <f>+D78+F78</f>
        <v>319.39999999999998</v>
      </c>
      <c r="D78" s="31">
        <f>113.3+207-0.9</f>
        <v>319.39999999999998</v>
      </c>
      <c r="E78" s="31">
        <f>20.9+135.1-0.5</f>
        <v>155.5</v>
      </c>
      <c r="F78" s="31"/>
      <c r="G78" s="72">
        <f t="shared" ref="G78:G79" si="87">+H78+J78</f>
        <v>0</v>
      </c>
      <c r="H78" s="72"/>
      <c r="I78" s="72"/>
      <c r="J78" s="72"/>
      <c r="K78" s="73">
        <f t="shared" ref="K78:K79" si="88">+C78+G78</f>
        <v>319.39999999999998</v>
      </c>
      <c r="L78" s="73">
        <f t="shared" ref="L78:L79" si="89">+D78+H78</f>
        <v>319.39999999999998</v>
      </c>
      <c r="M78" s="73">
        <f t="shared" ref="M78:M79" si="90">+E78+I78</f>
        <v>155.5</v>
      </c>
      <c r="N78" s="73">
        <f t="shared" ref="N78:N79" si="91">+F78+J78</f>
        <v>0</v>
      </c>
    </row>
    <row r="79" spans="1:14" s="1" customFormat="1" ht="15.75" x14ac:dyDescent="0.25">
      <c r="A79" s="11">
        <v>63</v>
      </c>
      <c r="B79" s="41" t="s">
        <v>138</v>
      </c>
      <c r="C79" s="31">
        <f>+D79+F79</f>
        <v>92</v>
      </c>
      <c r="D79" s="31">
        <v>92</v>
      </c>
      <c r="E79" s="31">
        <v>1</v>
      </c>
      <c r="F79" s="31"/>
      <c r="G79" s="72">
        <f t="shared" si="87"/>
        <v>0</v>
      </c>
      <c r="H79" s="72"/>
      <c r="I79" s="72"/>
      <c r="J79" s="72"/>
      <c r="K79" s="73">
        <f t="shared" si="88"/>
        <v>92</v>
      </c>
      <c r="L79" s="73">
        <f t="shared" si="89"/>
        <v>92</v>
      </c>
      <c r="M79" s="73">
        <f t="shared" si="90"/>
        <v>1</v>
      </c>
      <c r="N79" s="73">
        <f t="shared" si="91"/>
        <v>0</v>
      </c>
    </row>
    <row r="80" spans="1:14" s="1" customFormat="1" ht="15.75" x14ac:dyDescent="0.25">
      <c r="A80" s="11">
        <v>64</v>
      </c>
      <c r="B80" s="2" t="s">
        <v>49</v>
      </c>
      <c r="C80" s="30">
        <f>SUM(C81:C85)</f>
        <v>746.9</v>
      </c>
      <c r="D80" s="30">
        <f t="shared" ref="D80:N80" si="92">SUM(D81:D85)</f>
        <v>184.5</v>
      </c>
      <c r="E80" s="30">
        <f t="shared" si="92"/>
        <v>28.9</v>
      </c>
      <c r="F80" s="30">
        <f t="shared" si="92"/>
        <v>562.4</v>
      </c>
      <c r="G80" s="30">
        <f t="shared" si="92"/>
        <v>0</v>
      </c>
      <c r="H80" s="30">
        <f t="shared" si="92"/>
        <v>0</v>
      </c>
      <c r="I80" s="30">
        <f t="shared" si="92"/>
        <v>0</v>
      </c>
      <c r="J80" s="30">
        <f t="shared" si="92"/>
        <v>0</v>
      </c>
      <c r="K80" s="30">
        <f t="shared" si="92"/>
        <v>746.9</v>
      </c>
      <c r="L80" s="30">
        <f t="shared" si="92"/>
        <v>184.5</v>
      </c>
      <c r="M80" s="30">
        <f t="shared" si="92"/>
        <v>28.9</v>
      </c>
      <c r="N80" s="30">
        <f t="shared" si="92"/>
        <v>562.4</v>
      </c>
    </row>
    <row r="81" spans="1:14" s="1" customFormat="1" ht="31.5" x14ac:dyDescent="0.25">
      <c r="A81" s="11">
        <v>65</v>
      </c>
      <c r="B81" s="49" t="s">
        <v>136</v>
      </c>
      <c r="C81" s="31">
        <f>+D81+F81</f>
        <v>281</v>
      </c>
      <c r="D81" s="31">
        <f>15.8+1.3</f>
        <v>17.100000000000001</v>
      </c>
      <c r="E81" s="31">
        <v>0.3</v>
      </c>
      <c r="F81" s="31">
        <f>242.4+21.5</f>
        <v>263.89999999999998</v>
      </c>
      <c r="G81" s="72">
        <f t="shared" ref="G81:G85" si="93">+H81+J81</f>
        <v>0</v>
      </c>
      <c r="H81" s="72"/>
      <c r="I81" s="72"/>
      <c r="J81" s="72"/>
      <c r="K81" s="73">
        <f t="shared" ref="K81:K85" si="94">+C81+G81</f>
        <v>281</v>
      </c>
      <c r="L81" s="73">
        <f t="shared" ref="L81:L85" si="95">+D81+H81</f>
        <v>17.100000000000001</v>
      </c>
      <c r="M81" s="73">
        <f t="shared" ref="M81:M85" si="96">+E81+I81</f>
        <v>0.3</v>
      </c>
      <c r="N81" s="73">
        <f t="shared" ref="N81:N85" si="97">+F81+J81</f>
        <v>263.89999999999998</v>
      </c>
    </row>
    <row r="82" spans="1:14" s="1" customFormat="1" ht="15.75" x14ac:dyDescent="0.25">
      <c r="A82" s="11">
        <v>66</v>
      </c>
      <c r="B82" s="3" t="s">
        <v>61</v>
      </c>
      <c r="C82" s="31">
        <f>+D82+F82</f>
        <v>212.2</v>
      </c>
      <c r="D82" s="31">
        <v>6.6</v>
      </c>
      <c r="E82" s="31">
        <v>6.5</v>
      </c>
      <c r="F82" s="31">
        <f>139.8+37.8+28</f>
        <v>205.6</v>
      </c>
      <c r="G82" s="72">
        <f t="shared" si="93"/>
        <v>0</v>
      </c>
      <c r="H82" s="72"/>
      <c r="I82" s="72"/>
      <c r="J82" s="72"/>
      <c r="K82" s="73">
        <f t="shared" si="94"/>
        <v>212.2</v>
      </c>
      <c r="L82" s="73">
        <f t="shared" si="95"/>
        <v>6.6</v>
      </c>
      <c r="M82" s="73">
        <f t="shared" si="96"/>
        <v>6.5</v>
      </c>
      <c r="N82" s="73">
        <f t="shared" si="97"/>
        <v>205.6</v>
      </c>
    </row>
    <row r="83" spans="1:14" s="1" customFormat="1" ht="15.75" x14ac:dyDescent="0.25">
      <c r="A83" s="11">
        <v>67</v>
      </c>
      <c r="B83" s="5" t="s">
        <v>194</v>
      </c>
      <c r="C83" s="31">
        <f t="shared" ref="C83:C85" si="98">+D83+F83</f>
        <v>151.6</v>
      </c>
      <c r="D83" s="31">
        <v>151.6</v>
      </c>
      <c r="E83" s="31">
        <v>13.1</v>
      </c>
      <c r="F83" s="31"/>
      <c r="G83" s="72">
        <f t="shared" si="93"/>
        <v>0</v>
      </c>
      <c r="H83" s="72"/>
      <c r="I83" s="72"/>
      <c r="J83" s="72"/>
      <c r="K83" s="73">
        <f t="shared" si="94"/>
        <v>151.6</v>
      </c>
      <c r="L83" s="73">
        <f t="shared" si="95"/>
        <v>151.6</v>
      </c>
      <c r="M83" s="73">
        <f t="shared" si="96"/>
        <v>13.1</v>
      </c>
      <c r="N83" s="73">
        <f t="shared" si="97"/>
        <v>0</v>
      </c>
    </row>
    <row r="84" spans="1:14" s="1" customFormat="1" ht="15.75" x14ac:dyDescent="0.25">
      <c r="A84" s="11">
        <v>68</v>
      </c>
      <c r="B84" s="5" t="s">
        <v>65</v>
      </c>
      <c r="C84" s="31">
        <f t="shared" si="98"/>
        <v>11.9</v>
      </c>
      <c r="D84" s="31">
        <f>0.3+6.9</f>
        <v>7.2</v>
      </c>
      <c r="E84" s="31">
        <f>0.3+6.7</f>
        <v>7</v>
      </c>
      <c r="F84" s="31">
        <f>0.4+4.3</f>
        <v>4.7</v>
      </c>
      <c r="G84" s="72">
        <f t="shared" si="93"/>
        <v>0</v>
      </c>
      <c r="H84" s="72"/>
      <c r="I84" s="72"/>
      <c r="J84" s="72"/>
      <c r="K84" s="73">
        <f t="shared" si="94"/>
        <v>11.9</v>
      </c>
      <c r="L84" s="73">
        <f t="shared" si="95"/>
        <v>7.2</v>
      </c>
      <c r="M84" s="73">
        <f t="shared" si="96"/>
        <v>7</v>
      </c>
      <c r="N84" s="73">
        <f t="shared" si="97"/>
        <v>4.7</v>
      </c>
    </row>
    <row r="85" spans="1:14" s="1" customFormat="1" ht="15.75" x14ac:dyDescent="0.25">
      <c r="A85" s="11">
        <v>69</v>
      </c>
      <c r="B85" s="3" t="s">
        <v>72</v>
      </c>
      <c r="C85" s="31">
        <f t="shared" si="98"/>
        <v>90.2</v>
      </c>
      <c r="D85" s="31">
        <v>2</v>
      </c>
      <c r="E85" s="31">
        <f>2</f>
        <v>2</v>
      </c>
      <c r="F85" s="31">
        <v>88.2</v>
      </c>
      <c r="G85" s="72">
        <f t="shared" si="93"/>
        <v>0</v>
      </c>
      <c r="H85" s="72"/>
      <c r="I85" s="72"/>
      <c r="J85" s="72"/>
      <c r="K85" s="73">
        <f t="shared" si="94"/>
        <v>90.2</v>
      </c>
      <c r="L85" s="73">
        <f t="shared" si="95"/>
        <v>2</v>
      </c>
      <c r="M85" s="73">
        <f t="shared" si="96"/>
        <v>2</v>
      </c>
      <c r="N85" s="73">
        <f t="shared" si="97"/>
        <v>88.2</v>
      </c>
    </row>
    <row r="86" spans="1:14" s="1" customFormat="1" ht="15.75" x14ac:dyDescent="0.25">
      <c r="A86" s="11">
        <v>70</v>
      </c>
      <c r="B86" s="6" t="s">
        <v>5</v>
      </c>
      <c r="C86" s="30">
        <f>+C87</f>
        <v>0.2</v>
      </c>
      <c r="D86" s="30">
        <f t="shared" ref="D86:N86" si="99">+D87</f>
        <v>0.2</v>
      </c>
      <c r="E86" s="30">
        <f t="shared" si="99"/>
        <v>0.2</v>
      </c>
      <c r="F86" s="30">
        <f t="shared" si="99"/>
        <v>0</v>
      </c>
      <c r="G86" s="30">
        <f t="shared" si="99"/>
        <v>0</v>
      </c>
      <c r="H86" s="30">
        <f t="shared" si="99"/>
        <v>0</v>
      </c>
      <c r="I86" s="30">
        <f t="shared" si="99"/>
        <v>0</v>
      </c>
      <c r="J86" s="30">
        <f t="shared" si="99"/>
        <v>0</v>
      </c>
      <c r="K86" s="30">
        <f t="shared" si="99"/>
        <v>0.2</v>
      </c>
      <c r="L86" s="30">
        <f t="shared" si="99"/>
        <v>0.2</v>
      </c>
      <c r="M86" s="30">
        <f t="shared" si="99"/>
        <v>0.2</v>
      </c>
      <c r="N86" s="30">
        <f t="shared" si="99"/>
        <v>0</v>
      </c>
    </row>
    <row r="87" spans="1:14" s="1" customFormat="1" ht="15.75" x14ac:dyDescent="0.25">
      <c r="A87" s="11">
        <v>71</v>
      </c>
      <c r="B87" s="5" t="s">
        <v>65</v>
      </c>
      <c r="C87" s="31">
        <f>+D87+F87</f>
        <v>0.2</v>
      </c>
      <c r="D87" s="31">
        <v>0.2</v>
      </c>
      <c r="E87" s="31">
        <v>0.2</v>
      </c>
      <c r="F87" s="31"/>
      <c r="G87" s="72">
        <f>+H87+J87</f>
        <v>0</v>
      </c>
      <c r="H87" s="72"/>
      <c r="I87" s="72"/>
      <c r="J87" s="72"/>
      <c r="K87" s="73">
        <f>+C87+G87</f>
        <v>0.2</v>
      </c>
      <c r="L87" s="73">
        <f t="shared" ref="L87" si="100">+D87+H87</f>
        <v>0.2</v>
      </c>
      <c r="M87" s="73">
        <f t="shared" ref="M87" si="101">+E87+I87</f>
        <v>0.2</v>
      </c>
      <c r="N87" s="73">
        <f t="shared" ref="N87" si="102">+F87+J87</f>
        <v>0</v>
      </c>
    </row>
    <row r="88" spans="1:14" s="1" customFormat="1" ht="31.5" x14ac:dyDescent="0.25">
      <c r="A88" s="11">
        <v>72</v>
      </c>
      <c r="B88" s="6" t="s">
        <v>126</v>
      </c>
      <c r="C88" s="30">
        <f>+C89+C95+C109+C111+C125+C129</f>
        <v>12954.7</v>
      </c>
      <c r="D88" s="30">
        <f t="shared" ref="D88:F88" si="103">+D89+D95+D109+D111+D125+D129</f>
        <v>3841</v>
      </c>
      <c r="E88" s="30">
        <f t="shared" si="103"/>
        <v>1.2</v>
      </c>
      <c r="F88" s="30">
        <f t="shared" si="103"/>
        <v>9113.7000000000007</v>
      </c>
      <c r="G88" s="30">
        <f t="shared" ref="G88:N88" si="104">+G89+G95+G109+G111+G125+G129</f>
        <v>0</v>
      </c>
      <c r="H88" s="30">
        <f t="shared" si="104"/>
        <v>37.4</v>
      </c>
      <c r="I88" s="30">
        <f t="shared" si="104"/>
        <v>0</v>
      </c>
      <c r="J88" s="30">
        <f t="shared" si="104"/>
        <v>-37.4</v>
      </c>
      <c r="K88" s="30">
        <f t="shared" si="104"/>
        <v>12954.7</v>
      </c>
      <c r="L88" s="30">
        <f t="shared" si="104"/>
        <v>3878.4</v>
      </c>
      <c r="M88" s="30">
        <f t="shared" si="104"/>
        <v>1.2</v>
      </c>
      <c r="N88" s="30">
        <f t="shared" si="104"/>
        <v>9076.2999999999993</v>
      </c>
    </row>
    <row r="89" spans="1:14" s="1" customFormat="1" ht="15.75" x14ac:dyDescent="0.25">
      <c r="A89" s="11">
        <v>73</v>
      </c>
      <c r="B89" s="6" t="s">
        <v>3</v>
      </c>
      <c r="C89" s="30">
        <f>SUM(C90:C94)</f>
        <v>1412.6</v>
      </c>
      <c r="D89" s="30">
        <f t="shared" ref="D89:F89" si="105">SUM(D90:D94)</f>
        <v>45.8</v>
      </c>
      <c r="E89" s="30">
        <f t="shared" si="105"/>
        <v>0</v>
      </c>
      <c r="F89" s="30">
        <f t="shared" si="105"/>
        <v>1366.8</v>
      </c>
      <c r="G89" s="30">
        <f t="shared" ref="G89:N89" si="106">SUM(G90:G94)</f>
        <v>0</v>
      </c>
      <c r="H89" s="30">
        <f t="shared" si="106"/>
        <v>0</v>
      </c>
      <c r="I89" s="30">
        <f t="shared" si="106"/>
        <v>0</v>
      </c>
      <c r="J89" s="30">
        <f t="shared" si="106"/>
        <v>0</v>
      </c>
      <c r="K89" s="30">
        <f t="shared" si="106"/>
        <v>1412.6</v>
      </c>
      <c r="L89" s="30">
        <f t="shared" si="106"/>
        <v>45.8</v>
      </c>
      <c r="M89" s="30">
        <f t="shared" si="106"/>
        <v>0</v>
      </c>
      <c r="N89" s="30">
        <f t="shared" si="106"/>
        <v>1366.8</v>
      </c>
    </row>
    <row r="90" spans="1:14" s="1" customFormat="1" ht="15.75" x14ac:dyDescent="0.25">
      <c r="A90" s="11">
        <v>74</v>
      </c>
      <c r="B90" s="5" t="s">
        <v>38</v>
      </c>
      <c r="C90" s="31">
        <f>+D90+F90</f>
        <v>431.3</v>
      </c>
      <c r="D90" s="31">
        <v>45.8</v>
      </c>
      <c r="E90" s="31"/>
      <c r="F90" s="31">
        <f>3289.7-2904.2</f>
        <v>385.5</v>
      </c>
      <c r="G90" s="72">
        <f>+H90+J90</f>
        <v>0</v>
      </c>
      <c r="H90" s="72"/>
      <c r="I90" s="72"/>
      <c r="J90" s="72"/>
      <c r="K90" s="73">
        <f>+C90+G90</f>
        <v>431.3</v>
      </c>
      <c r="L90" s="73">
        <f t="shared" ref="L90:L94" si="107">+D90+H90</f>
        <v>45.8</v>
      </c>
      <c r="M90" s="73">
        <f t="shared" ref="M90:M94" si="108">+E90+I90</f>
        <v>0</v>
      </c>
      <c r="N90" s="73">
        <f t="shared" ref="N90:N94" si="109">+F90+J90</f>
        <v>385.5</v>
      </c>
    </row>
    <row r="91" spans="1:14" s="1" customFormat="1" ht="31.5" x14ac:dyDescent="0.25">
      <c r="A91" s="11">
        <v>75</v>
      </c>
      <c r="B91" s="5" t="s">
        <v>62</v>
      </c>
      <c r="C91" s="31">
        <f>+D91+F91</f>
        <v>135.19999999999999</v>
      </c>
      <c r="D91" s="31"/>
      <c r="E91" s="31"/>
      <c r="F91" s="31">
        <v>135.19999999999999</v>
      </c>
      <c r="G91" s="72">
        <f t="shared" ref="G91:G94" si="110">+H91+J91</f>
        <v>0</v>
      </c>
      <c r="H91" s="72"/>
      <c r="I91" s="72"/>
      <c r="J91" s="72"/>
      <c r="K91" s="73">
        <f t="shared" ref="K91:K94" si="111">+C91+G91</f>
        <v>135.19999999999999</v>
      </c>
      <c r="L91" s="73">
        <f t="shared" si="107"/>
        <v>0</v>
      </c>
      <c r="M91" s="73">
        <f t="shared" si="108"/>
        <v>0</v>
      </c>
      <c r="N91" s="73">
        <f t="shared" si="109"/>
        <v>135.19999999999999</v>
      </c>
    </row>
    <row r="92" spans="1:14" s="1" customFormat="1" ht="15.75" x14ac:dyDescent="0.25">
      <c r="A92" s="11">
        <v>76</v>
      </c>
      <c r="B92" s="10" t="s">
        <v>69</v>
      </c>
      <c r="C92" s="31">
        <f>+D92+F92</f>
        <v>250.3</v>
      </c>
      <c r="D92" s="31"/>
      <c r="E92" s="31"/>
      <c r="F92" s="31">
        <v>250.3</v>
      </c>
      <c r="G92" s="72">
        <f t="shared" si="110"/>
        <v>0</v>
      </c>
      <c r="H92" s="72"/>
      <c r="I92" s="72"/>
      <c r="J92" s="72"/>
      <c r="K92" s="73">
        <f t="shared" si="111"/>
        <v>250.3</v>
      </c>
      <c r="L92" s="73">
        <f t="shared" si="107"/>
        <v>0</v>
      </c>
      <c r="M92" s="73">
        <f t="shared" si="108"/>
        <v>0</v>
      </c>
      <c r="N92" s="73">
        <f t="shared" si="109"/>
        <v>250.3</v>
      </c>
    </row>
    <row r="93" spans="1:14" s="1" customFormat="1" ht="15.75" x14ac:dyDescent="0.25">
      <c r="A93" s="11">
        <v>77</v>
      </c>
      <c r="B93" s="5" t="s">
        <v>72</v>
      </c>
      <c r="C93" s="31">
        <f>+D93+F93</f>
        <v>345.8</v>
      </c>
      <c r="D93" s="31"/>
      <c r="E93" s="31"/>
      <c r="F93" s="31">
        <f>190+155.8</f>
        <v>345.8</v>
      </c>
      <c r="G93" s="72">
        <f t="shared" si="110"/>
        <v>0</v>
      </c>
      <c r="H93" s="72"/>
      <c r="I93" s="72"/>
      <c r="J93" s="72"/>
      <c r="K93" s="73">
        <f t="shared" si="111"/>
        <v>345.8</v>
      </c>
      <c r="L93" s="73">
        <f t="shared" si="107"/>
        <v>0</v>
      </c>
      <c r="M93" s="73">
        <f t="shared" si="108"/>
        <v>0</v>
      </c>
      <c r="N93" s="73">
        <f t="shared" si="109"/>
        <v>345.8</v>
      </c>
    </row>
    <row r="94" spans="1:14" s="1" customFormat="1" ht="15.75" x14ac:dyDescent="0.25">
      <c r="A94" s="11">
        <v>78</v>
      </c>
      <c r="B94" s="5" t="s">
        <v>78</v>
      </c>
      <c r="C94" s="31">
        <f>+D94+F94</f>
        <v>250</v>
      </c>
      <c r="D94" s="31"/>
      <c r="E94" s="31"/>
      <c r="F94" s="31">
        <f>130+50+70</f>
        <v>250</v>
      </c>
      <c r="G94" s="72">
        <f t="shared" si="110"/>
        <v>0</v>
      </c>
      <c r="H94" s="72"/>
      <c r="I94" s="72"/>
      <c r="J94" s="72"/>
      <c r="K94" s="73">
        <f t="shared" si="111"/>
        <v>250</v>
      </c>
      <c r="L94" s="73">
        <f t="shared" si="107"/>
        <v>0</v>
      </c>
      <c r="M94" s="73">
        <f t="shared" si="108"/>
        <v>0</v>
      </c>
      <c r="N94" s="73">
        <f t="shared" si="109"/>
        <v>250</v>
      </c>
    </row>
    <row r="95" spans="1:14" s="1" customFormat="1" ht="15.75" x14ac:dyDescent="0.25">
      <c r="A95" s="11">
        <v>79</v>
      </c>
      <c r="B95" s="32" t="s">
        <v>49</v>
      </c>
      <c r="C95" s="30">
        <f>+C96+C97+C98+C100+C101+C103+C104+C105+C106+C107+C108</f>
        <v>6050.6</v>
      </c>
      <c r="D95" s="30">
        <f t="shared" ref="D95:N95" si="112">+D96+D97+D98+D100+D101+D103+D104+D105+D106+D107+D108</f>
        <v>377.2</v>
      </c>
      <c r="E95" s="30">
        <f t="shared" si="112"/>
        <v>1.2</v>
      </c>
      <c r="F95" s="30">
        <f t="shared" si="112"/>
        <v>5673.4</v>
      </c>
      <c r="G95" s="30">
        <f t="shared" si="112"/>
        <v>0</v>
      </c>
      <c r="H95" s="30">
        <f t="shared" si="112"/>
        <v>37.4</v>
      </c>
      <c r="I95" s="30">
        <f t="shared" si="112"/>
        <v>0</v>
      </c>
      <c r="J95" s="30">
        <f t="shared" si="112"/>
        <v>-37.4</v>
      </c>
      <c r="K95" s="30">
        <f t="shared" si="112"/>
        <v>6050.6</v>
      </c>
      <c r="L95" s="30">
        <f t="shared" si="112"/>
        <v>414.6</v>
      </c>
      <c r="M95" s="30">
        <f t="shared" si="112"/>
        <v>1.2</v>
      </c>
      <c r="N95" s="30">
        <f t="shared" si="112"/>
        <v>5636</v>
      </c>
    </row>
    <row r="96" spans="1:14" s="1" customFormat="1" ht="31.5" x14ac:dyDescent="0.25">
      <c r="A96" s="11">
        <v>80</v>
      </c>
      <c r="B96" s="49" t="s">
        <v>136</v>
      </c>
      <c r="C96" s="31">
        <f t="shared" ref="C96:C108" si="113">+D96+F96</f>
        <v>67.900000000000006</v>
      </c>
      <c r="D96" s="31">
        <f>48.8+3.6+3</f>
        <v>55.4</v>
      </c>
      <c r="E96" s="31"/>
      <c r="F96" s="31">
        <v>12.5</v>
      </c>
      <c r="G96" s="72">
        <f t="shared" ref="G96:G108" si="114">+H96+J96</f>
        <v>0</v>
      </c>
      <c r="H96" s="72"/>
      <c r="I96" s="72"/>
      <c r="J96" s="72"/>
      <c r="K96" s="73">
        <f t="shared" ref="K96:K108" si="115">+C96+G96</f>
        <v>67.900000000000006</v>
      </c>
      <c r="L96" s="73">
        <f t="shared" ref="L96:L108" si="116">+D96+H96</f>
        <v>55.4</v>
      </c>
      <c r="M96" s="73">
        <f t="shared" ref="M96:M108" si="117">+E96+I96</f>
        <v>0</v>
      </c>
      <c r="N96" s="73">
        <f t="shared" ref="N96:N108" si="118">+F96+J96</f>
        <v>12.5</v>
      </c>
    </row>
    <row r="97" spans="1:14" s="1" customFormat="1" ht="15.75" x14ac:dyDescent="0.25">
      <c r="A97" s="11">
        <v>81</v>
      </c>
      <c r="B97" s="5" t="s">
        <v>38</v>
      </c>
      <c r="C97" s="31">
        <f t="shared" si="113"/>
        <v>22.6</v>
      </c>
      <c r="D97" s="31">
        <v>22.6</v>
      </c>
      <c r="E97" s="31"/>
      <c r="F97" s="31"/>
      <c r="G97" s="72">
        <f t="shared" si="114"/>
        <v>0</v>
      </c>
      <c r="H97" s="72"/>
      <c r="I97" s="72"/>
      <c r="J97" s="72"/>
      <c r="K97" s="73">
        <f t="shared" si="115"/>
        <v>22.6</v>
      </c>
      <c r="L97" s="73">
        <f t="shared" si="116"/>
        <v>22.6</v>
      </c>
      <c r="M97" s="73">
        <f t="shared" si="117"/>
        <v>0</v>
      </c>
      <c r="N97" s="73">
        <f t="shared" si="118"/>
        <v>0</v>
      </c>
    </row>
    <row r="98" spans="1:14" s="1" customFormat="1" ht="15.75" x14ac:dyDescent="0.25">
      <c r="A98" s="11">
        <v>82</v>
      </c>
      <c r="B98" s="49" t="s">
        <v>87</v>
      </c>
      <c r="C98" s="31">
        <f t="shared" si="113"/>
        <v>48.1</v>
      </c>
      <c r="D98" s="31">
        <v>48.1</v>
      </c>
      <c r="E98" s="31"/>
      <c r="F98" s="31"/>
      <c r="G98" s="72">
        <f t="shared" si="114"/>
        <v>0</v>
      </c>
      <c r="H98" s="72"/>
      <c r="I98" s="72"/>
      <c r="J98" s="72"/>
      <c r="K98" s="73">
        <f t="shared" si="115"/>
        <v>48.1</v>
      </c>
      <c r="L98" s="73">
        <f t="shared" si="116"/>
        <v>48.1</v>
      </c>
      <c r="M98" s="73">
        <f t="shared" si="117"/>
        <v>0</v>
      </c>
      <c r="N98" s="73">
        <f t="shared" si="118"/>
        <v>0</v>
      </c>
    </row>
    <row r="99" spans="1:14" s="1" customFormat="1" ht="15.75" x14ac:dyDescent="0.25">
      <c r="A99" s="11">
        <v>83</v>
      </c>
      <c r="B99" s="41" t="s">
        <v>138</v>
      </c>
      <c r="C99" s="31">
        <f t="shared" si="113"/>
        <v>17.100000000000001</v>
      </c>
      <c r="D99" s="31">
        <v>17.100000000000001</v>
      </c>
      <c r="E99" s="31"/>
      <c r="F99" s="31"/>
      <c r="G99" s="72">
        <f t="shared" si="114"/>
        <v>0</v>
      </c>
      <c r="H99" s="72"/>
      <c r="I99" s="72"/>
      <c r="J99" s="72"/>
      <c r="K99" s="73">
        <f t="shared" si="115"/>
        <v>17.100000000000001</v>
      </c>
      <c r="L99" s="73">
        <f t="shared" si="116"/>
        <v>17.100000000000001</v>
      </c>
      <c r="M99" s="73">
        <f t="shared" si="117"/>
        <v>0</v>
      </c>
      <c r="N99" s="73">
        <f t="shared" si="118"/>
        <v>0</v>
      </c>
    </row>
    <row r="100" spans="1:14" s="1" customFormat="1" ht="15.75" x14ac:dyDescent="0.25">
      <c r="A100" s="11">
        <v>84</v>
      </c>
      <c r="B100" s="10" t="s">
        <v>51</v>
      </c>
      <c r="C100" s="31">
        <f t="shared" si="113"/>
        <v>474.7</v>
      </c>
      <c r="D100" s="31">
        <v>1.5</v>
      </c>
      <c r="E100" s="31">
        <v>1.2</v>
      </c>
      <c r="F100" s="31">
        <v>473.2</v>
      </c>
      <c r="G100" s="72">
        <f t="shared" si="114"/>
        <v>0</v>
      </c>
      <c r="H100" s="72"/>
      <c r="I100" s="72"/>
      <c r="J100" s="72"/>
      <c r="K100" s="73">
        <f t="shared" si="115"/>
        <v>474.7</v>
      </c>
      <c r="L100" s="73">
        <f t="shared" si="116"/>
        <v>1.5</v>
      </c>
      <c r="M100" s="73">
        <f t="shared" si="117"/>
        <v>1.2</v>
      </c>
      <c r="N100" s="73">
        <f t="shared" si="118"/>
        <v>473.2</v>
      </c>
    </row>
    <row r="101" spans="1:14" s="1" customFormat="1" ht="31.5" x14ac:dyDescent="0.25">
      <c r="A101" s="11">
        <v>85</v>
      </c>
      <c r="B101" s="10" t="s">
        <v>88</v>
      </c>
      <c r="C101" s="31">
        <f t="shared" si="113"/>
        <v>906.1</v>
      </c>
      <c r="D101" s="31">
        <v>125.3</v>
      </c>
      <c r="E101" s="31"/>
      <c r="F101" s="31">
        <v>780.8</v>
      </c>
      <c r="G101" s="72">
        <f t="shared" si="114"/>
        <v>0</v>
      </c>
      <c r="H101" s="72"/>
      <c r="I101" s="72"/>
      <c r="J101" s="72"/>
      <c r="K101" s="73">
        <f t="shared" si="115"/>
        <v>906.1</v>
      </c>
      <c r="L101" s="73">
        <f t="shared" si="116"/>
        <v>125.3</v>
      </c>
      <c r="M101" s="73">
        <f t="shared" si="117"/>
        <v>0</v>
      </c>
      <c r="N101" s="73">
        <f t="shared" si="118"/>
        <v>780.8</v>
      </c>
    </row>
    <row r="102" spans="1:14" s="1" customFormat="1" ht="15.75" x14ac:dyDescent="0.25">
      <c r="A102" s="11">
        <v>86</v>
      </c>
      <c r="B102" s="41" t="s">
        <v>138</v>
      </c>
      <c r="C102" s="31">
        <v>0.4</v>
      </c>
      <c r="D102" s="31">
        <v>0.4</v>
      </c>
      <c r="E102" s="31"/>
      <c r="F102" s="31"/>
      <c r="G102" s="72">
        <f t="shared" si="114"/>
        <v>0</v>
      </c>
      <c r="H102" s="72"/>
      <c r="I102" s="72"/>
      <c r="J102" s="72"/>
      <c r="K102" s="73">
        <f t="shared" si="115"/>
        <v>0.4</v>
      </c>
      <c r="L102" s="73">
        <f t="shared" si="116"/>
        <v>0.4</v>
      </c>
      <c r="M102" s="73">
        <f t="shared" si="117"/>
        <v>0</v>
      </c>
      <c r="N102" s="73">
        <f t="shared" si="118"/>
        <v>0</v>
      </c>
    </row>
    <row r="103" spans="1:14" s="1" customFormat="1" ht="31.5" x14ac:dyDescent="0.25">
      <c r="A103" s="11">
        <v>87</v>
      </c>
      <c r="B103" s="5" t="s">
        <v>62</v>
      </c>
      <c r="C103" s="31">
        <f t="shared" si="113"/>
        <v>863.3</v>
      </c>
      <c r="D103" s="31"/>
      <c r="E103" s="31"/>
      <c r="F103" s="31">
        <v>863.3</v>
      </c>
      <c r="G103" s="72">
        <f t="shared" si="114"/>
        <v>0</v>
      </c>
      <c r="H103" s="72"/>
      <c r="I103" s="72"/>
      <c r="J103" s="72"/>
      <c r="K103" s="73">
        <f t="shared" si="115"/>
        <v>863.3</v>
      </c>
      <c r="L103" s="73">
        <f t="shared" si="116"/>
        <v>0</v>
      </c>
      <c r="M103" s="73">
        <f t="shared" si="117"/>
        <v>0</v>
      </c>
      <c r="N103" s="73">
        <f t="shared" si="118"/>
        <v>863.3</v>
      </c>
    </row>
    <row r="104" spans="1:14" s="1" customFormat="1" ht="15.75" x14ac:dyDescent="0.25">
      <c r="A104" s="11">
        <v>88</v>
      </c>
      <c r="B104" s="5" t="s">
        <v>194</v>
      </c>
      <c r="C104" s="31">
        <f t="shared" si="113"/>
        <v>1054.5999999999999</v>
      </c>
      <c r="D104" s="31">
        <v>31.7</v>
      </c>
      <c r="E104" s="31"/>
      <c r="F104" s="31">
        <v>1022.9</v>
      </c>
      <c r="G104" s="72">
        <f t="shared" si="114"/>
        <v>0</v>
      </c>
      <c r="H104" s="72"/>
      <c r="I104" s="72"/>
      <c r="J104" s="72"/>
      <c r="K104" s="73">
        <f t="shared" si="115"/>
        <v>1054.5999999999999</v>
      </c>
      <c r="L104" s="73">
        <f t="shared" si="116"/>
        <v>31.7</v>
      </c>
      <c r="M104" s="73">
        <f t="shared" si="117"/>
        <v>0</v>
      </c>
      <c r="N104" s="73">
        <f t="shared" si="118"/>
        <v>1022.9</v>
      </c>
    </row>
    <row r="105" spans="1:14" s="1" customFormat="1" ht="15.75" x14ac:dyDescent="0.25">
      <c r="A105" s="11">
        <v>89</v>
      </c>
      <c r="B105" s="5" t="s">
        <v>65</v>
      </c>
      <c r="C105" s="31">
        <f t="shared" si="113"/>
        <v>226.4</v>
      </c>
      <c r="D105" s="31"/>
      <c r="E105" s="31"/>
      <c r="F105" s="31">
        <v>226.4</v>
      </c>
      <c r="G105" s="72">
        <f t="shared" si="114"/>
        <v>0</v>
      </c>
      <c r="H105" s="72"/>
      <c r="I105" s="72"/>
      <c r="J105" s="72"/>
      <c r="K105" s="73">
        <f t="shared" si="115"/>
        <v>226.4</v>
      </c>
      <c r="L105" s="73">
        <f t="shared" si="116"/>
        <v>0</v>
      </c>
      <c r="M105" s="73">
        <f t="shared" si="117"/>
        <v>0</v>
      </c>
      <c r="N105" s="73">
        <f t="shared" si="118"/>
        <v>226.4</v>
      </c>
    </row>
    <row r="106" spans="1:14" s="1" customFormat="1" ht="15.75" x14ac:dyDescent="0.25">
      <c r="A106" s="11">
        <v>90</v>
      </c>
      <c r="B106" s="10" t="s">
        <v>69</v>
      </c>
      <c r="C106" s="31">
        <f t="shared" si="113"/>
        <v>2044.8</v>
      </c>
      <c r="D106" s="31"/>
      <c r="E106" s="31"/>
      <c r="F106" s="31">
        <v>2044.8</v>
      </c>
      <c r="G106" s="72">
        <f t="shared" si="114"/>
        <v>0</v>
      </c>
      <c r="H106" s="72"/>
      <c r="I106" s="72"/>
      <c r="J106" s="72"/>
      <c r="K106" s="73">
        <f t="shared" si="115"/>
        <v>2044.8</v>
      </c>
      <c r="L106" s="73">
        <f t="shared" si="116"/>
        <v>0</v>
      </c>
      <c r="M106" s="73">
        <f t="shared" si="117"/>
        <v>0</v>
      </c>
      <c r="N106" s="73">
        <f t="shared" si="118"/>
        <v>2044.8</v>
      </c>
    </row>
    <row r="107" spans="1:14" s="1" customFormat="1" ht="15.75" x14ac:dyDescent="0.25">
      <c r="A107" s="11">
        <v>91</v>
      </c>
      <c r="B107" s="5" t="s">
        <v>72</v>
      </c>
      <c r="C107" s="31">
        <f t="shared" si="113"/>
        <v>239.2</v>
      </c>
      <c r="D107" s="31">
        <v>67.2</v>
      </c>
      <c r="E107" s="31"/>
      <c r="F107" s="31">
        <v>172</v>
      </c>
      <c r="G107" s="72">
        <f>+J107+H107</f>
        <v>0</v>
      </c>
      <c r="H107" s="72">
        <v>-8.1999999999999993</v>
      </c>
      <c r="I107" s="72"/>
      <c r="J107" s="72">
        <v>8.1999999999999993</v>
      </c>
      <c r="K107" s="73">
        <f t="shared" si="115"/>
        <v>239.2</v>
      </c>
      <c r="L107" s="73">
        <f t="shared" si="116"/>
        <v>59</v>
      </c>
      <c r="M107" s="73">
        <f t="shared" si="117"/>
        <v>0</v>
      </c>
      <c r="N107" s="73">
        <f t="shared" si="118"/>
        <v>180.2</v>
      </c>
    </row>
    <row r="108" spans="1:14" s="1" customFormat="1" ht="15.75" x14ac:dyDescent="0.25">
      <c r="A108" s="11">
        <v>92</v>
      </c>
      <c r="B108" s="5" t="s">
        <v>78</v>
      </c>
      <c r="C108" s="31">
        <f t="shared" si="113"/>
        <v>102.9</v>
      </c>
      <c r="D108" s="31">
        <v>25.4</v>
      </c>
      <c r="E108" s="31"/>
      <c r="F108" s="31">
        <v>77.5</v>
      </c>
      <c r="G108" s="72">
        <f t="shared" si="114"/>
        <v>0</v>
      </c>
      <c r="H108" s="72">
        <v>45.6</v>
      </c>
      <c r="I108" s="72"/>
      <c r="J108" s="72">
        <v>-45.6</v>
      </c>
      <c r="K108" s="73">
        <f t="shared" si="115"/>
        <v>102.9</v>
      </c>
      <c r="L108" s="73">
        <f t="shared" si="116"/>
        <v>71</v>
      </c>
      <c r="M108" s="73">
        <f t="shared" si="117"/>
        <v>0</v>
      </c>
      <c r="N108" s="73">
        <f t="shared" si="118"/>
        <v>31.9</v>
      </c>
    </row>
    <row r="109" spans="1:14" s="1" customFormat="1" ht="15.75" x14ac:dyDescent="0.25">
      <c r="A109" s="11">
        <v>93</v>
      </c>
      <c r="B109" s="6" t="s">
        <v>60</v>
      </c>
      <c r="C109" s="30">
        <f>+C110</f>
        <v>7.6</v>
      </c>
      <c r="D109" s="30">
        <f>+D110</f>
        <v>0</v>
      </c>
      <c r="E109" s="30">
        <f>+E110</f>
        <v>0</v>
      </c>
      <c r="F109" s="30">
        <f>+F110</f>
        <v>7.6</v>
      </c>
      <c r="G109" s="30">
        <f t="shared" ref="G109:N109" si="119">+G110</f>
        <v>0</v>
      </c>
      <c r="H109" s="30">
        <f t="shared" si="119"/>
        <v>0</v>
      </c>
      <c r="I109" s="30">
        <f t="shared" si="119"/>
        <v>0</v>
      </c>
      <c r="J109" s="30">
        <f t="shared" si="119"/>
        <v>0</v>
      </c>
      <c r="K109" s="30">
        <f t="shared" si="119"/>
        <v>7.6</v>
      </c>
      <c r="L109" s="30">
        <f t="shared" si="119"/>
        <v>0</v>
      </c>
      <c r="M109" s="30">
        <f t="shared" si="119"/>
        <v>0</v>
      </c>
      <c r="N109" s="30">
        <f t="shared" si="119"/>
        <v>7.6</v>
      </c>
    </row>
    <row r="110" spans="1:14" s="1" customFormat="1" ht="15.75" x14ac:dyDescent="0.25">
      <c r="A110" s="11">
        <v>94</v>
      </c>
      <c r="B110" s="5" t="s">
        <v>124</v>
      </c>
      <c r="C110" s="31">
        <f>+D110+F110</f>
        <v>7.6</v>
      </c>
      <c r="D110" s="31"/>
      <c r="E110" s="31"/>
      <c r="F110" s="31">
        <v>7.6</v>
      </c>
      <c r="G110" s="72">
        <f>+H110+J110</f>
        <v>0</v>
      </c>
      <c r="H110" s="72"/>
      <c r="I110" s="72"/>
      <c r="J110" s="72"/>
      <c r="K110" s="73">
        <f>+C110+G110</f>
        <v>7.6</v>
      </c>
      <c r="L110" s="73">
        <f t="shared" ref="L110" si="120">+D110+H110</f>
        <v>0</v>
      </c>
      <c r="M110" s="73">
        <f t="shared" ref="M110" si="121">+E110+I110</f>
        <v>0</v>
      </c>
      <c r="N110" s="73">
        <f t="shared" ref="N110" si="122">+F110+J110</f>
        <v>7.6</v>
      </c>
    </row>
    <row r="111" spans="1:14" s="1" customFormat="1" ht="15.75" x14ac:dyDescent="0.25">
      <c r="A111" s="11">
        <v>95</v>
      </c>
      <c r="B111" s="6" t="s">
        <v>4</v>
      </c>
      <c r="C111" s="30">
        <f>+C112+C113+C115+C117+C119+C121+C123</f>
        <v>4962.8999999999996</v>
      </c>
      <c r="D111" s="30">
        <f t="shared" ref="D111:N111" si="123">+D112+D113+D115+D117+D119+D121+D123</f>
        <v>2986.5</v>
      </c>
      <c r="E111" s="30">
        <f t="shared" si="123"/>
        <v>0</v>
      </c>
      <c r="F111" s="30">
        <f t="shared" si="123"/>
        <v>1976.4</v>
      </c>
      <c r="G111" s="30">
        <f t="shared" si="123"/>
        <v>0</v>
      </c>
      <c r="H111" s="30">
        <f t="shared" si="123"/>
        <v>0</v>
      </c>
      <c r="I111" s="30">
        <f t="shared" si="123"/>
        <v>0</v>
      </c>
      <c r="J111" s="30">
        <f t="shared" si="123"/>
        <v>0</v>
      </c>
      <c r="K111" s="30">
        <f t="shared" si="123"/>
        <v>4962.8999999999996</v>
      </c>
      <c r="L111" s="30">
        <f t="shared" si="123"/>
        <v>2986.5</v>
      </c>
      <c r="M111" s="30">
        <f t="shared" si="123"/>
        <v>0</v>
      </c>
      <c r="N111" s="30">
        <f t="shared" si="123"/>
        <v>1976.4</v>
      </c>
    </row>
    <row r="112" spans="1:14" s="1" customFormat="1" ht="15.75" x14ac:dyDescent="0.25">
      <c r="A112" s="11">
        <v>96</v>
      </c>
      <c r="B112" s="10" t="s">
        <v>51</v>
      </c>
      <c r="C112" s="31">
        <f t="shared" ref="C112:C124" si="124">+D112+F112</f>
        <v>1.8</v>
      </c>
      <c r="D112" s="31">
        <v>1.8</v>
      </c>
      <c r="E112" s="31"/>
      <c r="F112" s="31"/>
      <c r="G112" s="72">
        <f t="shared" ref="G112:G124" si="125">+H112+J112</f>
        <v>0</v>
      </c>
      <c r="H112" s="72"/>
      <c r="I112" s="72"/>
      <c r="J112" s="72"/>
      <c r="K112" s="73">
        <f t="shared" ref="K112:K124" si="126">+C112+G112</f>
        <v>1.8</v>
      </c>
      <c r="L112" s="73">
        <f t="shared" ref="L112:L124" si="127">+D112+H112</f>
        <v>1.8</v>
      </c>
      <c r="M112" s="73">
        <f t="shared" ref="M112:M124" si="128">+E112+I112</f>
        <v>0</v>
      </c>
      <c r="N112" s="73">
        <f t="shared" ref="N112:N124" si="129">+F112+J112</f>
        <v>0</v>
      </c>
    </row>
    <row r="113" spans="1:14" s="1" customFormat="1" ht="31.5" x14ac:dyDescent="0.25">
      <c r="A113" s="11">
        <v>97</v>
      </c>
      <c r="B113" s="10" t="s">
        <v>88</v>
      </c>
      <c r="C113" s="31">
        <f t="shared" si="124"/>
        <v>2229.4</v>
      </c>
      <c r="D113" s="31">
        <v>2162.5</v>
      </c>
      <c r="E113" s="31"/>
      <c r="F113" s="31">
        <v>66.900000000000006</v>
      </c>
      <c r="G113" s="72">
        <f t="shared" si="125"/>
        <v>0</v>
      </c>
      <c r="H113" s="72"/>
      <c r="I113" s="72"/>
      <c r="J113" s="72"/>
      <c r="K113" s="73">
        <f t="shared" si="126"/>
        <v>2229.4</v>
      </c>
      <c r="L113" s="73">
        <f t="shared" si="127"/>
        <v>2162.5</v>
      </c>
      <c r="M113" s="73">
        <f t="shared" si="128"/>
        <v>0</v>
      </c>
      <c r="N113" s="73">
        <f t="shared" si="129"/>
        <v>66.900000000000006</v>
      </c>
    </row>
    <row r="114" spans="1:14" s="1" customFormat="1" ht="15.75" x14ac:dyDescent="0.25">
      <c r="A114" s="11">
        <v>98</v>
      </c>
      <c r="B114" s="41" t="s">
        <v>138</v>
      </c>
      <c r="C114" s="31">
        <f t="shared" si="124"/>
        <v>118.8</v>
      </c>
      <c r="D114" s="31">
        <v>118.8</v>
      </c>
      <c r="E114" s="31"/>
      <c r="F114" s="31"/>
      <c r="G114" s="72">
        <f t="shared" si="125"/>
        <v>0</v>
      </c>
      <c r="H114" s="72"/>
      <c r="I114" s="72"/>
      <c r="J114" s="72"/>
      <c r="K114" s="73">
        <f t="shared" si="126"/>
        <v>118.8</v>
      </c>
      <c r="L114" s="73">
        <f t="shared" si="127"/>
        <v>118.8</v>
      </c>
      <c r="M114" s="73">
        <f t="shared" si="128"/>
        <v>0</v>
      </c>
      <c r="N114" s="73">
        <f t="shared" si="129"/>
        <v>0</v>
      </c>
    </row>
    <row r="115" spans="1:14" s="1" customFormat="1" ht="31.5" x14ac:dyDescent="0.25">
      <c r="A115" s="11">
        <v>99</v>
      </c>
      <c r="B115" s="5" t="s">
        <v>62</v>
      </c>
      <c r="C115" s="31">
        <f t="shared" si="124"/>
        <v>1865.3</v>
      </c>
      <c r="D115" s="31">
        <f>242.7+90.4</f>
        <v>333.1</v>
      </c>
      <c r="E115" s="31"/>
      <c r="F115" s="31">
        <v>1532.2</v>
      </c>
      <c r="G115" s="72">
        <f t="shared" si="125"/>
        <v>0</v>
      </c>
      <c r="H115" s="72"/>
      <c r="I115" s="72"/>
      <c r="J115" s="72"/>
      <c r="K115" s="73">
        <f t="shared" si="126"/>
        <v>1865.3</v>
      </c>
      <c r="L115" s="73">
        <f t="shared" si="127"/>
        <v>333.1</v>
      </c>
      <c r="M115" s="73">
        <f t="shared" si="128"/>
        <v>0</v>
      </c>
      <c r="N115" s="73">
        <f t="shared" si="129"/>
        <v>1532.2</v>
      </c>
    </row>
    <row r="116" spans="1:14" s="1" customFormat="1" ht="15.75" x14ac:dyDescent="0.25">
      <c r="A116" s="11">
        <v>100</v>
      </c>
      <c r="B116" s="41" t="s">
        <v>138</v>
      </c>
      <c r="C116" s="31">
        <f t="shared" si="124"/>
        <v>333.1</v>
      </c>
      <c r="D116" s="31">
        <f>242.7+90.4</f>
        <v>333.1</v>
      </c>
      <c r="E116" s="31"/>
      <c r="F116" s="31"/>
      <c r="G116" s="72">
        <f t="shared" si="125"/>
        <v>0</v>
      </c>
      <c r="H116" s="72"/>
      <c r="I116" s="72"/>
      <c r="J116" s="72"/>
      <c r="K116" s="73">
        <f t="shared" si="126"/>
        <v>333.1</v>
      </c>
      <c r="L116" s="73">
        <f t="shared" si="127"/>
        <v>333.1</v>
      </c>
      <c r="M116" s="73">
        <f t="shared" si="128"/>
        <v>0</v>
      </c>
      <c r="N116" s="73">
        <f t="shared" si="129"/>
        <v>0</v>
      </c>
    </row>
    <row r="117" spans="1:14" s="1" customFormat="1" ht="15.75" x14ac:dyDescent="0.25">
      <c r="A117" s="11">
        <v>101</v>
      </c>
      <c r="B117" s="5" t="s">
        <v>194</v>
      </c>
      <c r="C117" s="31">
        <f t="shared" si="124"/>
        <v>21.9</v>
      </c>
      <c r="D117" s="31">
        <v>21.9</v>
      </c>
      <c r="E117" s="31"/>
      <c r="F117" s="31"/>
      <c r="G117" s="72">
        <f t="shared" si="125"/>
        <v>0</v>
      </c>
      <c r="H117" s="72"/>
      <c r="I117" s="72"/>
      <c r="J117" s="72"/>
      <c r="K117" s="73">
        <f t="shared" si="126"/>
        <v>21.9</v>
      </c>
      <c r="L117" s="73">
        <f t="shared" si="127"/>
        <v>21.9</v>
      </c>
      <c r="M117" s="73">
        <f t="shared" si="128"/>
        <v>0</v>
      </c>
      <c r="N117" s="73">
        <f t="shared" si="129"/>
        <v>0</v>
      </c>
    </row>
    <row r="118" spans="1:14" s="1" customFormat="1" ht="15.75" x14ac:dyDescent="0.25">
      <c r="A118" s="11">
        <v>102</v>
      </c>
      <c r="B118" s="41" t="s">
        <v>138</v>
      </c>
      <c r="C118" s="31">
        <f t="shared" si="124"/>
        <v>21.9</v>
      </c>
      <c r="D118" s="31">
        <v>21.9</v>
      </c>
      <c r="E118" s="31"/>
      <c r="F118" s="31"/>
      <c r="G118" s="72">
        <f t="shared" si="125"/>
        <v>0</v>
      </c>
      <c r="H118" s="72"/>
      <c r="I118" s="72"/>
      <c r="J118" s="72"/>
      <c r="K118" s="73">
        <f t="shared" si="126"/>
        <v>21.9</v>
      </c>
      <c r="L118" s="73">
        <f t="shared" si="127"/>
        <v>21.9</v>
      </c>
      <c r="M118" s="73">
        <f t="shared" si="128"/>
        <v>0</v>
      </c>
      <c r="N118" s="73">
        <f t="shared" si="129"/>
        <v>0</v>
      </c>
    </row>
    <row r="119" spans="1:14" s="1" customFormat="1" ht="15.75" x14ac:dyDescent="0.25">
      <c r="A119" s="11">
        <v>103</v>
      </c>
      <c r="B119" s="5" t="s">
        <v>65</v>
      </c>
      <c r="C119" s="31">
        <f t="shared" si="124"/>
        <v>798.8</v>
      </c>
      <c r="D119" s="31">
        <v>421.5</v>
      </c>
      <c r="E119" s="31"/>
      <c r="F119" s="31">
        <f>192.4+184.9</f>
        <v>377.3</v>
      </c>
      <c r="G119" s="72">
        <f t="shared" si="125"/>
        <v>0</v>
      </c>
      <c r="H119" s="72"/>
      <c r="I119" s="72"/>
      <c r="J119" s="72"/>
      <c r="K119" s="73">
        <f t="shared" si="126"/>
        <v>798.8</v>
      </c>
      <c r="L119" s="73">
        <f t="shared" si="127"/>
        <v>421.5</v>
      </c>
      <c r="M119" s="73">
        <f t="shared" si="128"/>
        <v>0</v>
      </c>
      <c r="N119" s="73">
        <f t="shared" si="129"/>
        <v>377.3</v>
      </c>
    </row>
    <row r="120" spans="1:14" s="1" customFormat="1" ht="15.75" x14ac:dyDescent="0.25">
      <c r="A120" s="11">
        <v>104</v>
      </c>
      <c r="B120" s="41" t="s">
        <v>138</v>
      </c>
      <c r="C120" s="31">
        <f t="shared" si="124"/>
        <v>421.5</v>
      </c>
      <c r="D120" s="31">
        <v>421.5</v>
      </c>
      <c r="E120" s="31"/>
      <c r="F120" s="31"/>
      <c r="G120" s="72">
        <f t="shared" si="125"/>
        <v>0</v>
      </c>
      <c r="H120" s="72"/>
      <c r="I120" s="72"/>
      <c r="J120" s="72"/>
      <c r="K120" s="73">
        <f t="shared" si="126"/>
        <v>421.5</v>
      </c>
      <c r="L120" s="73">
        <f t="shared" si="127"/>
        <v>421.5</v>
      </c>
      <c r="M120" s="73">
        <f t="shared" si="128"/>
        <v>0</v>
      </c>
      <c r="N120" s="73">
        <f t="shared" si="129"/>
        <v>0</v>
      </c>
    </row>
    <row r="121" spans="1:14" s="1" customFormat="1" ht="15.75" x14ac:dyDescent="0.25">
      <c r="A121" s="11">
        <v>105</v>
      </c>
      <c r="B121" s="10" t="s">
        <v>69</v>
      </c>
      <c r="C121" s="31">
        <f t="shared" si="124"/>
        <v>28.7</v>
      </c>
      <c r="D121" s="31">
        <v>28.7</v>
      </c>
      <c r="E121" s="31"/>
      <c r="F121" s="31"/>
      <c r="G121" s="72">
        <f t="shared" si="125"/>
        <v>0</v>
      </c>
      <c r="H121" s="72"/>
      <c r="I121" s="72"/>
      <c r="J121" s="72"/>
      <c r="K121" s="73">
        <f t="shared" si="126"/>
        <v>28.7</v>
      </c>
      <c r="L121" s="73">
        <f t="shared" si="127"/>
        <v>28.7</v>
      </c>
      <c r="M121" s="73">
        <f t="shared" si="128"/>
        <v>0</v>
      </c>
      <c r="N121" s="73">
        <f t="shared" si="129"/>
        <v>0</v>
      </c>
    </row>
    <row r="122" spans="1:14" s="1" customFormat="1" ht="15.75" x14ac:dyDescent="0.25">
      <c r="A122" s="11">
        <v>106</v>
      </c>
      <c r="B122" s="41" t="s">
        <v>138</v>
      </c>
      <c r="C122" s="31">
        <f t="shared" si="124"/>
        <v>28.7</v>
      </c>
      <c r="D122" s="31">
        <v>28.7</v>
      </c>
      <c r="E122" s="31"/>
      <c r="F122" s="31"/>
      <c r="G122" s="72">
        <f t="shared" si="125"/>
        <v>0</v>
      </c>
      <c r="H122" s="72"/>
      <c r="I122" s="72"/>
      <c r="J122" s="72"/>
      <c r="K122" s="73">
        <f t="shared" si="126"/>
        <v>28.7</v>
      </c>
      <c r="L122" s="73">
        <f t="shared" si="127"/>
        <v>28.7</v>
      </c>
      <c r="M122" s="73">
        <f t="shared" si="128"/>
        <v>0</v>
      </c>
      <c r="N122" s="73">
        <f t="shared" si="129"/>
        <v>0</v>
      </c>
    </row>
    <row r="123" spans="1:14" s="1" customFormat="1" ht="15.75" x14ac:dyDescent="0.25">
      <c r="A123" s="11">
        <v>107</v>
      </c>
      <c r="B123" s="5" t="s">
        <v>72</v>
      </c>
      <c r="C123" s="31">
        <f t="shared" si="124"/>
        <v>17</v>
      </c>
      <c r="D123" s="31">
        <v>17</v>
      </c>
      <c r="E123" s="31"/>
      <c r="F123" s="31"/>
      <c r="G123" s="72">
        <f t="shared" si="125"/>
        <v>0</v>
      </c>
      <c r="H123" s="72"/>
      <c r="I123" s="72"/>
      <c r="J123" s="72"/>
      <c r="K123" s="73">
        <f t="shared" si="126"/>
        <v>17</v>
      </c>
      <c r="L123" s="73">
        <f t="shared" si="127"/>
        <v>17</v>
      </c>
      <c r="M123" s="73">
        <f t="shared" si="128"/>
        <v>0</v>
      </c>
      <c r="N123" s="73">
        <f t="shared" si="129"/>
        <v>0</v>
      </c>
    </row>
    <row r="124" spans="1:14" s="1" customFormat="1" ht="15.75" x14ac:dyDescent="0.25">
      <c r="A124" s="11">
        <v>108</v>
      </c>
      <c r="B124" s="41" t="s">
        <v>138</v>
      </c>
      <c r="C124" s="31">
        <f t="shared" si="124"/>
        <v>17</v>
      </c>
      <c r="D124" s="31">
        <v>17</v>
      </c>
      <c r="E124" s="31"/>
      <c r="F124" s="31"/>
      <c r="G124" s="72">
        <f t="shared" si="125"/>
        <v>0</v>
      </c>
      <c r="H124" s="72"/>
      <c r="I124" s="72"/>
      <c r="J124" s="72"/>
      <c r="K124" s="73">
        <f t="shared" si="126"/>
        <v>17</v>
      </c>
      <c r="L124" s="73">
        <f t="shared" si="127"/>
        <v>17</v>
      </c>
      <c r="M124" s="73">
        <f t="shared" si="128"/>
        <v>0</v>
      </c>
      <c r="N124" s="73">
        <f t="shared" si="129"/>
        <v>0</v>
      </c>
    </row>
    <row r="125" spans="1:14" s="1" customFormat="1" ht="15.75" x14ac:dyDescent="0.25">
      <c r="A125" s="11">
        <v>109</v>
      </c>
      <c r="B125" s="6" t="s">
        <v>5</v>
      </c>
      <c r="C125" s="30">
        <f>+C126+C128</f>
        <v>146.5</v>
      </c>
      <c r="D125" s="30">
        <f t="shared" ref="D125:N125" si="130">+D126+D128</f>
        <v>57</v>
      </c>
      <c r="E125" s="30">
        <f t="shared" si="130"/>
        <v>0</v>
      </c>
      <c r="F125" s="30">
        <f t="shared" si="130"/>
        <v>89.5</v>
      </c>
      <c r="G125" s="30">
        <f t="shared" si="130"/>
        <v>0</v>
      </c>
      <c r="H125" s="30">
        <f t="shared" si="130"/>
        <v>0</v>
      </c>
      <c r="I125" s="30">
        <f t="shared" si="130"/>
        <v>0</v>
      </c>
      <c r="J125" s="30">
        <f t="shared" si="130"/>
        <v>0</v>
      </c>
      <c r="K125" s="30">
        <f t="shared" si="130"/>
        <v>146.5</v>
      </c>
      <c r="L125" s="30">
        <f t="shared" si="130"/>
        <v>57</v>
      </c>
      <c r="M125" s="30">
        <f t="shared" si="130"/>
        <v>0</v>
      </c>
      <c r="N125" s="30">
        <f t="shared" si="130"/>
        <v>89.5</v>
      </c>
    </row>
    <row r="126" spans="1:14" s="1" customFormat="1" ht="15.75" x14ac:dyDescent="0.25">
      <c r="A126" s="11">
        <v>110</v>
      </c>
      <c r="B126" s="5" t="s">
        <v>194</v>
      </c>
      <c r="C126" s="31">
        <f>+D126+F126</f>
        <v>122.8</v>
      </c>
      <c r="D126" s="31">
        <v>51</v>
      </c>
      <c r="E126" s="31"/>
      <c r="F126" s="31">
        <v>71.8</v>
      </c>
      <c r="G126" s="72">
        <f t="shared" ref="G126:G128" si="131">+H126+J126</f>
        <v>0</v>
      </c>
      <c r="H126" s="72"/>
      <c r="I126" s="72"/>
      <c r="J126" s="72"/>
      <c r="K126" s="73">
        <f t="shared" ref="K126:K128" si="132">+C126+G126</f>
        <v>122.8</v>
      </c>
      <c r="L126" s="73">
        <f t="shared" ref="L126:L128" si="133">+D126+H126</f>
        <v>51</v>
      </c>
      <c r="M126" s="73">
        <f t="shared" ref="M126:M128" si="134">+E126+I126</f>
        <v>0</v>
      </c>
      <c r="N126" s="73">
        <f t="shared" ref="N126:N128" si="135">+F126+J126</f>
        <v>71.8</v>
      </c>
    </row>
    <row r="127" spans="1:14" s="1" customFormat="1" ht="15.75" x14ac:dyDescent="0.25">
      <c r="A127" s="11">
        <v>111</v>
      </c>
      <c r="B127" s="41" t="s">
        <v>138</v>
      </c>
      <c r="C127" s="31">
        <f>+D127+F127</f>
        <v>36</v>
      </c>
      <c r="D127" s="31">
        <v>36</v>
      </c>
      <c r="E127" s="31"/>
      <c r="F127" s="31"/>
      <c r="G127" s="72">
        <f t="shared" si="131"/>
        <v>0</v>
      </c>
      <c r="H127" s="72"/>
      <c r="I127" s="72"/>
      <c r="J127" s="72"/>
      <c r="K127" s="73">
        <f t="shared" si="132"/>
        <v>36</v>
      </c>
      <c r="L127" s="73">
        <f t="shared" si="133"/>
        <v>36</v>
      </c>
      <c r="M127" s="73">
        <f t="shared" si="134"/>
        <v>0</v>
      </c>
      <c r="N127" s="73">
        <f t="shared" si="135"/>
        <v>0</v>
      </c>
    </row>
    <row r="128" spans="1:14" s="1" customFormat="1" ht="15.75" x14ac:dyDescent="0.25">
      <c r="A128" s="11">
        <v>112</v>
      </c>
      <c r="B128" s="10" t="s">
        <v>69</v>
      </c>
      <c r="C128" s="31">
        <f>+D128+F128</f>
        <v>23.7</v>
      </c>
      <c r="D128" s="31">
        <v>6</v>
      </c>
      <c r="E128" s="31"/>
      <c r="F128" s="31">
        <v>17.7</v>
      </c>
      <c r="G128" s="72">
        <f t="shared" si="131"/>
        <v>0</v>
      </c>
      <c r="H128" s="72"/>
      <c r="I128" s="72"/>
      <c r="J128" s="72"/>
      <c r="K128" s="73">
        <f t="shared" si="132"/>
        <v>23.7</v>
      </c>
      <c r="L128" s="73">
        <f t="shared" si="133"/>
        <v>6</v>
      </c>
      <c r="M128" s="73">
        <f t="shared" si="134"/>
        <v>0</v>
      </c>
      <c r="N128" s="73">
        <f t="shared" si="135"/>
        <v>17.7</v>
      </c>
    </row>
    <row r="129" spans="1:14" s="1" customFormat="1" ht="15.75" x14ac:dyDescent="0.25">
      <c r="A129" s="11">
        <v>113</v>
      </c>
      <c r="B129" s="6" t="s">
        <v>6</v>
      </c>
      <c r="C129" s="30">
        <f>+C130+C132</f>
        <v>374.5</v>
      </c>
      <c r="D129" s="30">
        <f t="shared" ref="D129:N129" si="136">+D130+D132</f>
        <v>374.5</v>
      </c>
      <c r="E129" s="30">
        <f t="shared" si="136"/>
        <v>0</v>
      </c>
      <c r="F129" s="30">
        <f t="shared" si="136"/>
        <v>0</v>
      </c>
      <c r="G129" s="30">
        <f t="shared" si="136"/>
        <v>0</v>
      </c>
      <c r="H129" s="30">
        <f t="shared" si="136"/>
        <v>0</v>
      </c>
      <c r="I129" s="30">
        <f t="shared" si="136"/>
        <v>0</v>
      </c>
      <c r="J129" s="30">
        <f t="shared" si="136"/>
        <v>0</v>
      </c>
      <c r="K129" s="30">
        <f t="shared" si="136"/>
        <v>374.5</v>
      </c>
      <c r="L129" s="30">
        <f t="shared" si="136"/>
        <v>374.5</v>
      </c>
      <c r="M129" s="30">
        <f t="shared" si="136"/>
        <v>0</v>
      </c>
      <c r="N129" s="30">
        <f t="shared" si="136"/>
        <v>0</v>
      </c>
    </row>
    <row r="130" spans="1:14" s="1" customFormat="1" ht="15.75" x14ac:dyDescent="0.25">
      <c r="A130" s="11">
        <v>114</v>
      </c>
      <c r="B130" s="5" t="s">
        <v>72</v>
      </c>
      <c r="C130" s="31">
        <f>+D130+F130</f>
        <v>324.5</v>
      </c>
      <c r="D130" s="31">
        <v>324.5</v>
      </c>
      <c r="E130" s="30"/>
      <c r="F130" s="30"/>
      <c r="G130" s="72">
        <f t="shared" ref="G130:G132" si="137">+H130+J130</f>
        <v>0</v>
      </c>
      <c r="H130" s="72"/>
      <c r="I130" s="72"/>
      <c r="J130" s="72"/>
      <c r="K130" s="73">
        <f t="shared" ref="K130:K132" si="138">+C130+G130</f>
        <v>324.5</v>
      </c>
      <c r="L130" s="73">
        <f t="shared" ref="L130:L132" si="139">+D130+H130</f>
        <v>324.5</v>
      </c>
      <c r="M130" s="73">
        <f t="shared" ref="M130:M132" si="140">+E130+I130</f>
        <v>0</v>
      </c>
      <c r="N130" s="73">
        <f t="shared" ref="N130:N132" si="141">+F130+J130</f>
        <v>0</v>
      </c>
    </row>
    <row r="131" spans="1:14" s="1" customFormat="1" ht="15.75" x14ac:dyDescent="0.25">
      <c r="A131" s="11">
        <v>115</v>
      </c>
      <c r="B131" s="41" t="s">
        <v>138</v>
      </c>
      <c r="C131" s="31">
        <f>+D131+F131</f>
        <v>207.2</v>
      </c>
      <c r="D131" s="31">
        <f>83.3+123.9</f>
        <v>207.2</v>
      </c>
      <c r="E131" s="30"/>
      <c r="F131" s="30"/>
      <c r="G131" s="72">
        <f t="shared" si="137"/>
        <v>0</v>
      </c>
      <c r="H131" s="72"/>
      <c r="I131" s="72"/>
      <c r="J131" s="72"/>
      <c r="K131" s="73">
        <f t="shared" si="138"/>
        <v>207.2</v>
      </c>
      <c r="L131" s="73">
        <f t="shared" si="139"/>
        <v>207.2</v>
      </c>
      <c r="M131" s="73">
        <f t="shared" si="140"/>
        <v>0</v>
      </c>
      <c r="N131" s="73">
        <f t="shared" si="141"/>
        <v>0</v>
      </c>
    </row>
    <row r="132" spans="1:14" s="1" customFormat="1" ht="15.75" x14ac:dyDescent="0.25">
      <c r="A132" s="11">
        <v>116</v>
      </c>
      <c r="B132" s="5" t="s">
        <v>78</v>
      </c>
      <c r="C132" s="31">
        <f>+D132+F132</f>
        <v>50</v>
      </c>
      <c r="D132" s="31">
        <v>50</v>
      </c>
      <c r="E132" s="31"/>
      <c r="F132" s="31"/>
      <c r="G132" s="72">
        <f t="shared" si="137"/>
        <v>0</v>
      </c>
      <c r="H132" s="72"/>
      <c r="I132" s="72"/>
      <c r="J132" s="72"/>
      <c r="K132" s="73">
        <f t="shared" si="138"/>
        <v>50</v>
      </c>
      <c r="L132" s="73">
        <f t="shared" si="139"/>
        <v>50</v>
      </c>
      <c r="M132" s="73">
        <f t="shared" si="140"/>
        <v>0</v>
      </c>
      <c r="N132" s="73">
        <f t="shared" si="141"/>
        <v>0</v>
      </c>
    </row>
    <row r="133" spans="1:14" s="1" customFormat="1" ht="15.75" x14ac:dyDescent="0.25">
      <c r="A133" s="11">
        <v>117</v>
      </c>
      <c r="B133" s="6" t="s">
        <v>117</v>
      </c>
      <c r="C133" s="30">
        <f>+C17+C35+C88</f>
        <v>19604.400000000001</v>
      </c>
      <c r="D133" s="30">
        <f>+D17+D35+D88</f>
        <v>8164.7</v>
      </c>
      <c r="E133" s="30">
        <f>+E17+E35+E88</f>
        <v>344.1</v>
      </c>
      <c r="F133" s="30">
        <f>+F17+F35+F88</f>
        <v>11439.7</v>
      </c>
      <c r="G133" s="30">
        <f t="shared" ref="G133:N133" si="142">+G17+G35+G88</f>
        <v>0</v>
      </c>
      <c r="H133" s="30">
        <f t="shared" si="142"/>
        <v>37.4</v>
      </c>
      <c r="I133" s="30">
        <f t="shared" si="142"/>
        <v>0</v>
      </c>
      <c r="J133" s="30">
        <f t="shared" si="142"/>
        <v>-37.4</v>
      </c>
      <c r="K133" s="30">
        <f t="shared" si="142"/>
        <v>19604.400000000001</v>
      </c>
      <c r="L133" s="30">
        <f t="shared" si="142"/>
        <v>8202.1</v>
      </c>
      <c r="M133" s="30">
        <f t="shared" si="142"/>
        <v>344.1</v>
      </c>
      <c r="N133" s="30">
        <f t="shared" si="142"/>
        <v>11402.3</v>
      </c>
    </row>
    <row r="135" spans="1:14" x14ac:dyDescent="0.25">
      <c r="B135" s="56"/>
    </row>
  </sheetData>
  <mergeCells count="18">
    <mergeCell ref="A9:F9"/>
    <mergeCell ref="A13:A15"/>
    <mergeCell ref="B13:B15"/>
    <mergeCell ref="C13:C15"/>
    <mergeCell ref="D13:F13"/>
    <mergeCell ref="D14:E14"/>
    <mergeCell ref="F14:F15"/>
    <mergeCell ref="C12:F12"/>
    <mergeCell ref="G12:J12"/>
    <mergeCell ref="K12:N12"/>
    <mergeCell ref="G13:G15"/>
    <mergeCell ref="H13:J13"/>
    <mergeCell ref="K13:K15"/>
    <mergeCell ref="L13:N13"/>
    <mergeCell ref="H14:I14"/>
    <mergeCell ref="J14:J15"/>
    <mergeCell ref="L14:M14"/>
    <mergeCell ref="N14:N15"/>
  </mergeCells>
  <pageMargins left="0.94488188976377963" right="0.35433070866141736" top="0.74803149606299213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4</vt:i4>
      </vt:variant>
    </vt:vector>
  </HeadingPairs>
  <TitlesOfParts>
    <vt:vector size="8" baseType="lpstr">
      <vt:lpstr>1 pr. pajamos </vt:lpstr>
      <vt:lpstr>1 pr. asignavimai</vt:lpstr>
      <vt:lpstr>2 pr.</vt:lpstr>
      <vt:lpstr>4 pr.</vt:lpstr>
      <vt:lpstr>'1 pr. asignavimai'!Print_Titles</vt:lpstr>
      <vt:lpstr>'1 pr. pajamos '!Print_Titles</vt:lpstr>
      <vt:lpstr>'2 pr.'!Print_Titles</vt:lpstr>
      <vt:lpstr>'4 pr.'!Print_Titles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Evaldas Barcas</dc:creator>
  <cp:lastModifiedBy>Virginija Palaimiene</cp:lastModifiedBy>
  <cp:lastPrinted>2019-05-08T04:50:10Z</cp:lastPrinted>
  <dcterms:created xsi:type="dcterms:W3CDTF">2013-11-22T06:09:34Z</dcterms:created>
  <dcterms:modified xsi:type="dcterms:W3CDTF">2019-05-09T13:34:52Z</dcterms:modified>
</cp:coreProperties>
</file>