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140pr\"/>
    </mc:Choice>
  </mc:AlternateContent>
  <bookViews>
    <workbookView xWindow="0" yWindow="0" windowWidth="28770" windowHeight="12270"/>
  </bookViews>
  <sheets>
    <sheet name="6 programa" sheetId="12" r:id="rId1"/>
    <sheet name="Lyginamoji lentelė" sheetId="13" r:id="rId2"/>
    <sheet name="aiškinamoji lentelė " sheetId="5" state="hidden" r:id="rId3"/>
  </sheets>
  <definedNames>
    <definedName name="_xlnm.Print_Area" localSheetId="0">'6 programa'!$A$1:$N$280</definedName>
    <definedName name="_xlnm.Print_Area" localSheetId="2">'aiškinamoji lentelė '!$A$1:$P$276</definedName>
    <definedName name="_xlnm.Print_Area" localSheetId="1">'Lyginamoji lentelė'!$A$1:$U$277</definedName>
    <definedName name="_xlnm.Print_Titles" localSheetId="0">'6 programa'!$9:$11</definedName>
    <definedName name="_xlnm.Print_Titles" localSheetId="2">'aiškinamoji lentelė '!$6:$8</definedName>
    <definedName name="_xlnm.Print_Titles" localSheetId="1">'Lyginamoji lentelė'!$8:$10</definedName>
  </definedNames>
  <calcPr calcId="162913" fullPrecision="0"/>
</workbook>
</file>

<file path=xl/calcChain.xml><?xml version="1.0" encoding="utf-8"?>
<calcChain xmlns="http://schemas.openxmlformats.org/spreadsheetml/2006/main">
  <c r="H176" i="12" l="1"/>
  <c r="Q259" i="5" l="1"/>
  <c r="S259" i="5" l="1"/>
  <c r="R259" i="5"/>
  <c r="K245" i="5"/>
  <c r="L201" i="13" l="1"/>
  <c r="I176" i="12"/>
  <c r="P192" i="13"/>
  <c r="M192" i="13"/>
  <c r="M191" i="13"/>
  <c r="J191" i="13"/>
  <c r="L196" i="5" l="1"/>
  <c r="K196" i="5"/>
  <c r="P194" i="13"/>
  <c r="M194" i="13"/>
  <c r="H266" i="13" l="1"/>
  <c r="H267" i="13" l="1"/>
  <c r="J224" i="13"/>
  <c r="H108" i="12" l="1"/>
  <c r="J115" i="13"/>
  <c r="H86" i="12" l="1"/>
  <c r="I45" i="12"/>
  <c r="J77" i="5"/>
  <c r="M86" i="13"/>
  <c r="K39" i="5"/>
  <c r="H266" i="12" l="1"/>
  <c r="K150" i="13" l="1"/>
  <c r="K146" i="13"/>
  <c r="I145" i="12"/>
  <c r="J145" i="12"/>
  <c r="H111" i="12" l="1"/>
  <c r="J119" i="13" l="1"/>
  <c r="I61" i="12" l="1"/>
  <c r="N208" i="13" l="1"/>
  <c r="O208" i="13"/>
  <c r="L208" i="13"/>
  <c r="K208" i="13"/>
  <c r="H204" i="12"/>
  <c r="J265" i="5" l="1"/>
  <c r="I266" i="13"/>
  <c r="J266" i="13" s="1"/>
  <c r="P241" i="13"/>
  <c r="M241" i="13"/>
  <c r="J241" i="13"/>
  <c r="J229" i="13"/>
  <c r="J223" i="13"/>
  <c r="J225" i="13"/>
  <c r="I156" i="12" l="1"/>
  <c r="H152" i="12"/>
  <c r="H156" i="12"/>
  <c r="M158" i="13" l="1"/>
  <c r="J157" i="5"/>
  <c r="J159" i="13"/>
  <c r="J158" i="13"/>
  <c r="N153" i="5"/>
  <c r="J151" i="5"/>
  <c r="H84" i="12" l="1"/>
  <c r="J88" i="13"/>
  <c r="J86" i="13"/>
  <c r="J78" i="5"/>
  <c r="J77" i="13"/>
  <c r="J70" i="13"/>
  <c r="M65" i="13"/>
  <c r="J65" i="13"/>
  <c r="H61" i="12"/>
  <c r="H265" i="12" s="1"/>
  <c r="H59" i="12"/>
  <c r="J53" i="5"/>
  <c r="J264" i="5" s="1"/>
  <c r="K53" i="5"/>
  <c r="J104" i="5" l="1"/>
  <c r="J131" i="5" s="1"/>
  <c r="I201" i="13" l="1"/>
  <c r="I108" i="13"/>
  <c r="J109" i="13"/>
  <c r="J94" i="5"/>
  <c r="J67" i="5"/>
  <c r="J37" i="5"/>
  <c r="J108" i="13" l="1"/>
  <c r="J137" i="13" s="1"/>
  <c r="O276" i="13"/>
  <c r="N276" i="13"/>
  <c r="O275" i="13"/>
  <c r="N275" i="13"/>
  <c r="O274" i="13"/>
  <c r="N274" i="13"/>
  <c r="O273" i="13"/>
  <c r="N273" i="13"/>
  <c r="O272" i="13"/>
  <c r="N272" i="13"/>
  <c r="O270" i="13"/>
  <c r="N270" i="13"/>
  <c r="O269" i="13"/>
  <c r="N269" i="13"/>
  <c r="O268" i="13"/>
  <c r="N268" i="13"/>
  <c r="O266" i="13"/>
  <c r="N266" i="13"/>
  <c r="O265" i="13"/>
  <c r="N265" i="13"/>
  <c r="O264" i="13"/>
  <c r="N264" i="13"/>
  <c r="O262" i="13"/>
  <c r="N262" i="13"/>
  <c r="P261" i="13"/>
  <c r="L276" i="13"/>
  <c r="K276" i="13"/>
  <c r="L275" i="13"/>
  <c r="K275" i="13"/>
  <c r="L274" i="13"/>
  <c r="K274" i="13"/>
  <c r="L273" i="13"/>
  <c r="K273" i="13"/>
  <c r="L272" i="13"/>
  <c r="K272" i="13"/>
  <c r="L270" i="13"/>
  <c r="K270" i="13"/>
  <c r="L269" i="13"/>
  <c r="K269" i="13"/>
  <c r="L268" i="13"/>
  <c r="K268" i="13"/>
  <c r="L266" i="13"/>
  <c r="K266" i="13"/>
  <c r="L265" i="13"/>
  <c r="K265" i="13"/>
  <c r="L264" i="13"/>
  <c r="K264" i="13"/>
  <c r="L262" i="13"/>
  <c r="K262" i="13"/>
  <c r="I276" i="13"/>
  <c r="H276" i="13"/>
  <c r="I275" i="13"/>
  <c r="H275" i="13"/>
  <c r="I274" i="13"/>
  <c r="H274" i="13"/>
  <c r="I273" i="13"/>
  <c r="H273" i="13"/>
  <c r="I272" i="13"/>
  <c r="H272" i="13"/>
  <c r="I270" i="13"/>
  <c r="H270" i="13"/>
  <c r="I269" i="13"/>
  <c r="H269" i="13"/>
  <c r="I265" i="13"/>
  <c r="H265" i="13"/>
  <c r="I264" i="13"/>
  <c r="H264" i="13"/>
  <c r="H262" i="13"/>
  <c r="I262" i="13"/>
  <c r="I261" i="13"/>
  <c r="H261" i="13"/>
  <c r="J261" i="13"/>
  <c r="O251" i="13"/>
  <c r="O267" i="13"/>
  <c r="O206" i="13"/>
  <c r="O263" i="13" s="1"/>
  <c r="O201" i="13"/>
  <c r="O175" i="13"/>
  <c r="O172" i="13"/>
  <c r="O150" i="13"/>
  <c r="O146" i="13"/>
  <c r="O108" i="13"/>
  <c r="O137" i="13" s="1"/>
  <c r="O105" i="13"/>
  <c r="O100" i="13"/>
  <c r="O95" i="13"/>
  <c r="O82" i="13"/>
  <c r="O72" i="13"/>
  <c r="O57" i="13"/>
  <c r="O41" i="13"/>
  <c r="N251" i="13"/>
  <c r="N267" i="13"/>
  <c r="N206" i="13"/>
  <c r="N263" i="13" s="1"/>
  <c r="N201" i="13"/>
  <c r="N175" i="13"/>
  <c r="N172" i="13"/>
  <c r="N150" i="13"/>
  <c r="N146" i="13"/>
  <c r="N108" i="13"/>
  <c r="N137" i="13" s="1"/>
  <c r="N105" i="13"/>
  <c r="N100" i="13"/>
  <c r="N95" i="13"/>
  <c r="N82" i="13"/>
  <c r="N72" i="13"/>
  <c r="N57" i="13"/>
  <c r="N41" i="13"/>
  <c r="L251" i="13"/>
  <c r="L267" i="13"/>
  <c r="L206" i="13"/>
  <c r="L175" i="13"/>
  <c r="L172" i="13"/>
  <c r="L150" i="13"/>
  <c r="L146" i="13"/>
  <c r="L108" i="13"/>
  <c r="L137" i="13" s="1"/>
  <c r="L105" i="13"/>
  <c r="L100" i="13"/>
  <c r="L95" i="13"/>
  <c r="L82" i="13"/>
  <c r="L72" i="13"/>
  <c r="L57" i="13"/>
  <c r="L41" i="13"/>
  <c r="K251" i="13"/>
  <c r="K267" i="13"/>
  <c r="K206" i="13"/>
  <c r="K201" i="13"/>
  <c r="K175" i="13"/>
  <c r="K172" i="13"/>
  <c r="K108" i="13"/>
  <c r="K137" i="13" s="1"/>
  <c r="K105" i="13"/>
  <c r="K100" i="13"/>
  <c r="K95" i="13"/>
  <c r="K82" i="13"/>
  <c r="K72" i="13"/>
  <c r="K57" i="13"/>
  <c r="K41" i="13"/>
  <c r="I251" i="13"/>
  <c r="I207" i="13"/>
  <c r="I206" i="13"/>
  <c r="I175" i="13"/>
  <c r="I156" i="13"/>
  <c r="I172" i="13" s="1"/>
  <c r="I150" i="13"/>
  <c r="I139" i="13"/>
  <c r="I146" i="13" s="1"/>
  <c r="I111" i="13"/>
  <c r="I137" i="13" s="1"/>
  <c r="I105" i="13"/>
  <c r="I100" i="13"/>
  <c r="I95" i="13"/>
  <c r="I82" i="13"/>
  <c r="I72" i="13"/>
  <c r="I57" i="13"/>
  <c r="I41" i="13"/>
  <c r="H251" i="13"/>
  <c r="H207" i="13"/>
  <c r="H206" i="13"/>
  <c r="H201" i="13"/>
  <c r="H175" i="13"/>
  <c r="H156" i="13"/>
  <c r="H172" i="13" s="1"/>
  <c r="H150" i="13"/>
  <c r="H139" i="13"/>
  <c r="H146" i="13" s="1"/>
  <c r="H111" i="13"/>
  <c r="H137" i="13" s="1"/>
  <c r="H105" i="13"/>
  <c r="H100" i="13"/>
  <c r="H95" i="13"/>
  <c r="H82" i="13"/>
  <c r="H72" i="13"/>
  <c r="H57" i="13"/>
  <c r="H41" i="13"/>
  <c r="P276" i="13"/>
  <c r="M276" i="13"/>
  <c r="J276" i="13"/>
  <c r="P275" i="13"/>
  <c r="M275" i="13"/>
  <c r="J275" i="13"/>
  <c r="P274" i="13"/>
  <c r="M274" i="13"/>
  <c r="J274" i="13"/>
  <c r="P273" i="13"/>
  <c r="M273" i="13"/>
  <c r="J273" i="13"/>
  <c r="P272" i="13"/>
  <c r="M272" i="13"/>
  <c r="J272" i="13"/>
  <c r="P270" i="13"/>
  <c r="M270" i="13"/>
  <c r="J270" i="13"/>
  <c r="P269" i="13"/>
  <c r="M269" i="13"/>
  <c r="J269" i="13"/>
  <c r="P268" i="13"/>
  <c r="M268" i="13"/>
  <c r="P266" i="13"/>
  <c r="M266" i="13"/>
  <c r="P265" i="13"/>
  <c r="M265" i="13"/>
  <c r="J265" i="13"/>
  <c r="P264" i="13"/>
  <c r="M264" i="13"/>
  <c r="J264" i="13"/>
  <c r="P262" i="13"/>
  <c r="M262" i="13"/>
  <c r="J262" i="13"/>
  <c r="P251" i="13"/>
  <c r="M251" i="13"/>
  <c r="J251" i="13"/>
  <c r="M267" i="13"/>
  <c r="P263" i="13"/>
  <c r="P201" i="13"/>
  <c r="M201" i="13"/>
  <c r="J201" i="13"/>
  <c r="P175" i="13"/>
  <c r="M175" i="13"/>
  <c r="J175" i="13"/>
  <c r="P172" i="13"/>
  <c r="M172" i="13"/>
  <c r="R159" i="13"/>
  <c r="J172" i="13"/>
  <c r="P150" i="13"/>
  <c r="M150" i="13"/>
  <c r="J150" i="13"/>
  <c r="J151" i="13" s="1"/>
  <c r="P146" i="13"/>
  <c r="M146" i="13"/>
  <c r="J263" i="13"/>
  <c r="R134" i="13"/>
  <c r="P137" i="13"/>
  <c r="M261" i="13"/>
  <c r="P105" i="13"/>
  <c r="M105" i="13"/>
  <c r="J105" i="13"/>
  <c r="P100" i="13"/>
  <c r="M100" i="13"/>
  <c r="J100" i="13"/>
  <c r="P95" i="13"/>
  <c r="M95" i="13"/>
  <c r="J95" i="13"/>
  <c r="P82" i="13"/>
  <c r="M82" i="13"/>
  <c r="J82" i="13"/>
  <c r="P72" i="13"/>
  <c r="M72" i="13"/>
  <c r="J72" i="13"/>
  <c r="P57" i="13"/>
  <c r="M57" i="13"/>
  <c r="J57" i="13"/>
  <c r="P41" i="13"/>
  <c r="M41" i="13"/>
  <c r="J41" i="13"/>
  <c r="L263" i="13" l="1"/>
  <c r="L247" i="13"/>
  <c r="H247" i="13"/>
  <c r="I151" i="13"/>
  <c r="N247" i="13"/>
  <c r="I202" i="13"/>
  <c r="K202" i="13"/>
  <c r="I247" i="13"/>
  <c r="I252" i="13" s="1"/>
  <c r="K247" i="13"/>
  <c r="K252" i="13" s="1"/>
  <c r="O261" i="13"/>
  <c r="O260" i="13" s="1"/>
  <c r="O259" i="13" s="1"/>
  <c r="L202" i="13"/>
  <c r="H202" i="13"/>
  <c r="I263" i="13"/>
  <c r="I260" i="13" s="1"/>
  <c r="N202" i="13"/>
  <c r="H268" i="13"/>
  <c r="K261" i="13"/>
  <c r="K263" i="13"/>
  <c r="O202" i="13"/>
  <c r="I268" i="13"/>
  <c r="L261" i="13"/>
  <c r="L260" i="13" s="1"/>
  <c r="L259" i="13" s="1"/>
  <c r="O247" i="13"/>
  <c r="O252" i="13" s="1"/>
  <c r="H263" i="13"/>
  <c r="H260" i="13" s="1"/>
  <c r="N261" i="13"/>
  <c r="N260" i="13" s="1"/>
  <c r="N259" i="13" s="1"/>
  <c r="L252" i="13"/>
  <c r="N252" i="13"/>
  <c r="H271" i="13"/>
  <c r="J202" i="13"/>
  <c r="J260" i="13"/>
  <c r="J271" i="13"/>
  <c r="P106" i="13"/>
  <c r="M271" i="13"/>
  <c r="H106" i="13"/>
  <c r="J247" i="13"/>
  <c r="J252" i="13" s="1"/>
  <c r="P271" i="13"/>
  <c r="I106" i="13"/>
  <c r="I271" i="13"/>
  <c r="K151" i="13"/>
  <c r="K271" i="13"/>
  <c r="L151" i="13"/>
  <c r="L271" i="13"/>
  <c r="N151" i="13"/>
  <c r="N271" i="13"/>
  <c r="O151" i="13"/>
  <c r="O271" i="13"/>
  <c r="P151" i="13"/>
  <c r="M247" i="13"/>
  <c r="M252" i="13" s="1"/>
  <c r="P247" i="13"/>
  <c r="P252" i="13" s="1"/>
  <c r="J106" i="13"/>
  <c r="M106" i="13"/>
  <c r="J268" i="13"/>
  <c r="M202" i="13"/>
  <c r="P202" i="13"/>
  <c r="P260" i="13"/>
  <c r="H151" i="13"/>
  <c r="H252" i="13"/>
  <c r="K106" i="13"/>
  <c r="L106" i="13"/>
  <c r="N106" i="13"/>
  <c r="O106" i="13"/>
  <c r="M137" i="13"/>
  <c r="M151" i="13" s="1"/>
  <c r="M263" i="13"/>
  <c r="M260" i="13" s="1"/>
  <c r="M259" i="13" s="1"/>
  <c r="P267" i="13"/>
  <c r="H207" i="12"/>
  <c r="H259" i="13" l="1"/>
  <c r="H277" i="13" s="1"/>
  <c r="M277" i="13"/>
  <c r="N253" i="13"/>
  <c r="N254" i="13" s="1"/>
  <c r="L277" i="13"/>
  <c r="K260" i="13"/>
  <c r="K259" i="13" s="1"/>
  <c r="K277" i="13" s="1"/>
  <c r="O253" i="13"/>
  <c r="O254" i="13" s="1"/>
  <c r="K253" i="13"/>
  <c r="K254" i="13" s="1"/>
  <c r="I253" i="13"/>
  <c r="I254" i="13" s="1"/>
  <c r="H253" i="13"/>
  <c r="H254" i="13" s="1"/>
  <c r="L253" i="13"/>
  <c r="L254" i="13" s="1"/>
  <c r="O277" i="13"/>
  <c r="N277" i="13"/>
  <c r="P253" i="13"/>
  <c r="P254" i="13" s="1"/>
  <c r="J253" i="13"/>
  <c r="J254" i="13" s="1"/>
  <c r="M253" i="13"/>
  <c r="M254" i="13" s="1"/>
  <c r="P259" i="13"/>
  <c r="P277" i="13" s="1"/>
  <c r="J108" i="12"/>
  <c r="I108" i="12"/>
  <c r="I267" i="13" l="1"/>
  <c r="J267" i="13" s="1"/>
  <c r="J259" i="13" s="1"/>
  <c r="J277" i="13" s="1"/>
  <c r="H155" i="12"/>
  <c r="J236" i="5"/>
  <c r="J224" i="5"/>
  <c r="I259" i="13" l="1"/>
  <c r="I277" i="13" s="1"/>
  <c r="J100" i="12"/>
  <c r="I100" i="12"/>
  <c r="H100" i="12"/>
  <c r="H273" i="12" l="1"/>
  <c r="J267" i="12"/>
  <c r="L266" i="5"/>
  <c r="J264" i="12"/>
  <c r="J275" i="12"/>
  <c r="I275" i="12"/>
  <c r="H275" i="12"/>
  <c r="J273" i="12"/>
  <c r="I273" i="12"/>
  <c r="J271" i="12"/>
  <c r="I271" i="12"/>
  <c r="H271" i="12"/>
  <c r="J269" i="12"/>
  <c r="I269" i="12"/>
  <c r="H269" i="12"/>
  <c r="I267" i="12"/>
  <c r="H267" i="12"/>
  <c r="H268" i="12"/>
  <c r="H260" i="12"/>
  <c r="I250" i="12"/>
  <c r="J250" i="12"/>
  <c r="J206" i="12" l="1"/>
  <c r="J246" i="12" s="1"/>
  <c r="J251" i="12" s="1"/>
  <c r="I206" i="12"/>
  <c r="I246" i="12" s="1"/>
  <c r="I251" i="12" s="1"/>
  <c r="H206" i="12"/>
  <c r="H246" i="12" s="1"/>
  <c r="H201" i="12"/>
  <c r="I201" i="12"/>
  <c r="J201" i="12"/>
  <c r="H172" i="12"/>
  <c r="I172" i="12"/>
  <c r="J172" i="12"/>
  <c r="H149" i="12" l="1"/>
  <c r="H138" i="12"/>
  <c r="H145" i="12" s="1"/>
  <c r="I136" i="12"/>
  <c r="J136" i="12"/>
  <c r="H136" i="12"/>
  <c r="H150" i="12" s="1"/>
  <c r="I105" i="12"/>
  <c r="J105" i="12"/>
  <c r="H105" i="12"/>
  <c r="H95" i="12"/>
  <c r="I95" i="12"/>
  <c r="J95" i="12"/>
  <c r="I83" i="12"/>
  <c r="J83" i="12"/>
  <c r="H83" i="12"/>
  <c r="I73" i="12"/>
  <c r="J73" i="12"/>
  <c r="H73" i="12"/>
  <c r="I58" i="12"/>
  <c r="J58" i="12"/>
  <c r="H58" i="12"/>
  <c r="I42" i="12"/>
  <c r="J42" i="12"/>
  <c r="H42" i="12"/>
  <c r="J274" i="12"/>
  <c r="I274" i="12"/>
  <c r="H274" i="12"/>
  <c r="J272" i="12"/>
  <c r="I272" i="12"/>
  <c r="H272" i="12"/>
  <c r="J268" i="12"/>
  <c r="I268" i="12"/>
  <c r="J266" i="12"/>
  <c r="I266" i="12"/>
  <c r="J265" i="12"/>
  <c r="I265" i="12"/>
  <c r="I264" i="12"/>
  <c r="H264" i="12"/>
  <c r="J263" i="12"/>
  <c r="I263" i="12"/>
  <c r="H263" i="12"/>
  <c r="J261" i="12"/>
  <c r="I261" i="12"/>
  <c r="H261" i="12"/>
  <c r="H250" i="12"/>
  <c r="H251" i="12" s="1"/>
  <c r="J262" i="12"/>
  <c r="I262" i="12"/>
  <c r="J175" i="12"/>
  <c r="J202" i="12" s="1"/>
  <c r="I175" i="12"/>
  <c r="I202" i="12" s="1"/>
  <c r="H175" i="12"/>
  <c r="H202" i="12" s="1"/>
  <c r="L158" i="12"/>
  <c r="J149" i="12"/>
  <c r="J150" i="12" s="1"/>
  <c r="I149" i="12"/>
  <c r="I150" i="12" s="1"/>
  <c r="L133" i="12"/>
  <c r="H106" i="12" l="1"/>
  <c r="I106" i="12"/>
  <c r="J106" i="12"/>
  <c r="I260" i="12"/>
  <c r="I259" i="12" s="1"/>
  <c r="I258" i="12" s="1"/>
  <c r="H262" i="12"/>
  <c r="H259" i="12" s="1"/>
  <c r="H258" i="12" s="1"/>
  <c r="I270" i="12"/>
  <c r="J270" i="12"/>
  <c r="J260" i="12"/>
  <c r="J259" i="12" s="1"/>
  <c r="J258" i="12" s="1"/>
  <c r="H270" i="12"/>
  <c r="L217" i="5"/>
  <c r="K217" i="5"/>
  <c r="L104" i="5"/>
  <c r="K104" i="5"/>
  <c r="J252" i="12" l="1"/>
  <c r="J253" i="12" s="1"/>
  <c r="I252" i="12"/>
  <c r="I253" i="12" s="1"/>
  <c r="J276" i="12"/>
  <c r="H276" i="12"/>
  <c r="I276" i="12"/>
  <c r="H252" i="12"/>
  <c r="H253" i="12" s="1"/>
  <c r="L223" i="5"/>
  <c r="K223" i="5"/>
  <c r="J223" i="5" l="1"/>
  <c r="J169" i="5"/>
  <c r="L245" i="5"/>
  <c r="L51" i="5" l="1"/>
  <c r="K51" i="5"/>
  <c r="J40" i="5"/>
  <c r="J51" i="5" s="1"/>
  <c r="K272" i="5" l="1"/>
  <c r="K67" i="5"/>
  <c r="L67" i="5"/>
  <c r="L88" i="5"/>
  <c r="K88" i="5"/>
  <c r="L265" i="5"/>
  <c r="K265" i="5"/>
  <c r="J272" i="5"/>
  <c r="L272" i="5"/>
  <c r="L264" i="5" l="1"/>
  <c r="K264" i="5"/>
  <c r="L271" i="5"/>
  <c r="K271" i="5"/>
  <c r="J271" i="5"/>
  <c r="K37" i="5" l="1"/>
  <c r="L37" i="5"/>
  <c r="K259" i="5" l="1"/>
  <c r="K209" i="5"/>
  <c r="J196" i="5"/>
  <c r="K99" i="5"/>
  <c r="J88" i="5"/>
  <c r="J75" i="5"/>
  <c r="J249" i="5"/>
  <c r="J235" i="5" l="1"/>
  <c r="L75" i="5" l="1"/>
  <c r="K75" i="5"/>
  <c r="L259" i="5" l="1"/>
  <c r="J232" i="5" l="1"/>
  <c r="J245" i="5" s="1"/>
  <c r="J259" i="5" l="1"/>
  <c r="J137" i="5" l="1"/>
  <c r="J143" i="5" s="1"/>
  <c r="K143" i="5" l="1"/>
  <c r="L143" i="5"/>
  <c r="K260" i="5" l="1"/>
  <c r="K261" i="5"/>
  <c r="K268" i="5"/>
  <c r="K131" i="5"/>
  <c r="L131" i="5"/>
  <c r="K169" i="5"/>
  <c r="L169" i="5"/>
  <c r="K94" i="5" l="1"/>
  <c r="K100" i="5" s="1"/>
  <c r="N128" i="5"/>
  <c r="J263" i="5" l="1"/>
  <c r="L263" i="5"/>
  <c r="K263" i="5"/>
  <c r="K262" i="5"/>
  <c r="K258" i="5" l="1"/>
  <c r="J268" i="5"/>
  <c r="L268" i="5"/>
  <c r="L267" i="5"/>
  <c r="K267" i="5"/>
  <c r="J267" i="5"/>
  <c r="J266" i="5"/>
  <c r="K273" i="5"/>
  <c r="L273" i="5"/>
  <c r="J273" i="5"/>
  <c r="J99" i="5"/>
  <c r="J100" i="5" s="1"/>
  <c r="L99" i="5"/>
  <c r="L94" i="5"/>
  <c r="L100" i="5" l="1"/>
  <c r="J250" i="5" l="1"/>
  <c r="K274" i="5"/>
  <c r="K270" i="5"/>
  <c r="K266" i="5"/>
  <c r="K257" i="5" s="1"/>
  <c r="K269" i="5" l="1"/>
  <c r="K249" i="5" l="1"/>
  <c r="K172" i="5"/>
  <c r="K147" i="5"/>
  <c r="K148" i="5" s="1"/>
  <c r="K197" i="5" l="1"/>
  <c r="K250" i="5"/>
  <c r="K275" i="5" l="1"/>
  <c r="K251" i="5"/>
  <c r="K252" i="5" s="1"/>
  <c r="L147" i="5" l="1"/>
  <c r="L148" i="5" s="1"/>
  <c r="J147" i="5"/>
  <c r="J148" i="5" s="1"/>
  <c r="J261" i="5" l="1"/>
  <c r="J172" i="5" l="1"/>
  <c r="J197" i="5" s="1"/>
  <c r="L172" i="5"/>
  <c r="L262" i="5" l="1"/>
  <c r="J262" i="5"/>
  <c r="L270" i="5"/>
  <c r="J270" i="5"/>
  <c r="L261" i="5" l="1"/>
  <c r="L260" i="5"/>
  <c r="J260" i="5"/>
  <c r="L274" i="5"/>
  <c r="L269" i="5" s="1"/>
  <c r="J258" i="5" l="1"/>
  <c r="J257" i="5" s="1"/>
  <c r="L258" i="5"/>
  <c r="J274" i="5"/>
  <c r="J269" i="5" s="1"/>
  <c r="L257" i="5" l="1"/>
  <c r="L275" i="5" s="1"/>
  <c r="J275" i="5"/>
  <c r="L249" i="5" l="1"/>
  <c r="L197" i="5"/>
  <c r="L250" i="5" l="1"/>
  <c r="J251" i="5" l="1"/>
  <c r="J252" i="5" s="1"/>
  <c r="L251" i="5"/>
  <c r="L252" i="5" s="1"/>
</calcChain>
</file>

<file path=xl/comments1.xml><?xml version="1.0" encoding="utf-8"?>
<comments xmlns="http://schemas.openxmlformats.org/spreadsheetml/2006/main">
  <authors>
    <author>Audra Cepiene</author>
  </authors>
  <commentList>
    <comment ref="E16"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23" authorId="0" shapeId="0">
      <text>
        <r>
          <rPr>
            <b/>
            <sz val="9"/>
            <color indexed="81"/>
            <rFont val="Tahoma"/>
            <family val="2"/>
            <charset val="186"/>
          </rPr>
          <t xml:space="preserve">P2, Klaipėdos miesto darnaus judumo planas (2018-09-13, T2-185), 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 xml:space="preserve">Centrinėje miesto dalyje suformuoti pėsčiųjų takų, zonų ir gatvių tinklą </t>
        </r>
      </text>
    </comment>
    <comment ref="E27"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33" authorId="0" shapeId="0">
      <text>
        <r>
          <rPr>
            <b/>
            <sz val="9"/>
            <color indexed="81"/>
            <rFont val="Tahoma"/>
            <family val="2"/>
            <charset val="186"/>
          </rPr>
          <t xml:space="preserve">P2.1.2.8
</t>
        </r>
        <r>
          <rPr>
            <sz val="9"/>
            <color indexed="81"/>
            <rFont val="Tahoma"/>
            <family val="2"/>
            <charset val="186"/>
          </rPr>
          <t xml:space="preserve">Centrinėje miesto dalyje suformuoti pėsčiųjų takų, zonų ir gatvių tinklą </t>
        </r>
      </text>
    </comment>
    <comment ref="G35"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E36"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38"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43"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D54" authorId="0" shapeId="0">
      <text>
        <r>
          <rPr>
            <b/>
            <sz val="9"/>
            <color indexed="81"/>
            <rFont val="Tahoma"/>
            <family val="2"/>
            <charset val="186"/>
          </rPr>
          <t>SPG protokolas 2016-09-23 Nr. STR-12</t>
        </r>
        <r>
          <rPr>
            <sz val="9"/>
            <color indexed="81"/>
            <rFont val="Tahoma"/>
            <family val="2"/>
            <charset val="186"/>
          </rPr>
          <t xml:space="preserve">
</t>
        </r>
      </text>
    </comment>
    <comment ref="E59"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G68" authorId="0" shapeId="0">
      <text>
        <r>
          <rPr>
            <sz val="9"/>
            <color indexed="81"/>
            <rFont val="Tahoma"/>
            <family val="2"/>
            <charset val="186"/>
          </rPr>
          <t>Gyventojų lėšos</t>
        </r>
      </text>
    </comment>
    <comment ref="E74"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E84"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91" authorId="0" shapeId="0">
      <text>
        <r>
          <rPr>
            <b/>
            <sz val="9"/>
            <color indexed="81"/>
            <rFont val="Tahoma"/>
            <family val="2"/>
            <charset val="186"/>
          </rPr>
          <t xml:space="preserve">P6, Klaipėdos miesto ekonominės plėtros strategija ir įgyvendinimo veiksmų planas iki 2030 metų, 3.3.3. priemonė </t>
        </r>
        <r>
          <rPr>
            <sz val="9"/>
            <color indexed="81"/>
            <rFont val="Tahoma"/>
            <family val="2"/>
            <charset val="186"/>
          </rPr>
          <t xml:space="preserve">
</t>
        </r>
      </text>
    </comment>
    <comment ref="E96"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97" authorId="0" shapeId="0">
      <text>
        <r>
          <rPr>
            <b/>
            <sz val="9"/>
            <color indexed="81"/>
            <rFont val="Tahoma"/>
            <family val="2"/>
            <charset val="186"/>
          </rPr>
          <t xml:space="preserve">P6, Klaipėdos miesto ekonominės plėtros strategija ir įgyvendinimo veiksmų planas iki 2030 metų, 3.3.2. priemonė </t>
        </r>
        <r>
          <rPr>
            <sz val="9"/>
            <color indexed="81"/>
            <rFont val="Tahoma"/>
            <family val="2"/>
            <charset val="186"/>
          </rPr>
          <t xml:space="preserve">
</t>
        </r>
      </text>
    </comment>
    <comment ref="E108"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E132" authorId="0" shapeId="0">
      <text>
        <r>
          <rPr>
            <b/>
            <sz val="9"/>
            <color indexed="81"/>
            <rFont val="Tahoma"/>
            <family val="2"/>
            <charset val="186"/>
          </rPr>
          <t>Klaipėdos miesto darnaus judumo planas (2018-09-13, T2-185)
P6, Klaipėdos miesto ekonominės plėtros strategija ir įgyvendinimo veiksmų planas iki 2030 metų, 3.3.4. priemonė</t>
        </r>
        <r>
          <rPr>
            <sz val="9"/>
            <color indexed="81"/>
            <rFont val="Tahoma"/>
            <family val="2"/>
            <charset val="186"/>
          </rPr>
          <t xml:space="preserve">
 </t>
        </r>
      </text>
    </comment>
    <comment ref="E138"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M138" authorId="0" shapeId="0">
      <text>
        <r>
          <rPr>
            <b/>
            <sz val="9"/>
            <color indexed="81"/>
            <rFont val="Tahoma"/>
            <family val="2"/>
            <charset val="186"/>
          </rPr>
          <t>Iš viso bus įrengta 13 stotelių:</t>
        </r>
        <r>
          <rPr>
            <sz val="9"/>
            <color indexed="81"/>
            <rFont val="Tahoma"/>
            <family val="2"/>
            <charset val="186"/>
          </rPr>
          <t xml:space="preserve"> 
1. Kauno stotelė šiaurės kryptimi (Taikos pr. 55A);
2. Kauno stotelė pietų kryptimi (Taikos pr. 52C);
3. Baltijos stotelė šiaurės kryptimi (Taikos pr. 71A);
4. Baltijos stotelė pietų kryptimi (Taikos pr. 66A);
5. Vėtrungės stotelė pietų kryptimi (Taikos pr. 28);
6. Vėtrungės stotelė šiaurės kryptimi (Taikos pr. 29/33);
7. Naujojo Turgaus stotelė šiaurės kryptimi (Taikos pr. 109);
8. Smiltelės stotelė pietų kryptimi (prie PC „BIG“, Taikos pr. 139);
9. Rasos stotelė šiaurės kryptimi (Šilutės pl. 49B);
10. Žardės stotelė šiaurės kryptimi (Taikos pr. 115);
11. Vyturio stotelė šiaurės kryptimi (Vingio g.39);
12. Bandužių stotelė šiaurės kryptimi (Vingio g. 21A);
13. Sausio 15-osios stotelė pietų kryptimi (Taikos pr.18/18T).
</t>
        </r>
      </text>
    </comment>
    <comment ref="D146" authorId="0" shapeId="0">
      <text>
        <r>
          <rPr>
            <sz val="9"/>
            <color indexed="81"/>
            <rFont val="Tahoma"/>
            <family val="2"/>
            <charset val="186"/>
          </rPr>
          <t>Projektas vykdomas kartu su Autobusų parku</t>
        </r>
      </text>
    </comment>
    <comment ref="E147"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52"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57"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M163" authorId="0" shapeId="0">
      <text>
        <r>
          <rPr>
            <sz val="9"/>
            <color indexed="81"/>
            <rFont val="Tahoma"/>
            <family val="2"/>
            <charset val="186"/>
          </rPr>
          <t>2020 m. Šilutės pl. 48, Šilutės pl. 62, Smiltelės g. 47</t>
        </r>
      </text>
    </comment>
    <comment ref="E173" authorId="0" shapeId="0">
      <text>
        <r>
          <rPr>
            <b/>
            <sz val="9"/>
            <color indexed="81"/>
            <rFont val="Tahoma"/>
            <family val="2"/>
            <charset val="186"/>
          </rPr>
          <t xml:space="preserve"> P2, Klaipėdos miesto darnaus judumo planas (2018-09-13, T2-185), </t>
        </r>
        <r>
          <rPr>
            <sz val="9"/>
            <color indexed="81"/>
            <rFont val="Tahoma"/>
            <family val="2"/>
            <charset val="186"/>
          </rPr>
          <t xml:space="preserve">
</t>
        </r>
      </text>
    </comment>
    <comment ref="E176" authorId="0" shapeId="0">
      <text>
        <r>
          <rPr>
            <b/>
            <sz val="9"/>
            <color indexed="81"/>
            <rFont val="Tahoma"/>
            <family val="2"/>
            <charset val="186"/>
          </rPr>
          <t>P2, Klaipėdos miesto darnaus judumo planas (2018-09-13, T2-185)</t>
        </r>
      </text>
    </comment>
    <comment ref="E183"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r>
          <rPr>
            <b/>
            <sz val="9"/>
            <color indexed="81"/>
            <rFont val="Tahoma"/>
            <family val="2"/>
            <charset val="186"/>
          </rPr>
          <t xml:space="preserve">P2, Klaipėdos miesto darnaus judumo planas (2018-09-13, T2-185), </t>
        </r>
      </text>
    </comment>
    <comment ref="E185" authorId="0" shapeId="0">
      <text>
        <r>
          <rPr>
            <b/>
            <sz val="9"/>
            <color indexed="81"/>
            <rFont val="Tahoma"/>
            <family val="2"/>
            <charset val="186"/>
          </rPr>
          <t xml:space="preserve">2.1.2.5. </t>
        </r>
        <r>
          <rPr>
            <sz val="9"/>
            <color indexed="81"/>
            <rFont val="Tahoma"/>
            <family val="2"/>
            <charset val="186"/>
          </rPr>
          <t xml:space="preserve">Sudaryti sąlygas naujų ekologiškų viešojo transporto rūšių atsiradimui
</t>
        </r>
        <r>
          <rPr>
            <b/>
            <sz val="9"/>
            <color indexed="81"/>
            <rFont val="Tahoma"/>
            <family val="2"/>
            <charset val="186"/>
          </rPr>
          <t>P2,</t>
        </r>
        <r>
          <rPr>
            <sz val="9"/>
            <color indexed="81"/>
            <rFont val="Tahoma"/>
            <family val="2"/>
            <charset val="186"/>
          </rPr>
          <t xml:space="preserve"> </t>
        </r>
        <r>
          <rPr>
            <b/>
            <sz val="9"/>
            <color indexed="81"/>
            <rFont val="Tahoma"/>
            <family val="2"/>
            <charset val="186"/>
          </rPr>
          <t>Klaipėdos miesto darnaus judumo planas (2018-09-13, T2-185)</t>
        </r>
        <r>
          <rPr>
            <sz val="9"/>
            <color indexed="81"/>
            <rFont val="Tahoma"/>
            <family val="2"/>
            <charset val="186"/>
          </rPr>
          <t xml:space="preserve">
</t>
        </r>
      </text>
    </comment>
    <comment ref="E188"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E191"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K191" authorId="0" shapeId="0">
      <text>
        <r>
          <rPr>
            <b/>
            <sz val="9"/>
            <color indexed="81"/>
            <rFont val="Tahoma"/>
            <family val="2"/>
            <charset val="186"/>
          </rPr>
          <t>Rezultatai:</t>
        </r>
        <r>
          <rPr>
            <sz val="9"/>
            <color indexed="81"/>
            <rFont val="Tahoma"/>
            <family val="2"/>
            <charset val="186"/>
          </rPr>
          <t xml:space="preserve">
SPG ir miesto Tarybai pritarus sprendimo projektui, kartu su Projekto partneriais būtų rengiama Projekto paraiška, siekiant miestiečiams parodyti ekonominę ir socialinę darnaus judumo (mobilumo) naudą.
Klaipėdos miesto savivaldybė, dalyvaudama Projekte, tikisi koncentruotis į pagrindinių trijų sričių problematiką (tačiau ji gali būti papildyta, modifikuota pagal vietos veiklos grupės diskusijas):
1) saugumas viešose miesto erdvėse;
2) senamiesčio centrinė dalis bemotoriam transportui; 
3) gyventojų motyvavimas keisti mobilumo įpročius.
Numatomos šios pagrindinės Projekto veiklos:
- partnerių susitikimas problemų identifikavimui ir projekto veiklų įgyvendinimo aptarimas;
- vietos veiklos grupės iš skirtingų visuomenės grupių sudarymas ir jų įtraukties į diskusijų užtikrinimas;
- keitimasis gerąją praktika tarp Projekto partnerių;
- integruoto veiksmų plano rengimas; 
- veiklų viešinimas.
Klaipėdos miesto savivaldybės tarybai pritarus dalyvavimui Projekte partnerio teisėmis bei laimėjus paraiškų konkursą, Klaipėdos miesto savivaldybė prisidėtų prie Klaipėdos miesto darnaus judumo strateginių tikslų siekimo. 
Laukiamas galutinis Projekto rezultatas - kartu su užsienio partneriais, mokslo, vietos valdžios, verslo ir bendruomenių atstovais parengtas integruotas veiksmų planas (IAP) dėl ekonominės ir socialinės darnaus judumo priemonių įgyvendinimo Klaipėdos miesto naudos įvertinimo. 
</t>
        </r>
      </text>
    </comment>
    <comment ref="N192" authorId="0" shapeId="0">
      <text>
        <r>
          <rPr>
            <sz val="9"/>
            <color indexed="81"/>
            <rFont val="Tahoma"/>
            <family val="2"/>
            <charset val="186"/>
          </rPr>
          <t xml:space="preserve">1 fazė (vystymo) nuo 2019-09-02 iki 2020-03-02 (trukmė 6 mėn.) ;
2 fazė (įgyvendinimo) nuo 2020-05-01 iki 2022-05-31 (25 mėn.).
</t>
        </r>
        <r>
          <rPr>
            <b/>
            <sz val="9"/>
            <color indexed="81"/>
            <rFont val="Tahoma"/>
            <family val="2"/>
            <charset val="186"/>
          </rPr>
          <t xml:space="preserve">1) 1 fazė (vystymo): nuo 3.215,00 Eur iki 2.250,00 Eur;
2) 2 fazė (įgyvendinimo): nuo 12.857,00 iki 9.000,00 Eur. </t>
        </r>
        <r>
          <rPr>
            <sz val="9"/>
            <color indexed="81"/>
            <rFont val="Tahoma"/>
            <family val="2"/>
            <charset val="186"/>
          </rPr>
          <t xml:space="preserve">
</t>
        </r>
      </text>
    </comment>
    <comment ref="E194"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K194" authorId="0" shapeId="0">
      <text>
        <r>
          <rPr>
            <b/>
            <sz val="9"/>
            <color indexed="81"/>
            <rFont val="Tahoma"/>
            <family val="2"/>
            <charset val="186"/>
          </rPr>
          <t>Projekto tikslai:</t>
        </r>
        <r>
          <rPr>
            <sz val="9"/>
            <color indexed="81"/>
            <rFont val="Tahoma"/>
            <family val="2"/>
            <charset val="186"/>
          </rPr>
          <t xml:space="preserve">
SUMP-PLUS pagrindiniai tikslai: 
• Plėtoti ir taikyti efektyvius būdus, metodus bei priemones miestams, susiduriantiems su sparčiu eismo augimu (susijusiu su automobilių nuosavybės ir naudojimo padidėjimu), kad jie galėtų nustatyti praktinį būdą kuris per tam tikrą laiką nustatytų kliūtis, kurios trukdo įgyvendinti darnaus judumo tikslus. 
• Parodyti, kaip miestai gali sukurti stipresnius ryšius su kitomis miesto sistemos sudedamosiomis dalimis, kurios sukuria judumo reikalavimus (švietimas, sveikata, mažmeninė prekyba, žemės naudojimo planavimas ir kt.). 
• Nustatyti ir parodyti naujus partnerystės ir verslo modelius, kurie leistų ekonomiškai efektyviai įgyvendinti įvairius judumo tikslus per tinkamas viešojo ir privataus sektoriaus partnerystes.
• Plačiai bendradarbiauti su miestiečiais, lankytojais ir įmonėmis, siekiant susitarti dėl miesto transporto vizijos ir bendrai kurti konkrečius sprendimus
</t>
        </r>
        <r>
          <rPr>
            <b/>
            <sz val="9"/>
            <color indexed="81"/>
            <rFont val="Tahoma"/>
            <family val="2"/>
            <charset val="186"/>
          </rPr>
          <t xml:space="preserve"> Projekto rezultatai:
</t>
        </r>
        <r>
          <rPr>
            <sz val="9"/>
            <color indexed="81"/>
            <rFont val="Tahoma"/>
            <family val="2"/>
            <charset val="186"/>
          </rPr>
          <t>• Klaipėdos miesto Darnaus judumo plano įgyvendinimo proceso stebėsena.
• Konkrečių priemonių įgyvendinimas.</t>
        </r>
        <r>
          <rPr>
            <b/>
            <sz val="9"/>
            <color indexed="81"/>
            <rFont val="Tahoma"/>
            <family val="2"/>
            <charset val="186"/>
          </rPr>
          <t xml:space="preserve">
</t>
        </r>
      </text>
    </comment>
    <comment ref="E197"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198"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L210" authorId="0" shapeId="0">
      <text>
        <r>
          <rPr>
            <b/>
            <sz val="9"/>
            <color indexed="81"/>
            <rFont val="Tahoma"/>
            <family val="2"/>
            <charset val="186"/>
          </rPr>
          <t>59 445 kv.m</t>
        </r>
        <r>
          <rPr>
            <sz val="9"/>
            <color indexed="81"/>
            <rFont val="Tahoma"/>
            <family val="2"/>
            <charset val="186"/>
          </rPr>
          <t xml:space="preserve">
</t>
        </r>
      </text>
    </comment>
    <comment ref="M218" authorId="0" shapeId="0">
      <text>
        <r>
          <rPr>
            <b/>
            <sz val="9"/>
            <color indexed="81"/>
            <rFont val="Tahoma"/>
            <family val="2"/>
            <charset val="186"/>
          </rPr>
          <t xml:space="preserve">78 500 kv.m </t>
        </r>
        <r>
          <rPr>
            <sz val="9"/>
            <color indexed="81"/>
            <rFont val="Tahoma"/>
            <family val="2"/>
            <charset val="186"/>
          </rPr>
          <t xml:space="preserve">
</t>
        </r>
      </text>
    </comment>
    <comment ref="N218" authorId="0" shapeId="0">
      <text>
        <r>
          <rPr>
            <sz val="9"/>
            <color indexed="81"/>
            <rFont val="Tahoma"/>
            <family val="2"/>
            <charset val="186"/>
          </rPr>
          <t>Gatvių sarašas bus sudaromas po gatvių apžiūrų 2019-2020 m.</t>
        </r>
      </text>
    </comment>
    <comment ref="K224" authorId="0" shapeId="0">
      <text>
        <r>
          <rPr>
            <sz val="9"/>
            <color indexed="81"/>
            <rFont val="Tahoma"/>
            <family val="2"/>
            <charset val="186"/>
          </rPr>
          <t>Senamiesčio dangų pirtaikymas neįgaliesiems pagal parengtą aprašą (2018-09-18  UAB "Klaipėdos projektas" sutartis Nr. J9-1944)</t>
        </r>
      </text>
    </comment>
    <comment ref="K233" authorId="0" shapeId="0">
      <text>
        <r>
          <rPr>
            <sz val="9"/>
            <color indexed="81"/>
            <rFont val="Tahoma"/>
            <family val="2"/>
            <charset val="186"/>
          </rPr>
          <t>Miesto ūkio ir aplinkosaugos komiteto pastaba 2019-01-25 TAR-5</t>
        </r>
      </text>
    </comment>
    <comment ref="D240" authorId="0" shapeId="0">
      <text>
        <r>
          <rPr>
            <sz val="9"/>
            <color indexed="81"/>
            <rFont val="Tahoma"/>
            <family val="2"/>
            <charset val="186"/>
          </rPr>
          <t>parkavimo vietų subraižymas, žaliųjų vejų ir skverų sutvarkymas</t>
        </r>
      </text>
    </comment>
    <comment ref="H259" authorId="0" shapeId="0">
      <text>
        <r>
          <rPr>
            <b/>
            <sz val="9"/>
            <color indexed="81"/>
            <rFont val="Tahoma"/>
            <family val="2"/>
            <charset val="186"/>
          </rPr>
          <t xml:space="preserve">15594,9+4666,4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
  <commentList>
    <comment ref="E15"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22" authorId="0" shapeId="0">
      <text>
        <r>
          <rPr>
            <b/>
            <sz val="9"/>
            <color indexed="81"/>
            <rFont val="Tahoma"/>
            <family val="2"/>
            <charset val="186"/>
          </rPr>
          <t xml:space="preserve">P2, Klaipėdos miesto darnaus judumo planas (2018-09-13, T2-185), 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 xml:space="preserve">Centrinėje miesto dalyje suformuoti pėsčiųjų takų, zonų ir gatvių tinklą </t>
        </r>
      </text>
    </comment>
    <comment ref="E26"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32" authorId="0" shapeId="0">
      <text>
        <r>
          <rPr>
            <b/>
            <sz val="9"/>
            <color indexed="81"/>
            <rFont val="Tahoma"/>
            <family val="2"/>
            <charset val="186"/>
          </rPr>
          <t xml:space="preserve">P2.1.2.8
</t>
        </r>
        <r>
          <rPr>
            <sz val="9"/>
            <color indexed="81"/>
            <rFont val="Tahoma"/>
            <family val="2"/>
            <charset val="186"/>
          </rPr>
          <t xml:space="preserve">Centrinėje miesto dalyje suformuoti pėsčiųjų takų, zonų ir gatvių tinklą </t>
        </r>
      </text>
    </comment>
    <comment ref="G34"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E35"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37"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42"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D53" authorId="0" shapeId="0">
      <text>
        <r>
          <rPr>
            <b/>
            <sz val="9"/>
            <color indexed="81"/>
            <rFont val="Tahoma"/>
            <family val="2"/>
            <charset val="186"/>
          </rPr>
          <t>SPG protokolas 2016-09-23 Nr. STR-12</t>
        </r>
        <r>
          <rPr>
            <sz val="9"/>
            <color indexed="81"/>
            <rFont val="Tahoma"/>
            <family val="2"/>
            <charset val="186"/>
          </rPr>
          <t xml:space="preserve">
</t>
        </r>
      </text>
    </comment>
    <comment ref="E58"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G67" authorId="0" shapeId="0">
      <text>
        <r>
          <rPr>
            <sz val="9"/>
            <color indexed="81"/>
            <rFont val="Tahoma"/>
            <family val="2"/>
            <charset val="186"/>
          </rPr>
          <t>Gyventojų lėšos</t>
        </r>
      </text>
    </comment>
    <comment ref="E73"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E83"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U86" authorId="0" shapeId="0">
      <text>
        <r>
          <rPr>
            <b/>
            <sz val="9"/>
            <color indexed="81"/>
            <rFont val="Tahoma"/>
            <family val="2"/>
            <charset val="186"/>
          </rPr>
          <t>Rima Ališauskaitė</t>
        </r>
        <r>
          <rPr>
            <sz val="9"/>
            <color indexed="81"/>
            <rFont val="Tahoma"/>
            <family val="2"/>
            <charset val="186"/>
          </rPr>
          <t xml:space="preserve">
Vadovaujantis 2019-04-24 protokolu Nr.ADM1-147  "Dėl Kelių priežiūros ir plėtros programos finansavimo lėšų vietinės reikšmės keliams su žvyro danga asfaltuoti paskirstymo 2019 metams" priemonei "Jūrininkų prospekto atkarpos nuo Šilutės pl. iki Minijos g. rekonstrukcija" sumažinama 200,0 tūkst. eur, 2019 m. paliekant 655,7 tūkst. eur , o 200,0 tūkst. eur perkeliant į 2020 m. </t>
        </r>
      </text>
    </comment>
    <comment ref="E91" authorId="0" shapeId="0">
      <text>
        <r>
          <rPr>
            <b/>
            <sz val="9"/>
            <color indexed="81"/>
            <rFont val="Tahoma"/>
            <family val="2"/>
            <charset val="186"/>
          </rPr>
          <t xml:space="preserve">P6, Klaipėdos miesto ekonominės plėtros strategija ir įgyvendinimo veiksmų planas iki 2030 metų, 3.3.3. priemonė </t>
        </r>
        <r>
          <rPr>
            <sz val="9"/>
            <color indexed="81"/>
            <rFont val="Tahoma"/>
            <family val="2"/>
            <charset val="186"/>
          </rPr>
          <t xml:space="preserve">
</t>
        </r>
      </text>
    </comment>
    <comment ref="E96"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97" authorId="0" shapeId="0">
      <text>
        <r>
          <rPr>
            <b/>
            <sz val="9"/>
            <color indexed="81"/>
            <rFont val="Tahoma"/>
            <family val="2"/>
            <charset val="186"/>
          </rPr>
          <t xml:space="preserve">P6, Klaipėdos miesto ekonominės plėtros strategija ir įgyvendinimo veiksmų planas iki 2030 metų, 3.3.2. priemonė </t>
        </r>
        <r>
          <rPr>
            <sz val="9"/>
            <color indexed="81"/>
            <rFont val="Tahoma"/>
            <family val="2"/>
            <charset val="186"/>
          </rPr>
          <t xml:space="preserve">
</t>
        </r>
      </text>
    </comment>
    <comment ref="E108"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U115" authorId="0" shapeId="0">
      <text>
        <r>
          <rPr>
            <sz val="9"/>
            <color indexed="81"/>
            <rFont val="Tahoma"/>
            <family val="2"/>
            <charset val="186"/>
          </rPr>
          <t>reikia dar 118 tūkst. eur</t>
        </r>
      </text>
    </comment>
    <comment ref="Q119" authorId="0" shapeId="0">
      <text>
        <r>
          <rPr>
            <b/>
            <sz val="9"/>
            <color indexed="81"/>
            <rFont val="Tahoma"/>
            <family val="2"/>
            <charset val="186"/>
          </rPr>
          <t>2019 m.</t>
        </r>
        <r>
          <rPr>
            <sz val="9"/>
            <color indexed="81"/>
            <rFont val="Tahoma"/>
            <family val="2"/>
            <charset val="186"/>
          </rPr>
          <t xml:space="preserve">
1.1. Lietuvos valstybės atkūrimo dieną, 2019 m. vasario 16 d.;
1.2. Klaipėdos šviesų festivalio metu, 2019 m. vasario 17 d.;
1.3. Lietuvos vaikų ir jaunimo dainų šventė “Mes Lietuvos vaikai“, 2019 m. birželio 14-16 d. (renginio dalyviams)
1.4. Tarptautinio nematerialiojo paveldo festivalis ”Lauksnos“, 2019 m. liepos 11-14 d.  (renginio dalyviams)
1.5. Jūros šventės metu, 2019 m. liepos 26-28 d.
1.6. Dieną be automobilio, 2019 m. rugsėjo 20 d.
</t>
        </r>
      </text>
    </comment>
    <comment ref="U119" authorId="0" shapeId="0">
      <text>
        <r>
          <rPr>
            <b/>
            <sz val="9"/>
            <color indexed="81"/>
            <rFont val="Tahoma"/>
            <family val="2"/>
            <charset val="186"/>
          </rPr>
          <t>2019-01-31 sprendimas T2-15</t>
        </r>
        <r>
          <rPr>
            <sz val="9"/>
            <color indexed="81"/>
            <rFont val="Tahoma"/>
            <family val="2"/>
            <charset val="186"/>
          </rPr>
          <t xml:space="preserve">
1. Leisti 2019 metais šiomis švenčių (valstybinių ir miesto) ir renginių dienomis visais Klaipėdos miesto savivaldybės vietinio (miesto) reguliaraus susisiekimo maršrutų autobusais važiuoti nemokamai:
1.1. visiems keleiviams:
1.1.1. Lietuvos valstybės atkūrimo dieną, 2019 m. vasario 16 d.;
1.1.2. Klaipėdos šviesų festivalio metu, 2019 m. vasario 15–16 d.;
1.1.3. Jūros šventės metu, 2019 m. liepos 26–28 d; 
1.1.4. Dieną be automobilio, 2019 m. rugsėjo 20 d.;
1.2. tik renginio dalyviams:
1.2.1. Lietuvos vaikų ir jaunimo dainų šventės „Mes Lietuvos vaikai“ metu, 2019 m. birželio 14–16 d;
1.2.2. Tarptautinio nematerialiojo paveldo festivalio „Lauksnos“ metu, 2019 m. liepos 
11–14 d.
2. Pavesti Klaipėdos miesto savivaldybės administracijai kompensuoti VšĮ „Klaipėdos keleivinis transportas“ viešojo transporto nuostolius, bet ne daugiau kaip 227,8 tūkst. Eur, patirtus vežant keleivius nemokamai vietinio (miesto) reguliaraus susisiekimo maršrutų autobusais 1 punkte nustatytų švenčių dienų (valstybinių ir miesto) ir renginių metu.
</t>
        </r>
      </text>
    </comment>
    <comment ref="E133" authorId="0" shapeId="0">
      <text>
        <r>
          <rPr>
            <b/>
            <sz val="9"/>
            <color indexed="81"/>
            <rFont val="Tahoma"/>
            <family val="2"/>
            <charset val="186"/>
          </rPr>
          <t>Klaipėdos miesto darnaus judumo planas (2018-09-13, T2-185)
P6, Klaipėdos miesto ekonominės plėtros strategija ir įgyvendinimo veiksmų planas iki 2030 metų, 3.3.4. priemonė</t>
        </r>
        <r>
          <rPr>
            <sz val="9"/>
            <color indexed="81"/>
            <rFont val="Tahoma"/>
            <family val="2"/>
            <charset val="186"/>
          </rPr>
          <t xml:space="preserve">
 </t>
        </r>
      </text>
    </comment>
    <comment ref="E139"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S139" authorId="0" shapeId="0">
      <text>
        <r>
          <rPr>
            <b/>
            <sz val="9"/>
            <color indexed="81"/>
            <rFont val="Tahoma"/>
            <family val="2"/>
            <charset val="186"/>
          </rPr>
          <t>Iš viso bus įrengta 13 stotelių:</t>
        </r>
        <r>
          <rPr>
            <sz val="9"/>
            <color indexed="81"/>
            <rFont val="Tahoma"/>
            <family val="2"/>
            <charset val="186"/>
          </rPr>
          <t xml:space="preserve"> 
1. Kauno stotelė šiaurės kryptimi (Taikos pr. 55A);
2. Kauno stotelė pietų kryptimi (Taikos pr. 52C);
3. Baltijos stotelė šiaurės kryptimi (Taikos pr. 71A);
4. Baltijos stotelė pietų kryptimi (Taikos pr. 66A);
5. Vėtrungės stotelė pietų kryptimi (Taikos pr. 28);
6. Vėtrungės stotelė šiaurės kryptimi (Taikos pr. 29/33);
7. Naujojo Turgaus stotelė šiaurės kryptimi (Taikos pr. 109);
8. Smiltelės stotelė pietų kryptimi (prie PC „BIG“, Taikos pr. 139);
9. Rasos stotelė šiaurės kryptimi (Šilutės pl. 49B);
10. Žardės stotelė šiaurės kryptimi (Taikos pr. 115);
11. Vyturio stotelė šiaurės kryptimi (Vingio g.39);
12. Bandužių stotelė šiaurės kryptimi (Vingio g. 21A);
13. Sausio 15-osios stotelė pietų kryptimi (Taikos pr.18/18T).
</t>
        </r>
      </text>
    </comment>
    <comment ref="D147" authorId="0" shapeId="0">
      <text>
        <r>
          <rPr>
            <sz val="9"/>
            <color indexed="81"/>
            <rFont val="Tahoma"/>
            <family val="2"/>
            <charset val="186"/>
          </rPr>
          <t>Projektas vykdomas kartu su Autobusų parku</t>
        </r>
      </text>
    </comment>
    <comment ref="E148"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53"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58"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S163" authorId="0" shapeId="0">
      <text>
        <r>
          <rPr>
            <sz val="9"/>
            <color indexed="81"/>
            <rFont val="Tahoma"/>
            <family val="2"/>
            <charset val="186"/>
          </rPr>
          <t>2020 m. Šilutės pl. 48, Šilutės pl. 62, Smiltelės g. 47</t>
        </r>
      </text>
    </comment>
    <comment ref="E173" authorId="0" shapeId="0">
      <text>
        <r>
          <rPr>
            <b/>
            <sz val="9"/>
            <color indexed="81"/>
            <rFont val="Tahoma"/>
            <family val="2"/>
            <charset val="186"/>
          </rPr>
          <t xml:space="preserve"> P2, Klaipėdos miesto darnaus judumo planas (2018-09-13, T2-185), </t>
        </r>
        <r>
          <rPr>
            <sz val="9"/>
            <color indexed="81"/>
            <rFont val="Tahoma"/>
            <family val="2"/>
            <charset val="186"/>
          </rPr>
          <t xml:space="preserve">
</t>
        </r>
      </text>
    </comment>
    <comment ref="E176" authorId="0" shapeId="0">
      <text>
        <r>
          <rPr>
            <b/>
            <sz val="9"/>
            <color indexed="81"/>
            <rFont val="Tahoma"/>
            <family val="2"/>
            <charset val="186"/>
          </rPr>
          <t>P2, Klaipėdos miesto darnaus judumo planas (2018-09-13, T2-185)</t>
        </r>
      </text>
    </comment>
    <comment ref="E183"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r>
          <rPr>
            <b/>
            <sz val="9"/>
            <color indexed="81"/>
            <rFont val="Tahoma"/>
            <family val="2"/>
            <charset val="186"/>
          </rPr>
          <t xml:space="preserve">P2, Klaipėdos miesto darnaus judumo planas (2018-09-13, T2-185), </t>
        </r>
      </text>
    </comment>
    <comment ref="E185" authorId="0" shapeId="0">
      <text>
        <r>
          <rPr>
            <b/>
            <sz val="9"/>
            <color indexed="81"/>
            <rFont val="Tahoma"/>
            <family val="2"/>
            <charset val="186"/>
          </rPr>
          <t xml:space="preserve">2.1.2.5. </t>
        </r>
        <r>
          <rPr>
            <sz val="9"/>
            <color indexed="81"/>
            <rFont val="Tahoma"/>
            <family val="2"/>
            <charset val="186"/>
          </rPr>
          <t xml:space="preserve">Sudaryti sąlygas naujų ekologiškų viešojo transporto rūšių atsiradimui
</t>
        </r>
        <r>
          <rPr>
            <b/>
            <sz val="9"/>
            <color indexed="81"/>
            <rFont val="Tahoma"/>
            <family val="2"/>
            <charset val="186"/>
          </rPr>
          <t>P2,</t>
        </r>
        <r>
          <rPr>
            <sz val="9"/>
            <color indexed="81"/>
            <rFont val="Tahoma"/>
            <family val="2"/>
            <charset val="186"/>
          </rPr>
          <t xml:space="preserve"> </t>
        </r>
        <r>
          <rPr>
            <b/>
            <sz val="9"/>
            <color indexed="81"/>
            <rFont val="Tahoma"/>
            <family val="2"/>
            <charset val="186"/>
          </rPr>
          <t>Klaipėdos miesto darnaus judumo planas (2018-09-13, T2-185)</t>
        </r>
        <r>
          <rPr>
            <sz val="9"/>
            <color indexed="81"/>
            <rFont val="Tahoma"/>
            <family val="2"/>
            <charset val="186"/>
          </rPr>
          <t xml:space="preserve">
</t>
        </r>
      </text>
    </comment>
    <comment ref="E188"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E191"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Q191" authorId="0" shapeId="0">
      <text>
        <r>
          <rPr>
            <b/>
            <sz val="9"/>
            <color indexed="81"/>
            <rFont val="Tahoma"/>
            <family val="2"/>
            <charset val="186"/>
          </rPr>
          <t>Rezultatai:</t>
        </r>
        <r>
          <rPr>
            <sz val="9"/>
            <color indexed="81"/>
            <rFont val="Tahoma"/>
            <family val="2"/>
            <charset val="186"/>
          </rPr>
          <t xml:space="preserve">
SPG ir miesto Tarybai pritarus sprendimo projektui, kartu su Projekto partneriais būtų rengiama Projekto paraiška, siekiant miestiečiams parodyti ekonominę ir socialinę darnaus judumo (mobilumo) naudą.
Klaipėdos miesto savivaldybė, dalyvaudama Projekte, tikisi koncentruotis į pagrindinių trijų sričių problematiką (tačiau ji gali būti papildyta, modifikuota pagal vietos veiklos grupės diskusijas):
1) saugumas viešose miesto erdvėse;
2) senamiesčio centrinė dalis bemotoriam transportui; 
3) gyventojų motyvavimas keisti mobilumo įpročius.
Numatomos šios pagrindinės Projekto veiklos:
- partnerių susitikimas problemų identifikavimui ir projekto veiklų įgyvendinimo aptarimas;
- vietos veiklos grupės iš skirtingų visuomenės grupių sudarymas ir jų įtraukties į diskusijų užtikrinimas;
- keitimasis gerąją praktika tarp Projekto partnerių;
- integruoto veiksmų plano rengimas; 
- veiklų viešinimas.
Klaipėdos miesto savivaldybės tarybai pritarus dalyvavimui Projekte partnerio teisėmis bei laimėjus paraiškų konkursą, Klaipėdos miesto savivaldybė prisidėtų prie Klaipėdos miesto darnaus judumo strateginių tikslų siekimo. 
Laukiamas galutinis Projekto rezultatas - kartu su užsienio partneriais, mokslo, vietos valdžios, verslo ir bendruomenių atstovais parengtas integruotas veiksmų planas (IAP) dėl ekonominės ir socialinės darnaus judumo priemonių įgyvendinimo Klaipėdos miesto naudos įvertinimo. 
</t>
        </r>
      </text>
    </comment>
    <comment ref="T192" authorId="0" shapeId="0">
      <text>
        <r>
          <rPr>
            <sz val="9"/>
            <color indexed="81"/>
            <rFont val="Tahoma"/>
            <family val="2"/>
            <charset val="186"/>
          </rPr>
          <t xml:space="preserve">1 fazė (vystymo) nuo 2019-09-02 iki 2020-03-02 (trukmė 6 mėn.) ;
2 fazė (įgyvendinimo) nuo 2020-05-01 iki 2022-05-31 (25 mėn.).
</t>
        </r>
        <r>
          <rPr>
            <b/>
            <sz val="9"/>
            <color indexed="81"/>
            <rFont val="Tahoma"/>
            <family val="2"/>
            <charset val="186"/>
          </rPr>
          <t xml:space="preserve">1) 1 fazė (vystymo): nuo 3.215,00 Eur iki 2.250,00 Eur;
2) 2 fazė (įgyvendinimo): nuo 12.857,00 iki 9.000,00 Eur. </t>
        </r>
        <r>
          <rPr>
            <sz val="9"/>
            <color indexed="81"/>
            <rFont val="Tahoma"/>
            <family val="2"/>
            <charset val="186"/>
          </rPr>
          <t xml:space="preserve">
</t>
        </r>
      </text>
    </comment>
    <comment ref="E194"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Q194" authorId="0" shapeId="0">
      <text>
        <r>
          <rPr>
            <b/>
            <sz val="9"/>
            <color indexed="81"/>
            <rFont val="Tahoma"/>
            <family val="2"/>
            <charset val="186"/>
          </rPr>
          <t>Projekto tikslai:</t>
        </r>
        <r>
          <rPr>
            <sz val="9"/>
            <color indexed="81"/>
            <rFont val="Tahoma"/>
            <family val="2"/>
            <charset val="186"/>
          </rPr>
          <t xml:space="preserve">
SUMP-PLUS pagrindiniai tikslai: 
• Plėtoti ir taikyti efektyvius būdus, metodus bei priemones miestams, susiduriantiems su sparčiu eismo augimu (susijusiu su automobilių nuosavybės ir naudojimo padidėjimu), kad jie galėtų nustatyti praktinį būdą kuris per tam tikrą laiką nustatytų kliūtis, kurios trukdo įgyvendinti darnaus judumo tikslus. 
• Parodyti, kaip miestai gali sukurti stipresnius ryšius su kitomis miesto sistemos sudedamosiomis dalimis, kurios sukuria judumo reikalavimus (švietimas, sveikata, mažmeninė prekyba, žemės naudojimo planavimas ir kt.). 
• Nustatyti ir parodyti naujus partnerystės ir verslo modelius, kurie leistų ekonomiškai efektyviai įgyvendinti įvairius judumo tikslus per tinkamas viešojo ir privataus sektoriaus partnerystes.
• Plačiai bendradarbiauti su miestiečiais, lankytojais ir įmonėmis, siekiant susitarti dėl miesto transporto vizijos ir bendrai kurti konkrečius sprendimus
</t>
        </r>
        <r>
          <rPr>
            <b/>
            <sz val="9"/>
            <color indexed="81"/>
            <rFont val="Tahoma"/>
            <family val="2"/>
            <charset val="186"/>
          </rPr>
          <t xml:space="preserve"> Projekto rezultatai:
</t>
        </r>
        <r>
          <rPr>
            <sz val="9"/>
            <color indexed="81"/>
            <rFont val="Tahoma"/>
            <family val="2"/>
            <charset val="186"/>
          </rPr>
          <t>• Klaipėdos miesto Darnaus judumo plano įgyvendinimo proceso stebėsena.
• Konkrečių priemonių įgyvendinimas.</t>
        </r>
        <r>
          <rPr>
            <b/>
            <sz val="9"/>
            <color indexed="81"/>
            <rFont val="Tahoma"/>
            <family val="2"/>
            <charset val="186"/>
          </rPr>
          <t xml:space="preserve">
</t>
        </r>
      </text>
    </comment>
    <comment ref="U194" authorId="0" shapeId="0">
      <text>
        <r>
          <rPr>
            <b/>
            <sz val="9"/>
            <color indexed="81"/>
            <rFont val="Tahoma"/>
            <family val="2"/>
            <charset val="186"/>
          </rPr>
          <t>Projektas bus grindžiamas šia veikla:</t>
        </r>
        <r>
          <rPr>
            <sz val="9"/>
            <color indexed="81"/>
            <rFont val="Tahoma"/>
            <family val="2"/>
            <charset val="186"/>
          </rPr>
          <t xml:space="preserve">
• Suplanuoti ir pradėti piliečių ir suinteresuotųjų šalių dalyvavimo programą ir susieti elgesio pokyčių kampaniją, kad būtų lengviau keisti mąstyseną - pvz. tarp vairuotojų, dviratininkų ir pėsčiųjų.
• Plėtoti esamą darnaus judumo plano 3-ąjį etapą, sukuriant įgyvendinimo kelią.
• Nustatyti kliūtis darnaus judumo plano įgyvendinimui (pvz., administracinėms, teisėkūros) ir parengti kliūčių įveikimo sprendimus.
• Remti finansinį planavimą ir verslo modelių kūrimą priemonių paketams, įskaitant planuojamą didelio pajėgumo tranzito schemą (autobusų greitą tranzitą arba tramvajus).
</t>
        </r>
      </text>
    </comment>
    <comment ref="E197"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198"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R210" authorId="0" shapeId="0">
      <text>
        <r>
          <rPr>
            <b/>
            <sz val="9"/>
            <color indexed="81"/>
            <rFont val="Tahoma"/>
            <family val="2"/>
            <charset val="186"/>
          </rPr>
          <t>59 445 kv.m</t>
        </r>
        <r>
          <rPr>
            <sz val="9"/>
            <color indexed="81"/>
            <rFont val="Tahoma"/>
            <family val="2"/>
            <charset val="186"/>
          </rPr>
          <t xml:space="preserve">
</t>
        </r>
      </text>
    </comment>
    <comment ref="S218" authorId="0" shapeId="0">
      <text>
        <r>
          <rPr>
            <b/>
            <sz val="9"/>
            <color indexed="81"/>
            <rFont val="Tahoma"/>
            <family val="2"/>
            <charset val="186"/>
          </rPr>
          <t xml:space="preserve">78 500 kv.m </t>
        </r>
        <r>
          <rPr>
            <sz val="9"/>
            <color indexed="81"/>
            <rFont val="Tahoma"/>
            <family val="2"/>
            <charset val="186"/>
          </rPr>
          <t xml:space="preserve">
</t>
        </r>
      </text>
    </comment>
    <comment ref="T218" authorId="0" shapeId="0">
      <text>
        <r>
          <rPr>
            <sz val="9"/>
            <color indexed="81"/>
            <rFont val="Tahoma"/>
            <family val="2"/>
            <charset val="186"/>
          </rPr>
          <t>Gatvių sarašas bus sudaromas po gatvių apžiūrų 2019-2020 m.</t>
        </r>
      </text>
    </comment>
    <comment ref="Q224" authorId="0" shapeId="0">
      <text>
        <r>
          <rPr>
            <sz val="9"/>
            <color indexed="81"/>
            <rFont val="Tahoma"/>
            <family val="2"/>
            <charset val="186"/>
          </rPr>
          <t>Senamiesčio dangų pirtaikymas neįgaliesiems pagal parengtą aprašą (2018-09-18  UAB "Klaipėdos projektas" sutartis Nr. J9-1944)</t>
        </r>
      </text>
    </comment>
    <comment ref="Q234" authorId="0" shapeId="0">
      <text>
        <r>
          <rPr>
            <sz val="9"/>
            <color indexed="81"/>
            <rFont val="Tahoma"/>
            <family val="2"/>
            <charset val="186"/>
          </rPr>
          <t>Miesto ūkio ir aplinkosaugos komiteto pastaba 2019-01-25 TAR-5</t>
        </r>
      </text>
    </comment>
    <comment ref="D241" authorId="0" shapeId="0">
      <text>
        <r>
          <rPr>
            <sz val="9"/>
            <color indexed="81"/>
            <rFont val="Tahoma"/>
            <family val="2"/>
            <charset val="186"/>
          </rPr>
          <t>parkavimo vietų subraižymas, žaliųjų vejų ir skverų sutvarkymas</t>
        </r>
      </text>
    </comment>
    <comment ref="H254" authorId="0" shapeId="0">
      <text>
        <r>
          <rPr>
            <b/>
            <sz val="9"/>
            <color indexed="81"/>
            <rFont val="Tahoma"/>
            <family val="2"/>
            <charset val="186"/>
          </rPr>
          <t xml:space="preserve">27558,6
</t>
        </r>
        <r>
          <rPr>
            <sz val="9"/>
            <color indexed="81"/>
            <rFont val="Tahoma"/>
            <family val="2"/>
            <charset val="186"/>
          </rPr>
          <t xml:space="preserve">
</t>
        </r>
      </text>
    </comment>
    <comment ref="I260" authorId="0" shapeId="0">
      <text>
        <r>
          <rPr>
            <b/>
            <sz val="9"/>
            <color indexed="81"/>
            <rFont val="Tahoma"/>
            <family val="2"/>
            <charset val="186"/>
          </rPr>
          <t xml:space="preserve">20261,3
</t>
        </r>
        <r>
          <rPr>
            <sz val="9"/>
            <color indexed="81"/>
            <rFont val="Tahoma"/>
            <family val="2"/>
            <charset val="186"/>
          </rPr>
          <t xml:space="preserve">
</t>
        </r>
      </text>
    </comment>
    <comment ref="I266" authorId="0" shapeId="0">
      <text>
        <r>
          <rPr>
            <b/>
            <sz val="9"/>
            <color indexed="81"/>
            <rFont val="Tahoma"/>
            <family val="2"/>
            <charset val="186"/>
          </rPr>
          <t>4666,4+20 (3 programa)</t>
        </r>
        <r>
          <rPr>
            <sz val="9"/>
            <color indexed="81"/>
            <rFont val="Tahoma"/>
            <family val="2"/>
            <charset val="186"/>
          </rPr>
          <t xml:space="preserve">
</t>
        </r>
      </text>
    </comment>
    <comment ref="H277" authorId="0" shapeId="0">
      <text>
        <r>
          <rPr>
            <b/>
            <sz val="9"/>
            <color indexed="81"/>
            <rFont val="Tahoma"/>
            <family val="2"/>
            <charset val="186"/>
          </rPr>
          <t>27558,6</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F13"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F14" authorId="0" shapeId="0">
      <text>
        <r>
          <rPr>
            <b/>
            <sz val="9"/>
            <color indexed="81"/>
            <rFont val="Tahoma"/>
            <family val="2"/>
            <charset val="186"/>
          </rPr>
          <t xml:space="preserve">P2, Klaipėdos miesto darnaus judumo planas (2018-09-13, T2-185), 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 xml:space="preserve">Centrinėje miesto dalyje suformuoti pėsčiųjų takų, zonų ir gatvių tinklą </t>
        </r>
      </text>
    </comment>
    <comment ref="M14" authorId="0" shapeId="0">
      <text>
        <r>
          <rPr>
            <b/>
            <sz val="9"/>
            <color indexed="81"/>
            <rFont val="Tahoma"/>
            <family val="2"/>
            <charset val="186"/>
          </rPr>
          <t>Į senamiesčio grindinio atnaujinimo projektą įtraukta priemonė "</t>
        </r>
        <r>
          <rPr>
            <sz val="9"/>
            <color indexed="81"/>
            <rFont val="Tahoma"/>
            <family val="2"/>
            <charset val="186"/>
          </rPr>
          <t>Tomo ir Pylimo g. rekonstravimas", iš viso bus tvarkomos 8 gatvės:
Žvejų g., Teatro g., Sukilėlių g., Daržų g. (nuo Pilies g. iki Aukštosios g.), Aukštoji g. (nuo Daržų g. iki Didžiosios Vandens g.), Didžioji Vandens g. (nuo Aukštosios g. iki Tiltų g.), Vežėjų g. (nuo Turgaus g. iki Daržų g.), Tomo ir Pylimo g.</t>
        </r>
      </text>
    </comment>
    <comment ref="F18"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M18" authorId="0" shapeId="0">
      <text>
        <r>
          <rPr>
            <sz val="9"/>
            <color indexed="81"/>
            <rFont val="Tahoma"/>
            <family val="2"/>
            <charset val="186"/>
          </rPr>
          <t>Šiuo metu projektuotojai rengia poveikio aplinkai vertinimą, kol nebus atliktas PAV projektavimo darbai nebus vykdomi, nes PAV gali įtakoti techninio darbo projekto sprendinius.</t>
        </r>
      </text>
    </comment>
    <comment ref="M19" authorId="0" shapeId="0">
      <text>
        <r>
          <rPr>
            <b/>
            <sz val="9"/>
            <color indexed="81"/>
            <rFont val="Tahoma"/>
            <family val="2"/>
            <charset val="186"/>
          </rPr>
          <t>I etapas.</t>
        </r>
        <r>
          <rPr>
            <sz val="9"/>
            <color indexed="81"/>
            <rFont val="Tahoma"/>
            <family val="2"/>
            <charset val="186"/>
          </rPr>
          <t xml:space="preserve"> Bastionų g. nuo Danės g. iki Danės upės ir nuo Danės upės iki Gluosnių g. tiesimas. Pabaiga 2022 m.</t>
        </r>
      </text>
    </comment>
    <comment ref="I22" authorId="0" shapeId="0">
      <text>
        <r>
          <rPr>
            <b/>
            <sz val="9"/>
            <color indexed="81"/>
            <rFont val="Tahoma"/>
            <family val="2"/>
            <charset val="186"/>
          </rPr>
          <t>ŽP 637</t>
        </r>
        <r>
          <rPr>
            <sz val="9"/>
            <color indexed="81"/>
            <rFont val="Tahoma"/>
            <family val="2"/>
            <charset val="186"/>
          </rPr>
          <t xml:space="preserve">
</t>
        </r>
      </text>
    </comment>
    <comment ref="M27" authorId="0" shapeId="0">
      <text>
        <r>
          <rPr>
            <sz val="9"/>
            <color indexed="81"/>
            <rFont val="Tahoma"/>
            <family val="2"/>
            <charset val="186"/>
          </rPr>
          <t>privaloma atlikti specialiąją paveldosaugos ekspertizę, todėl atliekamos viešųjų pirkimų procedūros, paveldosaugos ekspertizės pirkimui.</t>
        </r>
      </text>
    </comment>
    <comment ref="F28" authorId="0" shapeId="0">
      <text>
        <r>
          <rPr>
            <b/>
            <sz val="9"/>
            <color indexed="81"/>
            <rFont val="Tahoma"/>
            <family val="2"/>
            <charset val="186"/>
          </rPr>
          <t xml:space="preserve">P2.1.2.8
</t>
        </r>
        <r>
          <rPr>
            <sz val="9"/>
            <color indexed="81"/>
            <rFont val="Tahoma"/>
            <family val="2"/>
            <charset val="186"/>
          </rPr>
          <t xml:space="preserve">Centrinėje miesto dalyje suformuoti pėsčiųjų takų, zonų ir gatvių tinklą </t>
        </r>
      </text>
    </comment>
    <comment ref="M29" authorId="0" shapeId="0">
      <text>
        <r>
          <rPr>
            <sz val="9"/>
            <color indexed="81"/>
            <rFont val="Tahoma"/>
            <family val="2"/>
            <charset val="186"/>
          </rPr>
          <t xml:space="preserve">Darbai nikelti į tolimesnį laikotarpį. Atlikta rekonstravimo (I etapo) darbų. Užbaigtumas, proc. </t>
        </r>
      </text>
    </comment>
    <comment ref="I30"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M30" authorId="0" shapeId="0">
      <text>
        <r>
          <rPr>
            <sz val="9"/>
            <color indexed="81"/>
            <rFont val="Tahoma"/>
            <family val="2"/>
            <charset val="186"/>
          </rPr>
          <t>Savivaldybė rengia tik techninį projektą. Bendra projekto vertė 2 mln. Eur.</t>
        </r>
      </text>
    </comment>
    <comment ref="F31"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F33"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M35" authorId="0" shapeId="0">
      <text>
        <r>
          <rPr>
            <sz val="9"/>
            <color indexed="81"/>
            <rFont val="Tahoma"/>
            <family val="2"/>
            <charset val="186"/>
          </rPr>
          <t>Puodžių g. rekonstravimas siejamas su Šv. Jono bažnyčios atstatymu.</t>
        </r>
      </text>
    </comment>
    <comment ref="F38"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E47" authorId="0" shapeId="0">
      <text>
        <r>
          <rPr>
            <b/>
            <sz val="9"/>
            <color indexed="81"/>
            <rFont val="Tahoma"/>
            <family val="2"/>
            <charset val="186"/>
          </rPr>
          <t>SPG protokolas 2016-09-23 Nr. STR-12</t>
        </r>
        <r>
          <rPr>
            <sz val="9"/>
            <color indexed="81"/>
            <rFont val="Tahoma"/>
            <family val="2"/>
            <charset val="186"/>
          </rPr>
          <t xml:space="preserve">
</t>
        </r>
      </text>
    </comment>
    <comment ref="M47" authorId="0" shapeId="0">
      <text>
        <r>
          <rPr>
            <sz val="9"/>
            <color indexed="81"/>
            <rFont val="Tahoma"/>
            <family val="2"/>
            <charset val="186"/>
          </rPr>
          <t>Gatvės įrengimo darbai nukelti į 2022 m.</t>
        </r>
      </text>
    </comment>
    <comment ref="F52"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I64" authorId="0" shapeId="0">
      <text>
        <r>
          <rPr>
            <sz val="9"/>
            <color indexed="81"/>
            <rFont val="Tahoma"/>
            <family val="2"/>
            <charset val="186"/>
          </rPr>
          <t>Gyventojų lėšos</t>
        </r>
      </text>
    </comment>
    <comment ref="F65"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M65" authorId="0" shapeId="0">
      <text>
        <r>
          <rPr>
            <sz val="9"/>
            <color indexed="81"/>
            <rFont val="Tahoma"/>
            <family val="2"/>
            <charset val="186"/>
          </rPr>
          <t>Projektas nebus vykdomas dėl per didelės projekto finansinės vertės.</t>
        </r>
      </text>
    </comment>
    <comment ref="F68"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I71" authorId="0" shapeId="0">
      <text>
        <r>
          <rPr>
            <sz val="9"/>
            <color indexed="81"/>
            <rFont val="Tahoma"/>
            <family val="2"/>
            <charset val="186"/>
          </rPr>
          <t xml:space="preserve">AB „Klaipėdos nafta“ skirtia tikslines lėšas 175.000 Eur 
</t>
        </r>
      </text>
    </comment>
    <comment ref="E72" authorId="0" shapeId="0">
      <text>
        <r>
          <rPr>
            <sz val="9"/>
            <color indexed="81"/>
            <rFont val="Tahoma"/>
            <family val="2"/>
            <charset val="186"/>
          </rPr>
          <t>SPG protokolas 2016-09-23 Nr. STR-12</t>
        </r>
      </text>
    </comment>
    <comment ref="F76"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M81" authorId="0" shapeId="0">
      <text>
        <r>
          <rPr>
            <b/>
            <sz val="9"/>
            <color indexed="81"/>
            <rFont val="Tahoma"/>
            <family val="2"/>
            <charset val="186"/>
          </rPr>
          <t>Techninis projektas yra parengtas</t>
        </r>
        <r>
          <rPr>
            <sz val="9"/>
            <color indexed="81"/>
            <rFont val="Tahoma"/>
            <family val="2"/>
            <charset val="186"/>
          </rPr>
          <t xml:space="preserve">
</t>
        </r>
      </text>
    </comment>
    <comment ref="F83" authorId="0" shapeId="0">
      <text>
        <r>
          <rPr>
            <b/>
            <sz val="9"/>
            <color indexed="81"/>
            <rFont val="Tahoma"/>
            <family val="2"/>
            <charset val="186"/>
          </rPr>
          <t xml:space="preserve">P6, Klaipėdos miesto ekonominės plėtros strategija ir įgyvendinimo veiksmų planas iki 2030 metų, 3.3.3. priemonė </t>
        </r>
        <r>
          <rPr>
            <sz val="9"/>
            <color indexed="81"/>
            <rFont val="Tahoma"/>
            <family val="2"/>
            <charset val="186"/>
          </rPr>
          <t xml:space="preserve">
</t>
        </r>
      </text>
    </comment>
    <comment ref="M83" authorId="0" shapeId="0">
      <text>
        <r>
          <rPr>
            <sz val="9"/>
            <color indexed="81"/>
            <rFont val="Tahoma"/>
            <family val="2"/>
            <charset val="186"/>
          </rPr>
          <t>Rekonstravimo darbai bus pradėti 2022 metais. Atlikta gatvės (571 m) tiesimo darbų (II etapas). Užbaigtumas, proc.</t>
        </r>
      </text>
    </comment>
    <comment ref="M86" authorId="0" shapeId="0">
      <text>
        <r>
          <rPr>
            <sz val="9"/>
            <color indexed="81"/>
            <rFont val="Tahoma"/>
            <family val="2"/>
            <charset val="186"/>
          </rPr>
          <t xml:space="preserve">Rekonstravimo darbai bus pradėti 2022 m. </t>
        </r>
      </text>
    </comment>
    <comment ref="F89"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F90" authorId="0" shapeId="0">
      <text>
        <r>
          <rPr>
            <b/>
            <sz val="9"/>
            <color indexed="81"/>
            <rFont val="Tahoma"/>
            <family val="2"/>
            <charset val="186"/>
          </rPr>
          <t xml:space="preserve">P6, Klaipėdos miesto ekonominės plėtros strategija ir įgyvendinimo veiksmų planas iki 2030 metų, 3.3.2. priemonė </t>
        </r>
        <r>
          <rPr>
            <sz val="9"/>
            <color indexed="81"/>
            <rFont val="Tahoma"/>
            <family val="2"/>
            <charset val="186"/>
          </rPr>
          <t xml:space="preserve">
</t>
        </r>
      </text>
    </comment>
    <comment ref="M90" authorId="0" shapeId="0">
      <text>
        <r>
          <rPr>
            <sz val="9"/>
            <color indexed="81"/>
            <rFont val="Tahoma"/>
            <family val="2"/>
            <charset val="186"/>
          </rPr>
          <t xml:space="preserve">Techn. projekto </t>
        </r>
        <r>
          <rPr>
            <b/>
            <sz val="9"/>
            <color indexed="81"/>
            <rFont val="Tahoma"/>
            <family val="2"/>
            <charset val="186"/>
          </rPr>
          <t xml:space="preserve">kaina 534 tūkst. eur </t>
        </r>
        <r>
          <rPr>
            <sz val="8"/>
            <color indexed="81"/>
            <rFont val="Tahoma"/>
            <family val="2"/>
            <charset val="186"/>
          </rPr>
          <t xml:space="preserve">(Geologinių, topografinių (geodezinių) tyrinėjimo dokumentų parengimas; Techninis projektas; Investicinis projektas; Detaliojo plano koregavimas) </t>
        </r>
        <r>
          <rPr>
            <b/>
            <sz val="8"/>
            <color indexed="81"/>
            <rFont val="Tahoma"/>
            <family val="2"/>
            <charset val="186"/>
          </rPr>
          <t>10 tūkst. eur ekspertizė</t>
        </r>
      </text>
    </comment>
    <comment ref="F102"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M106" authorId="0" shapeId="0">
      <text>
        <r>
          <rPr>
            <b/>
            <sz val="9"/>
            <color indexed="81"/>
            <rFont val="Tahoma"/>
            <family val="2"/>
            <charset val="186"/>
          </rPr>
          <t>1-4 klasės</t>
        </r>
        <r>
          <rPr>
            <sz val="9"/>
            <color indexed="81"/>
            <rFont val="Tahoma"/>
            <family val="2"/>
            <charset val="186"/>
          </rPr>
          <t xml:space="preserve">
</t>
        </r>
      </text>
    </comment>
    <comment ref="M110" authorId="0" shapeId="0">
      <text>
        <r>
          <rPr>
            <b/>
            <sz val="9"/>
            <color indexed="81"/>
            <rFont val="Tahoma"/>
            <family val="2"/>
            <charset val="186"/>
          </rPr>
          <t>2019 m.</t>
        </r>
        <r>
          <rPr>
            <sz val="9"/>
            <color indexed="81"/>
            <rFont val="Tahoma"/>
            <family val="2"/>
            <charset val="186"/>
          </rPr>
          <t xml:space="preserve">
1.1. Lietuvos valstybės atkūrimo dieną, 2019 m. vasario 16 d.;
1.2. Klaipėdos šviesų festivalio metu, 2019 m. vasario 17 d.;
1.3. Lietuvos vaikų ir jaunimo dainų šventė “Mes Lietuvos vaikai“, 2019 m. birželio 14-16 d. (renginio dalyviams)
1.4. Tarptautinio nematerialiojo paveldo festivalis ”Lauksnos“, 2019 m. liepos 11-14 d.  (renginio dalyviams)
1.5. Jūros šventės metu, 2019 m. liepos 26-28 d.
1.6. Dieną be automobilio, 2019 m. rugsėjo 20 d.
</t>
        </r>
      </text>
    </comment>
    <comment ref="J114" authorId="0" shapeId="0">
      <text>
        <r>
          <rPr>
            <sz val="9"/>
            <color indexed="81"/>
            <rFont val="Tahoma"/>
            <family val="2"/>
            <charset val="186"/>
          </rPr>
          <t xml:space="preserve">įsakymu bus įrašytos lėšos iš vežėjų už trasportą
</t>
        </r>
      </text>
    </comment>
    <comment ref="P115" authorId="0" shapeId="0">
      <text>
        <r>
          <rPr>
            <sz val="9"/>
            <color indexed="81"/>
            <rFont val="Tahoma"/>
            <family val="2"/>
            <charset val="186"/>
          </rPr>
          <t>Rodikliai yra didesni 17 vnt.,  maršrutų, kuriais važinės ekologiški autobusai. UAB „Klaipėdos autobusų parkas“ dalyvauja konkurse dėl ekologiškų autobusų įsigijimo. Konkursas įvyks 2019 m., todėl nuostoliai kasmet augs.</t>
        </r>
      </text>
    </comment>
    <comment ref="M119" authorId="0" shapeId="0">
      <text>
        <r>
          <rPr>
            <sz val="9"/>
            <color indexed="81"/>
            <rFont val="Tahoma"/>
            <family val="2"/>
            <charset val="186"/>
          </rPr>
          <t xml:space="preserve">1. priemonę „Nuostolingų maršrutų subsidijavimas priemiesčio maršrutus aptarnaujantiems 
vežėjams“, numatant finansavimą iš savivaldybės biudžeto lėšų maršrutams į s. b. „Vaiteliai“, s. b. „Rasa“, „Klaipėdos autobusų stotis–Palangos oro uostas“, bandomajam maršrutui (aptarnaujamas elektriniu autobusu) ir į Ermitažą (nuo 2022 m.) naktiniam maršrutui subsidijuoti
</t>
        </r>
      </text>
    </comment>
    <comment ref="M125" authorId="0" shapeId="0">
      <text>
        <r>
          <rPr>
            <sz val="9"/>
            <color indexed="81"/>
            <rFont val="Tahoma"/>
            <family val="2"/>
            <charset val="186"/>
          </rPr>
          <t>Klaipėdos miesto darnaus judumo planas (2018-09-13, T2-185). Maršrutai, kuriais važinės ekologiški autobusai. UAB „Klaipėdos autobusų parkas“ dalyvauja konkurse dėl ekologiškų autobusų įsigijimo. Konkursas įvyks 2019 m., todėl nuostoliai kasmet augs.</t>
        </r>
      </text>
    </comment>
    <comment ref="F127" authorId="0" shapeId="0">
      <text>
        <r>
          <rPr>
            <b/>
            <sz val="9"/>
            <color indexed="81"/>
            <rFont val="Tahoma"/>
            <family val="2"/>
            <charset val="186"/>
          </rPr>
          <t>Klaipėdos miesto darnaus judumo planas (2018-09-13, T2-185)
P6, Klaipėdos miesto ekonominės plėtros strategija ir įgyvendinimo veiksmų planas iki 2030 metų, 3.3.4. priemonė</t>
        </r>
        <r>
          <rPr>
            <sz val="9"/>
            <color indexed="81"/>
            <rFont val="Tahoma"/>
            <family val="2"/>
            <charset val="186"/>
          </rPr>
          <t xml:space="preserve">
 </t>
        </r>
      </text>
    </comment>
    <comment ref="F133"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M134" authorId="0" shapeId="0">
      <text>
        <r>
          <rPr>
            <sz val="9"/>
            <color indexed="81"/>
            <rFont val="Tahoma"/>
            <family val="2"/>
            <charset val="186"/>
          </rPr>
          <t xml:space="preserve">bendra vertė 123,1 tūkst. eur, iš jų 10 tūkst eur techninis projektas
</t>
        </r>
      </text>
    </comment>
    <comment ref="O134" authorId="0" shapeId="0">
      <text>
        <r>
          <rPr>
            <b/>
            <sz val="9"/>
            <color indexed="81"/>
            <rFont val="Tahoma"/>
            <family val="2"/>
            <charset val="186"/>
          </rPr>
          <t>Iš viso bus įrengta 13 stotelių:</t>
        </r>
        <r>
          <rPr>
            <sz val="9"/>
            <color indexed="81"/>
            <rFont val="Tahoma"/>
            <family val="2"/>
            <charset val="186"/>
          </rPr>
          <t xml:space="preserve"> 
1. Kauno stotelė šiaurės kryptimi (Taikos pr. 55A);
2. Kauno stotelė pietų kryptimi (Taikos pr. 52C);
3. Baltijos stotelė šiaurės kryptimi (Taikos pr. 71A);
4. Baltijos stotelė pietų kryptimi (Taikos pr. 66A);
5. Vėtrungės stotelė pietų kryptimi (Taikos pr. 28);
6. Vėtrungės stotelė šiaurės kryptimi (Taikos pr. 29/33);
7. Naujojo Turgaus stotelė šiaurės kryptimi (Taikos pr. 109);
8. Smiltelės stotelė pietų kryptimi (prie PC „BIG“, Taikos pr. 139);
9. Rasos stotelė šiaurės kryptimi (Šilutės pl. 49B);
10. Žardės stotelė šiaurės kryptimi (Taikos pr. 115);
11. Vyturio stotelė šiaurės kryptimi (Vingio g.39);
12. Bandužių stotelė šiaurės kryptimi (Vingio g. 21A);
13. Sausio 15-osios stotelė pietų kryptimi (Taikos pr.18/18T).
</t>
        </r>
      </text>
    </comment>
    <comment ref="M137" authorId="0" shapeId="0">
      <text>
        <r>
          <rPr>
            <b/>
            <sz val="9"/>
            <color indexed="81"/>
            <rFont val="Tahoma"/>
            <family val="2"/>
            <charset val="186"/>
          </rPr>
          <t>I etapo stotelės 10 vnt.</t>
        </r>
        <r>
          <rPr>
            <sz val="9"/>
            <color indexed="81"/>
            <rFont val="Tahoma"/>
            <family val="2"/>
            <charset val="186"/>
          </rPr>
          <t xml:space="preserve">
 (Vasaros estrados (pietų ir šiaurės kryptys), Rumpiškės, Kooperacijos, Juodkrantės,  Naikupės, Šilutės, Minijos, Aula Magna, Minijos stotelės)</t>
        </r>
      </text>
    </comment>
    <comment ref="M141" authorId="0" shapeId="0">
      <text>
        <r>
          <rPr>
            <sz val="9"/>
            <color indexed="81"/>
            <rFont val="Tahoma"/>
            <family val="2"/>
            <charset val="186"/>
          </rPr>
          <t>2018 m. parengtas techninis projektas ir ekpertizės išvada1</t>
        </r>
      </text>
    </comment>
    <comment ref="E144" authorId="0" shapeId="0">
      <text>
        <r>
          <rPr>
            <sz val="9"/>
            <color indexed="81"/>
            <rFont val="Tahoma"/>
            <family val="2"/>
            <charset val="186"/>
          </rPr>
          <t>Projektas vykdomas kartu su Autobusų parku</t>
        </r>
      </text>
    </comment>
    <comment ref="F145"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F151"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N151" authorId="0" shapeId="0">
      <text>
        <r>
          <rPr>
            <sz val="9"/>
            <color indexed="81"/>
            <rFont val="Tahoma"/>
            <family val="2"/>
            <charset val="186"/>
          </rPr>
          <t>pagal GIS - 14533</t>
        </r>
      </text>
    </comment>
    <comment ref="N153" authorId="0" shapeId="0">
      <text>
        <r>
          <rPr>
            <sz val="9"/>
            <color indexed="81"/>
            <rFont val="Tahoma"/>
            <family val="2"/>
            <charset val="186"/>
          </rPr>
          <t>Šviesoforų pagal inventorizaciją eksploatuojama</t>
        </r>
        <r>
          <rPr>
            <b/>
            <sz val="9"/>
            <color indexed="81"/>
            <rFont val="Tahoma"/>
            <family val="2"/>
            <charset val="186"/>
          </rPr>
          <t xml:space="preserve"> 66 vnt.</t>
        </r>
        <r>
          <rPr>
            <sz val="9"/>
            <color indexed="81"/>
            <rFont val="Tahoma"/>
            <family val="2"/>
            <charset val="186"/>
          </rPr>
          <t xml:space="preserve"> ir  šiais metais bus įrengta</t>
        </r>
        <r>
          <rPr>
            <b/>
            <sz val="9"/>
            <color indexed="81"/>
            <rFont val="Tahoma"/>
            <family val="2"/>
            <charset val="186"/>
          </rPr>
          <t xml:space="preserve"> 5 nauj</t>
        </r>
        <r>
          <rPr>
            <sz val="9"/>
            <color indexed="81"/>
            <rFont val="Tahoma"/>
            <family val="2"/>
            <charset val="186"/>
          </rPr>
          <t xml:space="preserve">i (Baltijos pr. 20, Baltijos pr.6, Baltijos pr. 10, Šilutės pl. ties AB „Klaipėdos energija“, Taikos pr. ties Žvejų rūmais)
</t>
        </r>
      </text>
    </comment>
    <comment ref="M154" authorId="0" shapeId="0">
      <text>
        <r>
          <rPr>
            <sz val="9"/>
            <color indexed="81"/>
            <rFont val="Tahoma"/>
            <family val="2"/>
            <charset val="186"/>
          </rPr>
          <t xml:space="preserve">Planuojama vietoj senų susidevėjusių kellio ženklų stovų pakeisti naujus, taip pat bus keičiami stovai prie nederančio naujai įrengto apšvietimo centinėse miesto gatvėse
</t>
        </r>
      </text>
    </comment>
    <comment ref="O157" authorId="0" shapeId="0">
      <text>
        <r>
          <rPr>
            <sz val="9"/>
            <color indexed="81"/>
            <rFont val="Tahoma"/>
            <family val="2"/>
            <charset val="186"/>
          </rPr>
          <t>2020 m. Šilutės pl. 48, Šilutės pl. 62, Smiltelės g. 47</t>
        </r>
      </text>
    </comment>
    <comment ref="J166" authorId="0" shapeId="0">
      <text>
        <r>
          <rPr>
            <sz val="9"/>
            <color indexed="81"/>
            <rFont val="Tahoma"/>
            <family val="2"/>
            <charset val="186"/>
          </rPr>
          <t>Patobulinta ir ekploatuojama programėlė (su start/stop funkcija) išmaniesiems įrenginiais stovėjimo mokesčiui apmokėti, 12 tūkst. eur SB(VR);</t>
        </r>
      </text>
    </comment>
    <comment ref="F170" authorId="0" shapeId="0">
      <text>
        <r>
          <rPr>
            <b/>
            <sz val="9"/>
            <color indexed="81"/>
            <rFont val="Tahoma"/>
            <family val="2"/>
            <charset val="186"/>
          </rPr>
          <t xml:space="preserve"> P2, Klaipėdos miesto darnaus judumo planas (2018-09-13, T2-185), </t>
        </r>
        <r>
          <rPr>
            <sz val="9"/>
            <color indexed="81"/>
            <rFont val="Tahoma"/>
            <family val="2"/>
            <charset val="186"/>
          </rPr>
          <t xml:space="preserve">
</t>
        </r>
      </text>
    </comment>
    <comment ref="M171" authorId="0" shapeId="0">
      <text>
        <r>
          <rPr>
            <sz val="9"/>
            <color indexed="81"/>
            <rFont val="Tahoma"/>
            <family val="2"/>
            <charset val="186"/>
          </rPr>
          <t xml:space="preserve">2015 m. pasirašytos </t>
        </r>
        <r>
          <rPr>
            <b/>
            <sz val="9"/>
            <color indexed="81"/>
            <rFont val="Tahoma"/>
            <family val="2"/>
            <charset val="186"/>
          </rPr>
          <t xml:space="preserve">2 </t>
        </r>
        <r>
          <rPr>
            <sz val="9"/>
            <color indexed="81"/>
            <rFont val="Tahoma"/>
            <family val="2"/>
            <charset val="186"/>
          </rPr>
          <t xml:space="preserve">greičio matuoklų nuomos sutartys, galioja 36 mėn.;
2017-10-09 pasirašytos </t>
        </r>
        <r>
          <rPr>
            <b/>
            <sz val="9"/>
            <color indexed="81"/>
            <rFont val="Tahoma"/>
            <family val="2"/>
            <charset val="186"/>
          </rPr>
          <t>3</t>
        </r>
        <r>
          <rPr>
            <sz val="9"/>
            <color indexed="81"/>
            <rFont val="Tahoma"/>
            <family val="2"/>
            <charset val="186"/>
          </rPr>
          <t xml:space="preserve"> greičio matuoklių nuomos sutartys,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F173" authorId="0" shapeId="0">
      <text>
        <r>
          <rPr>
            <b/>
            <sz val="9"/>
            <color indexed="81"/>
            <rFont val="Tahoma"/>
            <family val="2"/>
            <charset val="186"/>
          </rPr>
          <t>P2, Klaipėdos miesto darnaus judumo planas (2018-09-13, T2-185)</t>
        </r>
      </text>
    </comment>
    <comment ref="F175"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r>
          <rPr>
            <b/>
            <sz val="9"/>
            <color indexed="81"/>
            <rFont val="Tahoma"/>
            <family val="2"/>
            <charset val="186"/>
          </rPr>
          <t xml:space="preserve">P2, Klaipėdos miesto darnaus judumo planas (2018-09-13, T2-185), </t>
        </r>
      </text>
    </comment>
    <comment ref="M175" authorId="0" shapeId="0">
      <text>
        <r>
          <rPr>
            <sz val="9"/>
            <color indexed="81"/>
            <rFont val="Tahoma"/>
            <family val="2"/>
            <charset val="186"/>
          </rPr>
          <t>2021 m. numatyta suma iš KVJUD lėšų - sutarties projektą planuojama pradėti rengti 2020 m.</t>
        </r>
      </text>
    </comment>
    <comment ref="F180" authorId="0" shapeId="0">
      <text>
        <r>
          <rPr>
            <b/>
            <sz val="9"/>
            <color indexed="81"/>
            <rFont val="Tahoma"/>
            <family val="2"/>
            <charset val="186"/>
          </rPr>
          <t xml:space="preserve">2.1.2.5. </t>
        </r>
        <r>
          <rPr>
            <sz val="9"/>
            <color indexed="81"/>
            <rFont val="Tahoma"/>
            <family val="2"/>
            <charset val="186"/>
          </rPr>
          <t xml:space="preserve">Sudaryti sąlygas naujų ekologiškų viešojo transporto rūšių atsiradimui
</t>
        </r>
        <r>
          <rPr>
            <b/>
            <sz val="9"/>
            <color indexed="81"/>
            <rFont val="Tahoma"/>
            <family val="2"/>
            <charset val="186"/>
          </rPr>
          <t>P2,</t>
        </r>
        <r>
          <rPr>
            <sz val="9"/>
            <color indexed="81"/>
            <rFont val="Tahoma"/>
            <family val="2"/>
            <charset val="186"/>
          </rPr>
          <t xml:space="preserve"> </t>
        </r>
        <r>
          <rPr>
            <b/>
            <sz val="9"/>
            <color indexed="81"/>
            <rFont val="Tahoma"/>
            <family val="2"/>
            <charset val="186"/>
          </rPr>
          <t>Klaipėdos miesto darnaus judumo planas (2018-09-13, T2-185)</t>
        </r>
        <r>
          <rPr>
            <sz val="9"/>
            <color indexed="81"/>
            <rFont val="Tahoma"/>
            <family val="2"/>
            <charset val="186"/>
          </rPr>
          <t xml:space="preserve">
</t>
        </r>
      </text>
    </comment>
    <comment ref="F183"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F186"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M186" authorId="0" shapeId="0">
      <text>
        <r>
          <rPr>
            <b/>
            <sz val="9"/>
            <color indexed="81"/>
            <rFont val="Tahoma"/>
            <family val="2"/>
            <charset val="186"/>
          </rPr>
          <t>Rezultatai:</t>
        </r>
        <r>
          <rPr>
            <sz val="9"/>
            <color indexed="81"/>
            <rFont val="Tahoma"/>
            <family val="2"/>
            <charset val="186"/>
          </rPr>
          <t xml:space="preserve">
SPG ir miesto Tarybai pritarus sprendimo projektui, kartu su Projekto partneriais būtų rengiama Projekto paraiška, siekiant miestiečiams parodyti ekonominę ir socialinę darnaus judumo (mobilumo) naudą.
Klaipėdos miesto savivaldybė, dalyvaudama Projekte, tikisi koncentruotis į pagrindinių trijų sričių problematiką (tačiau ji gali būti papildyta, modifikuota pagal vietos veiklos grupės diskusijas):
1) saugumas viešose miesto erdvėse;
2) senamiesčio centrinė dalis bemotoriam transportui; 
3) gyventojų motyvavimas keisti mobilumo įpročius.
Numatomos šios pagrindinės Projekto veiklos:
- partnerių susitikimas problemų identifikavimui ir projekto veiklų įgyvendinimo aptarimas;
- vietos veiklos grupės iš skirtingų visuomenės grupių sudarymas ir jų įtraukties į diskusijų užtikrinimas;
- keitimasis gerąją praktika tarp Projekto partnerių;
- integruoto veiksmų plano rengimas; 
- veiklų viešinimas.
Klaipėdos miesto savivaldybės tarybai pritarus dalyvavimui Projekte partnerio teisėmis bei laimėjus paraiškų konkursą, Klaipėdos miesto savivaldybė prisidėtų prie Klaipėdos miesto darnaus judumo strateginių tikslų siekimo. 
Laukiamas galutinis Projekto rezultatas - kartu su užsienio partneriais, mokslo, vietos valdžios, verslo ir bendruomenių atstovais parengtas integruotas veiksmų planas (IAP) dėl ekonominės ir socialinės darnaus judumo priemonių įgyvendinimo Klaipėdos miesto naudos įvertinimo. 
</t>
        </r>
      </text>
    </comment>
    <comment ref="P187" authorId="0" shapeId="0">
      <text>
        <r>
          <rPr>
            <sz val="9"/>
            <color indexed="81"/>
            <rFont val="Tahoma"/>
            <family val="2"/>
            <charset val="186"/>
          </rPr>
          <t xml:space="preserve">1 fazė (vystymo) nuo 2019-09-02 iki 2020-03-02 (trukmė 6 mėn.) ;
2 fazė (įgyvendinimo) nuo 2020-05-01 iki 2022-05-31 (25 mėn.).
</t>
        </r>
        <r>
          <rPr>
            <b/>
            <sz val="9"/>
            <color indexed="81"/>
            <rFont val="Tahoma"/>
            <family val="2"/>
            <charset val="186"/>
          </rPr>
          <t xml:space="preserve">1) 1 fazė (vystymo): nuo 3.215,00 Eur iki 2.250,00 Eur;
2) 2 fazė (įgyvendinimo): nuo 12.857,00 iki 9.000,00 Eur. </t>
        </r>
        <r>
          <rPr>
            <sz val="9"/>
            <color indexed="81"/>
            <rFont val="Tahoma"/>
            <family val="2"/>
            <charset val="186"/>
          </rPr>
          <t xml:space="preserve">
</t>
        </r>
      </text>
    </comment>
    <comment ref="F189"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M189" authorId="0" shapeId="0">
      <text>
        <r>
          <rPr>
            <b/>
            <sz val="9"/>
            <color indexed="81"/>
            <rFont val="Tahoma"/>
            <family val="2"/>
            <charset val="186"/>
          </rPr>
          <t>Projekto tikslai:</t>
        </r>
        <r>
          <rPr>
            <sz val="9"/>
            <color indexed="81"/>
            <rFont val="Tahoma"/>
            <family val="2"/>
            <charset val="186"/>
          </rPr>
          <t xml:space="preserve">
SUMP-PLUS pagrindiniai tikslai: 
• Plėtoti ir taikyti efektyvius būdus, metodus bei priemones miestams, susiduriantiems su sparčiu eismo augimu (susijusiu su automobilių nuosavybės ir naudojimo padidėjimu), kad jie galėtų nustatyti praktinį būdą kuris per tam tikrą laiką nustatytų kliūtis, kurios trukdo įgyvendinti darnaus judumo tikslus. 
• Parodyti, kaip miestai gali sukurti stipresnius ryšius su kitomis miesto sistemos sudedamosiomis dalimis, kurios sukuria judumo reikalavimus (švietimas, sveikata, mažmeninė prekyba, žemės naudojimo planavimas ir kt.). 
• Nustatyti ir parodyti naujus partnerystės ir verslo modelius, kurie leistų ekonomiškai efektyviai įgyvendinti įvairius judumo tikslus per tinkamas viešojo ir privataus sektoriaus partnerystes.
• Plačiai bendradarbiauti su miestiečiais, lankytojais ir įmonėmis, siekiant susitarti dėl miesto transporto vizijos ir bendrai kurti konkrečius sprendimus
</t>
        </r>
        <r>
          <rPr>
            <b/>
            <sz val="9"/>
            <color indexed="81"/>
            <rFont val="Tahoma"/>
            <family val="2"/>
            <charset val="186"/>
          </rPr>
          <t xml:space="preserve"> Projekto rezultatai:
</t>
        </r>
        <r>
          <rPr>
            <sz val="9"/>
            <color indexed="81"/>
            <rFont val="Tahoma"/>
            <family val="2"/>
            <charset val="186"/>
          </rPr>
          <t>• Klaipėdos miesto Darnaus judumo plano įgyvendinimo proceso stebėsena.
• Konkrečių priemonių įgyvendinimas.</t>
        </r>
        <r>
          <rPr>
            <b/>
            <sz val="9"/>
            <color indexed="81"/>
            <rFont val="Tahoma"/>
            <family val="2"/>
            <charset val="186"/>
          </rPr>
          <t xml:space="preserve">
</t>
        </r>
      </text>
    </comment>
    <comment ref="F192"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F193"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N193" authorId="0" shapeId="0">
      <text>
        <r>
          <rPr>
            <b/>
            <sz val="9"/>
            <color indexed="81"/>
            <rFont val="Tahoma"/>
            <family val="2"/>
            <charset val="186"/>
          </rPr>
          <t>2018 m. įrengtos 6 elektromobilių stotelės:</t>
        </r>
        <r>
          <rPr>
            <sz val="9"/>
            <color indexed="81"/>
            <rFont val="Tahoma"/>
            <family val="2"/>
            <charset val="186"/>
          </rPr>
          <t xml:space="preserve">
1. Prie Park&amp;Ride ligoninių komplekso, 1 vnt.
2. Prie Klaipėdos miesto savivaldybės administracijos pastato iš Vytauto ir Liepų g. pusės, 2 vnt.
     3. Prie LIDL p c., ties Sendvario žiedu, 1 vnt.
     4. Piliavietės aikštelėje, 2 vnt.
     5. Dar 2 stotelės įrengtos Smiltynėje, bet dar neperduotos eksploatuoti.
     6. </t>
        </r>
        <r>
          <rPr>
            <b/>
            <sz val="9"/>
            <color indexed="81"/>
            <rFont val="Tahoma"/>
            <family val="2"/>
            <charset val="186"/>
          </rPr>
          <t xml:space="preserve">2019 m. </t>
        </r>
        <r>
          <rPr>
            <sz val="9"/>
            <color indexed="81"/>
            <rFont val="Tahoma"/>
            <family val="2"/>
            <charset val="186"/>
          </rPr>
          <t xml:space="preserve">planuojamos įrengti 3 vnt. greitos įkrovimo elektromobilių stotelės, kurių įrengimą organizuoja LR susisiekimo ministerija. Klaipėdos mieste tokios stotelės turėtų atsirasti: Vingio g. gale esančioje automobilių statymo aikštelėje, Naujojo turgaus aikštelėje ir šalia Klaipėdos autobusų stoties esančioje automobilių statymo aikštelėje.
</t>
        </r>
      </text>
    </comment>
    <comment ref="N201" authorId="0" shapeId="0">
      <text>
        <r>
          <rPr>
            <b/>
            <sz val="9"/>
            <color indexed="81"/>
            <rFont val="Tahoma"/>
            <family val="2"/>
            <charset val="186"/>
          </rPr>
          <t>59 445 kv.m</t>
        </r>
        <r>
          <rPr>
            <sz val="9"/>
            <color indexed="81"/>
            <rFont val="Tahoma"/>
            <family val="2"/>
            <charset val="186"/>
          </rPr>
          <t xml:space="preserve">
</t>
        </r>
      </text>
    </comment>
    <comment ref="K209" authorId="0" shapeId="0">
      <text>
        <r>
          <rPr>
            <b/>
            <sz val="9"/>
            <color indexed="81"/>
            <rFont val="Tahoma"/>
            <family val="2"/>
            <charset val="186"/>
          </rPr>
          <t>permesta 250 tūkst. eur.</t>
        </r>
        <r>
          <rPr>
            <sz val="9"/>
            <color indexed="81"/>
            <rFont val="Tahoma"/>
            <family val="2"/>
            <charset val="186"/>
          </rPr>
          <t xml:space="preserve">
S. Daukanto gatvės rekonstrukcija nuo H. Manto iki Naujojo Uosto g.</t>
        </r>
      </text>
    </comment>
    <comment ref="O209" authorId="0" shapeId="0">
      <text>
        <r>
          <rPr>
            <b/>
            <sz val="9"/>
            <color indexed="81"/>
            <rFont val="Tahoma"/>
            <family val="2"/>
            <charset val="186"/>
          </rPr>
          <t xml:space="preserve">78 500 kv.m </t>
        </r>
        <r>
          <rPr>
            <sz val="9"/>
            <color indexed="81"/>
            <rFont val="Tahoma"/>
            <family val="2"/>
            <charset val="186"/>
          </rPr>
          <t xml:space="preserve">
</t>
        </r>
      </text>
    </comment>
    <comment ref="N217" authorId="0" shapeId="0">
      <text>
        <r>
          <rPr>
            <sz val="9"/>
            <color indexed="81"/>
            <rFont val="Tahoma"/>
            <family val="2"/>
            <charset val="186"/>
          </rPr>
          <t xml:space="preserve">44 875 kv.m
</t>
        </r>
      </text>
    </comment>
    <comment ref="N218" authorId="0" shapeId="0">
      <text>
        <r>
          <rPr>
            <sz val="9"/>
            <color indexed="81"/>
            <rFont val="Tahoma"/>
            <family val="2"/>
            <charset val="186"/>
          </rPr>
          <t xml:space="preserve">13 338 kv.m
</t>
        </r>
      </text>
    </comment>
    <comment ref="M219" authorId="0" shapeId="0">
      <text>
        <r>
          <rPr>
            <sz val="9"/>
            <color indexed="81"/>
            <rFont val="Tahoma"/>
            <family val="2"/>
            <charset val="186"/>
          </rPr>
          <t>Senamiesčio dangų pirtaikymas neįgaliesiems pagal parengtą aprašą (2018-09-18  UAB "Klaipėdos projektas" sutartis Nr. J9-1944)</t>
        </r>
      </text>
    </comment>
    <comment ref="M220" authorId="0" shapeId="0">
      <text>
        <r>
          <rPr>
            <sz val="9"/>
            <color indexed="81"/>
            <rFont val="Tahoma"/>
            <family val="2"/>
            <charset val="186"/>
          </rPr>
          <t xml:space="preserve">kasmet susidaro apie 120 kiemų
</t>
        </r>
      </text>
    </comment>
    <comment ref="N220" authorId="0" shapeId="0">
      <text>
        <r>
          <rPr>
            <sz val="9"/>
            <color indexed="81"/>
            <rFont val="Tahoma"/>
            <family val="2"/>
            <charset val="186"/>
          </rPr>
          <t>18 180 kv.m</t>
        </r>
      </text>
    </comment>
    <comment ref="N226" authorId="0" shapeId="0">
      <text>
        <r>
          <rPr>
            <sz val="9"/>
            <color indexed="81"/>
            <rFont val="Tahoma"/>
            <family val="2"/>
            <charset val="186"/>
          </rPr>
          <t xml:space="preserve">6600 kv.m
</t>
        </r>
      </text>
    </comment>
    <comment ref="M227" authorId="0" shapeId="0">
      <text>
        <r>
          <rPr>
            <b/>
            <sz val="9"/>
            <color indexed="81"/>
            <rFont val="Tahoma"/>
            <family val="2"/>
            <charset val="186"/>
          </rPr>
          <t xml:space="preserve">2019 m. </t>
        </r>
        <r>
          <rPr>
            <sz val="9"/>
            <color indexed="81"/>
            <rFont val="Tahoma"/>
            <family val="2"/>
            <charset val="186"/>
          </rPr>
          <t xml:space="preserve">
Senamiesčio gatvės 
Ligoninės g.
Vytauto g.
Gedminų g.
Pievų tako g.
Jurginų g.
Poilsio g.
Medžiotojų g.
Naikupės g.
Tilžės g.
</t>
        </r>
      </text>
    </comment>
    <comment ref="N227" authorId="0" shapeId="0">
      <text>
        <r>
          <rPr>
            <b/>
            <sz val="9"/>
            <color indexed="81"/>
            <rFont val="Tahoma"/>
            <family val="2"/>
            <charset val="186"/>
          </rPr>
          <t>11 000 kv.m</t>
        </r>
        <r>
          <rPr>
            <sz val="9"/>
            <color indexed="81"/>
            <rFont val="Tahoma"/>
            <family val="2"/>
            <charset val="186"/>
          </rPr>
          <t xml:space="preserve">
</t>
        </r>
      </text>
    </comment>
    <comment ref="O227" authorId="0" shapeId="0">
      <text>
        <r>
          <rPr>
            <b/>
            <sz val="9"/>
            <color indexed="81"/>
            <rFont val="Tahoma"/>
            <family val="2"/>
            <charset val="186"/>
          </rPr>
          <t>7200 kv.m</t>
        </r>
        <r>
          <rPr>
            <sz val="9"/>
            <color indexed="81"/>
            <rFont val="Tahoma"/>
            <family val="2"/>
            <charset val="186"/>
          </rPr>
          <t xml:space="preserve">
</t>
        </r>
      </text>
    </comment>
    <comment ref="P227" authorId="0" shapeId="0">
      <text>
        <r>
          <rPr>
            <b/>
            <sz val="9"/>
            <color indexed="81"/>
            <rFont val="Tahoma"/>
            <family val="2"/>
            <charset val="186"/>
          </rPr>
          <t>7200 kv.m</t>
        </r>
        <r>
          <rPr>
            <sz val="9"/>
            <color indexed="81"/>
            <rFont val="Tahoma"/>
            <family val="2"/>
            <charset val="186"/>
          </rPr>
          <t xml:space="preserve">
</t>
        </r>
      </text>
    </comment>
    <comment ref="O228" authorId="0" shapeId="0">
      <text>
        <r>
          <rPr>
            <b/>
            <sz val="9"/>
            <color indexed="81"/>
            <rFont val="Tahoma"/>
            <family val="2"/>
            <charset val="186"/>
          </rPr>
          <t>2500 kv.m</t>
        </r>
        <r>
          <rPr>
            <sz val="9"/>
            <color indexed="81"/>
            <rFont val="Tahoma"/>
            <family val="2"/>
            <charset val="186"/>
          </rPr>
          <t xml:space="preserve">
</t>
        </r>
      </text>
    </comment>
    <comment ref="O230" authorId="0" shapeId="0">
      <text>
        <r>
          <rPr>
            <b/>
            <sz val="9"/>
            <color indexed="81"/>
            <rFont val="Tahoma"/>
            <family val="2"/>
            <charset val="186"/>
          </rPr>
          <t>1900 kv.m</t>
        </r>
        <r>
          <rPr>
            <sz val="9"/>
            <color indexed="81"/>
            <rFont val="Tahoma"/>
            <family val="2"/>
            <charset val="186"/>
          </rPr>
          <t xml:space="preserve">
</t>
        </r>
      </text>
    </comment>
    <comment ref="M231" authorId="0" shapeId="0">
      <text>
        <r>
          <rPr>
            <sz val="9"/>
            <color indexed="81"/>
            <rFont val="Tahoma"/>
            <family val="2"/>
            <charset val="186"/>
          </rPr>
          <t>Miesto ūkio ir aplinkosaugos komiteto pastaba 2019-01-25 TAR-5</t>
        </r>
      </text>
    </comment>
    <comment ref="N232" authorId="0" shapeId="0">
      <text>
        <r>
          <rPr>
            <b/>
            <sz val="9"/>
            <color indexed="81"/>
            <rFont val="Tahoma"/>
            <family val="2"/>
            <charset val="186"/>
          </rPr>
          <t>UKD - 7 bendrojo ugdymo mokyklos; 7 lopšeliai darželiai:</t>
        </r>
        <r>
          <rPr>
            <sz val="9"/>
            <color indexed="81"/>
            <rFont val="Tahoma"/>
            <family val="2"/>
            <charset val="186"/>
          </rPr>
          <t xml:space="preserve">
"Saulutė" mokykla-darželis.Saulutės"  mokykla-darželis
L/d "Berželis"
 L/d "Vėrinėlis"
L/d "Atžalynas" 
L/d "Bangelė"
L/d "Pakalnutė"
L/d "Linelis"
Vitės progimnazija 
"Žaliakalnio" gimnazija
"Gabijos" progimnazija
"Versmės"  progimnazija
"Ąžuolyno" gimnazija
"Vyturio" progimnazija
Martyno Mažvydo progimnazija
</t>
        </r>
        <r>
          <rPr>
            <b/>
            <sz val="9"/>
            <color indexed="81"/>
            <rFont val="Tahoma"/>
            <family val="2"/>
            <charset val="186"/>
          </rPr>
          <t>SRD - 1 įstaig:</t>
        </r>
        <r>
          <rPr>
            <sz val="9"/>
            <color indexed="81"/>
            <rFont val="Tahoma"/>
            <family val="2"/>
            <charset val="186"/>
          </rPr>
          <t xml:space="preserve">
1. BĮ Klaipėdos vaikų globos namuose „Smiltelė“ kelio dangos remontas, kv m 23,1 tūkst. Eur;
</t>
        </r>
      </text>
    </comment>
    <comment ref="O232" authorId="0" shapeId="0">
      <text>
        <r>
          <rPr>
            <b/>
            <sz val="9"/>
            <color indexed="81"/>
            <rFont val="Tahoma"/>
            <family val="2"/>
            <charset val="186"/>
          </rPr>
          <t>12 vnt.:</t>
        </r>
        <r>
          <rPr>
            <sz val="9"/>
            <color indexed="81"/>
            <rFont val="Tahoma"/>
            <family val="2"/>
            <charset val="186"/>
          </rPr>
          <t xml:space="preserve">
Vydūno gimnazija
"Vėtrungės" gimnazija
Maksimo Gorkio progimnazija
Klaipėdos suaugusiųjų gimnazija
"Verdenės"  progimnazija
L/d "Žemuogėlė"
L/d "Inkarėlis"
L/d "Aitvarėlis"
L/d "Radastėlė"
Lopšelis-darželis "Žuvėdra"
Lopšelis-darželis "Šermukšnėlė"
Jeronimo Kačinsko muzikos mokykla
</t>
        </r>
      </text>
    </comment>
    <comment ref="P232" authorId="0" shapeId="0">
      <text>
        <r>
          <rPr>
            <b/>
            <sz val="9"/>
            <color indexed="81"/>
            <rFont val="Tahoma"/>
            <family val="2"/>
            <charset val="186"/>
          </rPr>
          <t>6 vnt.</t>
        </r>
        <r>
          <rPr>
            <sz val="9"/>
            <color indexed="81"/>
            <rFont val="Tahoma"/>
            <family val="2"/>
            <charset val="186"/>
          </rPr>
          <t xml:space="preserve">
Lopšelis-darželis  "Giliukas"
Darželis "Gintarėlis"
Lopšelis-darželis "Eglutė"
"Varpo" gimnazija
"Verdenės"  progimnazija
Vytauto Didžiojo gimnazija
</t>
        </r>
      </text>
    </comment>
    <comment ref="E239" authorId="0" shapeId="0">
      <text>
        <r>
          <rPr>
            <sz val="9"/>
            <color indexed="81"/>
            <rFont val="Tahoma"/>
            <family val="2"/>
            <charset val="186"/>
          </rPr>
          <t>parkavimo vietų subraižymas, žaliųjų vejų ir skverų sutvarkymas</t>
        </r>
      </text>
    </comment>
    <comment ref="J258" authorId="0" shapeId="0">
      <text>
        <r>
          <rPr>
            <b/>
            <sz val="9"/>
            <color indexed="81"/>
            <rFont val="Tahoma"/>
            <family val="2"/>
            <charset val="186"/>
          </rPr>
          <t>20261,3</t>
        </r>
        <r>
          <rPr>
            <sz val="9"/>
            <color indexed="81"/>
            <rFont val="Tahoma"/>
            <family val="2"/>
            <charset val="186"/>
          </rPr>
          <t xml:space="preserve">
</t>
        </r>
      </text>
    </comment>
  </commentList>
</comments>
</file>

<file path=xl/sharedStrings.xml><?xml version="1.0" encoding="utf-8"?>
<sst xmlns="http://schemas.openxmlformats.org/spreadsheetml/2006/main" count="1692" uniqueCount="393">
  <si>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</si>
  <si>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</si>
  <si>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</si>
  <si>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</si>
  <si>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</si>
  <si>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</si>
  <si>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</si>
  <si>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</si>
  <si>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</si>
  <si>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</si>
  <si>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</si>
  <si>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</si>
  <si>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</si>
  <si>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</si>
  <si>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</si>
  <si>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</si>
  <si>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</si>
  <si>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 TIKSLŲ, UŽDAVINIŲ, PRIEMONIŲ, PRIEMONIŲ IŠLAIDŲ IR PRODUKTO KRITERIJŲ SUVESTINĖ</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</si>
  <si>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</si>
  <si>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</si>
  <si>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</si>
  <si>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</si>
  <si>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Klaipėdos valstybinio jūrų uosto direkcijos lėšos </t>
    </r>
    <r>
      <rPr>
        <b/>
        <sz val="10"/>
        <rFont val="Times New Roman"/>
        <family val="1"/>
        <charset val="186"/>
      </rPr>
      <t>KVJUD</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</si>
  <si>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</si>
  <si>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</si>
  <si>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</si>
  <si>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06 Susisiekimo sistemos priežiūros ir plėtros programa</t>
  </si>
  <si>
    <t>Papriemonės kodas</t>
  </si>
  <si>
    <t>03</t>
  </si>
  <si>
    <t>SUSISIEKIMO SISTEMOS PRIEŽIŪROS IR PLĖTROS PROGRAMOS (NR. 06)</t>
  </si>
  <si>
    <t>Didinti gatvių tinklo pralaidumą ir užtikrinti jų tankumą</t>
  </si>
  <si>
    <t>Rekonstruoti ir tiesti gatves</t>
  </si>
  <si>
    <t xml:space="preserve"> Užtikrinti patogios viešojo transporto sistemos funkcionavimą</t>
  </si>
  <si>
    <t>04</t>
  </si>
  <si>
    <t>05</t>
  </si>
  <si>
    <t>06</t>
  </si>
  <si>
    <t>07</t>
  </si>
  <si>
    <t>6</t>
  </si>
  <si>
    <t>Eksploatuojama šviesoforų, vnt.</t>
  </si>
  <si>
    <t>Tiltų ir kelio statinių priežiūra</t>
  </si>
  <si>
    <t>Suremontuota asfaltbetonio dangos duobių gatvėse, ha</t>
  </si>
  <si>
    <t>Parduota lengvatinių bilietų, mln. vnt.</t>
  </si>
  <si>
    <t>Viešojo transporto priežiūros ir paslaugų kokybės kontroliavimas</t>
  </si>
  <si>
    <t>5</t>
  </si>
  <si>
    <t>ES</t>
  </si>
  <si>
    <t>Kt</t>
  </si>
  <si>
    <t>Parengtas techninis projektas, vnt.</t>
  </si>
  <si>
    <t>I</t>
  </si>
  <si>
    <t>KVJUD</t>
  </si>
  <si>
    <t>Centrinės miesto dalies gatvių tinklo modernizavimas:</t>
  </si>
  <si>
    <t>Šiaurinės miesto dalies gatvių tinklo modernizavimas:</t>
  </si>
  <si>
    <t>Pajūrio rekreacinių teritorijų gatvių tinklo modernizavimas:</t>
  </si>
  <si>
    <t>Transporto kompensacijų mokėjimas:</t>
  </si>
  <si>
    <t>Asfaltuotų daugiabučių kiemų dangų remontas</t>
  </si>
  <si>
    <t>Patikrinta viešojo transporto priemonių, tūkst. vnt.</t>
  </si>
  <si>
    <t>1</t>
  </si>
  <si>
    <t>Viešojo transporto paslaugų organizavimas:</t>
  </si>
  <si>
    <t xml:space="preserve">Iš viso  programai:  </t>
  </si>
  <si>
    <t>Pajūrio g. rekonstravimas</t>
  </si>
  <si>
    <t>Pamario gatvės rekonstravimas</t>
  </si>
  <si>
    <t>SB(L)</t>
  </si>
  <si>
    <t>Strateginis tikslas 02. Kurti mieste patrauklią, švarią ir saugią gyvenamąją aplinką</t>
  </si>
  <si>
    <t>Vykdytojas (skyrius / asmuo)</t>
  </si>
  <si>
    <t>Viešosios tvarkos skyrius</t>
  </si>
  <si>
    <t>Miesto gatvių ženklinimas</t>
  </si>
  <si>
    <t>Prižiūrima žvyruotos dangos, ha</t>
  </si>
  <si>
    <t>Paklota ištisinio asfaltbetonio dangos, ha</t>
  </si>
  <si>
    <t>Eksploatuojama prietaisų, vnt.</t>
  </si>
  <si>
    <t>SB(VR)</t>
  </si>
  <si>
    <r>
      <t xml:space="preserve">Vietinių rinkliavų lėšos </t>
    </r>
    <r>
      <rPr>
        <b/>
        <sz val="10"/>
        <rFont val="Times New Roman"/>
        <family val="1"/>
        <charset val="186"/>
      </rPr>
      <t>SB(VR)</t>
    </r>
  </si>
  <si>
    <t>IED Statybos ir infrastruktūros plėtros skyrius</t>
  </si>
  <si>
    <t xml:space="preserve">IED Projektų skyrius </t>
  </si>
  <si>
    <t>Bendri KVJUD ir miesto projektai:</t>
  </si>
  <si>
    <t>MŪD Transporto skyrius</t>
  </si>
  <si>
    <t>MŪD Miesto tvarkymo skyrius</t>
  </si>
  <si>
    <t>SB(VRL)</t>
  </si>
  <si>
    <t>P2.1.2.9</t>
  </si>
  <si>
    <t>Topografinių nuotraukų, išpildomųjų geodezinių nuotraukų įsigijimas, statinių projektų ekspertizių bei kitos inžinerinės paslaugos</t>
  </si>
  <si>
    <t xml:space="preserve"> - vežėjams už lengvatas turinčių keleivių vežimą</t>
  </si>
  <si>
    <t xml:space="preserve"> - moksleiviams</t>
  </si>
  <si>
    <t xml:space="preserve"> - profesinių mokyklų moksleiviams</t>
  </si>
  <si>
    <t>Suženklinta gatvių, ha</t>
  </si>
  <si>
    <t>Eksploatuojama greičio matuoklių, vnt.</t>
  </si>
  <si>
    <t>Parengtas paviljono su aikštele techninis projektas, vnt.</t>
  </si>
  <si>
    <t>Medžiagų tyrimas ir kontroliniai bandymai</t>
  </si>
  <si>
    <t>2.1.2.14</t>
  </si>
  <si>
    <t>2.1.2.11</t>
  </si>
  <si>
    <t>2.1.2.15</t>
  </si>
  <si>
    <t>2.1.2.13</t>
  </si>
  <si>
    <t>2.1.2.2</t>
  </si>
  <si>
    <t>2.1.2.12</t>
  </si>
  <si>
    <t xml:space="preserve">Savivaldybės biudžetas, iš jo: </t>
  </si>
  <si>
    <t xml:space="preserve">Parengtas techninis projektas, vnt. </t>
  </si>
  <si>
    <t>Planas</t>
  </si>
  <si>
    <t>Rytų ir vakarų krypties gatvių tinklo modernizavimas:</t>
  </si>
  <si>
    <t>Šiaurės ir pietų transporto koridorių gatvių tinklo modernizavimas:</t>
  </si>
  <si>
    <r>
      <rPr>
        <sz val="10"/>
        <rFont val="Times New Roman"/>
        <family val="1"/>
        <charset val="186"/>
      </rPr>
      <t>Vietinių rinkliavų likučio lėšos</t>
    </r>
    <r>
      <rPr>
        <b/>
        <sz val="10"/>
        <rFont val="Times New Roman"/>
        <family val="1"/>
        <charset val="186"/>
      </rPr>
      <t xml:space="preserve"> SB(VRL)</t>
    </r>
  </si>
  <si>
    <r>
      <t xml:space="preserve">Žemės pardavimų likučio lėšos </t>
    </r>
    <r>
      <rPr>
        <b/>
        <sz val="10"/>
        <rFont val="Times New Roman"/>
        <family val="1"/>
        <charset val="186"/>
      </rPr>
      <t>SB(ŽPL)</t>
    </r>
  </si>
  <si>
    <t>SB(ŽPL)</t>
  </si>
  <si>
    <t>SB(KPP)</t>
  </si>
  <si>
    <t>MŪD Miesto tvarkymo sk.</t>
  </si>
  <si>
    <t xml:space="preserve">Ištisinio asfaltbetonio dangos remontas: </t>
  </si>
  <si>
    <t>Kiemų ir privažiuojamųjų kelių  prie biudžetinių įstaigų dangos remontas</t>
  </si>
  <si>
    <t>Asfaltbetonio dangos, žvyruotos dangos ir akmenimis grįstų miesto gatvių dangos remontas</t>
  </si>
  <si>
    <t>Ištisinio asfaltbetonio dangos įrengimas miesto gatvėse ir kiemuose:</t>
  </si>
  <si>
    <t>Eismo reguliavimo infrastruktūros eksploatacija ir įrengimas</t>
  </si>
  <si>
    <t>Mokamo automobilių stovėjimo sistemos mieste kūrimas ir išlaikymas</t>
  </si>
  <si>
    <t>Eismo srautų reguliavimo ir saugumo priemonių įgyvendinimas:</t>
  </si>
  <si>
    <t>2.1.2.8</t>
  </si>
  <si>
    <t>tūkst. Eur</t>
  </si>
  <si>
    <t xml:space="preserve">Diegti eismo srautų reguliavimo ir saugumo priemones </t>
  </si>
  <si>
    <t xml:space="preserve">Eksploatuojama eismo reguliavimo priemonių, tūkst. vnt. </t>
  </si>
  <si>
    <t>P2.1.2.3</t>
  </si>
  <si>
    <t xml:space="preserve">Susisiekimo sistemos objektų pritaikymas neįgaliesiems  </t>
  </si>
  <si>
    <t xml:space="preserve">IED Statybos ir infrastruk. plėtros sk. </t>
  </si>
  <si>
    <t>IED Statybos ir infrastruktūros plėtros sk.</t>
  </si>
  <si>
    <t>MŪD Transporto sk.</t>
  </si>
  <si>
    <t>Aiškinamojo rašto priedas Nr.3</t>
  </si>
  <si>
    <t>2019-ieji metai</t>
  </si>
  <si>
    <t>Klaipėdos miesto viešojo transporto atnaujinimas (autobusų įsigijimas)</t>
  </si>
  <si>
    <t>Klaipėdos miesto viešojo transporto švieslenčių ir informacinių švieslenčių įrengimas ir atnaujinimas</t>
  </si>
  <si>
    <t xml:space="preserve">Įrengta švieslenčių miesto autobusų stotelėse, vnt.  </t>
  </si>
  <si>
    <t>P2.1.2.5</t>
  </si>
  <si>
    <r>
      <rPr>
        <b/>
        <sz val="10"/>
        <rFont val="Times New Roman"/>
        <family val="1"/>
        <charset val="186"/>
      </rPr>
      <t>II etapas.</t>
    </r>
    <r>
      <rPr>
        <sz val="10"/>
        <rFont val="Times New Roman"/>
        <family val="1"/>
        <charset val="186"/>
      </rPr>
      <t xml:space="preserve"> Žiedinės Tilžės g., Mokyklos g. ir Šilutės pl. sankryžos pertvarkymas į šviesoforinę </t>
    </r>
  </si>
  <si>
    <t>IED  Statybos ir infrastruktūros plėtros skyrius</t>
  </si>
  <si>
    <t>Kombinuotų kelionių jungčių (PARK&amp;RIDE) įrengimas (šiaurinėje miesto dalyje)</t>
  </si>
  <si>
    <t>Įdiegta transporto valdymo sistema. Užbaigtumas, proc.</t>
  </si>
  <si>
    <t>Viešojo transporto (autobusų ir maršrutinių taksi) integravimo sistemos įrangos įsigijimas ir atnaujinimas</t>
  </si>
  <si>
    <t>Baltijos pr. ir Šilutės pl. žiedinės sankryžos rekonstravimas</t>
  </si>
  <si>
    <t>- nuostolių, patirtų vežant keleivius vietinio reguliaraus susisiekimo autobusų maršrutais renginių metu, kompensavimas</t>
  </si>
  <si>
    <t>Statybininkų prospekto tęsinio tiesimas nuo Šilutės pl. per LEZ teritoriją iki 141 kelio: II etapas – Lypkių gatvės ruožo nuo Šilutės plento tiesimas</t>
  </si>
  <si>
    <t>Apšviesta pėsčiųjų perėjų, vnt</t>
  </si>
  <si>
    <t xml:space="preserve">Privažiuojamojo kelio prie pastato Debreceno g. 48  įrengimas ir pastato aplinkos sutvarkymas </t>
  </si>
  <si>
    <t>Suteikta gatvių dangų, konstruktyvo ir betoninių gaminių kontrolinių bandymų paslaugų. Užbaigtumas, proc.</t>
  </si>
  <si>
    <t>Eksploatuojama bilietų automatų, vnt.</t>
  </si>
  <si>
    <t>Atlikta kelio įrengimo, aplinkos sutvarkymo darbų. Užbaigtumas, proc.</t>
  </si>
  <si>
    <t>Įrengtas naujas žvejų laivams skirtas slipas (aikštelė, skirta valtims nuleisti ir ištraukti iš vandens). Užbaigtumas, proc.</t>
  </si>
  <si>
    <t xml:space="preserve">Parengtas naujo tilto su pakeliamu mechanizmu statybos techninis projektas, vnt. </t>
  </si>
  <si>
    <t>Kompensuota bilietų moksleiviams, tūkst. vnt.</t>
  </si>
  <si>
    <t>Kompensuota bilietų profesinių mokyklų moksleiviams, tūkst. vnt.</t>
  </si>
  <si>
    <t>Parengtas techninis projektas ir detaliojo plano korekcija, vnt.</t>
  </si>
  <si>
    <t xml:space="preserve">Parengtas rekonstravimo techninis projektas (ruožas nuo Atgimimo aikštės iki Laivų skersgatvio), vnt. </t>
  </si>
  <si>
    <t>Parengtas rekonstravimo techninis projektas (ruožas nuo Laivų skersgatvio iki Artojų g.), vnt.</t>
  </si>
  <si>
    <t>Parengtas rekonstravimo techninis projektas, vnt.</t>
  </si>
  <si>
    <t>Atlikta rekonstravimo darbų. Užbaigtumas, proc.</t>
  </si>
  <si>
    <t>Atlikta gatvės (1374 m ) rekonstravimo darbų. Užbaigtumas, proc.</t>
  </si>
  <si>
    <t>Įstaigų, kurių kiemuose atlikta asfalto dangos remonto darbų, skaičius</t>
  </si>
  <si>
    <t>Kūlių Vartų g. ir Bangų g., Tiltų g., Galinio Pylimo g., Taikos pr. sankryžos rekonstravimas</t>
  </si>
  <si>
    <r>
      <rPr>
        <b/>
        <sz val="10"/>
        <rFont val="Times New Roman"/>
        <family val="1"/>
        <charset val="186"/>
      </rPr>
      <t xml:space="preserve">I etapas. </t>
    </r>
    <r>
      <rPr>
        <sz val="10"/>
        <rFont val="Times New Roman"/>
        <family val="1"/>
        <charset val="186"/>
      </rPr>
      <t>Tilžės g. nuo Šilutės pl. iki geležinkelio pervažos rekonstravimas</t>
    </r>
  </si>
  <si>
    <t xml:space="preserve">Klaipėdos miesto gatvių pėsčiųjų perėjų kryptinis apšvietimas </t>
  </si>
  <si>
    <t>Parengtas II etapo techninis projektas (Klaipėdos g., Virkučių g., Slengių g., Lietaus g., Vaivorykštės g., Griaustinio g. ir Arimų g.), vnt.</t>
  </si>
  <si>
    <t>Maršruto „Klaipėdos autobusų stotis–Palangos oro uostas“ kursavimas</t>
  </si>
  <si>
    <t>Kompensuota nuostolingų maršrutų, vnt.</t>
  </si>
  <si>
    <r>
      <t xml:space="preserve">Europos Sąjungos paramos lėšos, kurios įtrauktos į Savivaldybės biudžetą </t>
    </r>
    <r>
      <rPr>
        <b/>
        <sz val="10"/>
        <rFont val="Times New Roman"/>
        <family val="1"/>
        <charset val="186"/>
      </rPr>
      <t>SB(ES)</t>
    </r>
  </si>
  <si>
    <t>Elektromobilių įkrovimo stotelių įrengimas  Klaipėdos mieste</t>
  </si>
  <si>
    <t xml:space="preserve">Nuostolių kompensacijų mokėjimas: </t>
  </si>
  <si>
    <r>
      <t xml:space="preserve">patirtų vykdant keleivinio kelių transporto viešųjų paslaugų </t>
    </r>
    <r>
      <rPr>
        <sz val="10"/>
        <rFont val="Times New Roman"/>
        <family val="1"/>
        <charset val="186"/>
      </rPr>
      <t>vežant keleivius vietinio (miesto) reguliaraus susisiekimo autobusų maršrutais</t>
    </r>
  </si>
  <si>
    <t>patirtų įgyvendinant ES Sanglaudos fondų finansuojamus ekologiškų viešojo transporto  priemonių įsigijimo projektus</t>
  </si>
  <si>
    <t>Parengta galimybių studija, vnt.</t>
  </si>
  <si>
    <t>2020-ųjų metų lėšų projektas</t>
  </si>
  <si>
    <t>2020-ieji metai</t>
  </si>
  <si>
    <t>Atlikta gatvės tiesimo darbų. Užbaigtumas, proc.</t>
  </si>
  <si>
    <t>2.1.2.2.</t>
  </si>
  <si>
    <t>IED Projektų skyrius</t>
  </si>
  <si>
    <r>
      <t xml:space="preserve">Programų lėšų likučių lėšos </t>
    </r>
    <r>
      <rPr>
        <b/>
        <sz val="10"/>
        <rFont val="Times New Roman"/>
        <family val="1"/>
        <charset val="186"/>
      </rPr>
      <t xml:space="preserve">SB(L) </t>
    </r>
  </si>
  <si>
    <t xml:space="preserve"> Atlikti kasmetinius miesto susisiekimo infrastruktūros objektų priežiūros ir įrengimo darbus</t>
  </si>
  <si>
    <t>Naujų ekologiškų viešojo transporto ir  alternatyvaus judėjimo projektų įgyvendinimas:</t>
  </si>
  <si>
    <t>Šturmanų g.;</t>
  </si>
  <si>
    <t>Šermukšnių g.;</t>
  </si>
  <si>
    <t>2019 m.</t>
  </si>
  <si>
    <t>2020 m.</t>
  </si>
  <si>
    <t>S. Šimkaus g.;</t>
  </si>
  <si>
    <t>I. Simonaitytės g.;</t>
  </si>
  <si>
    <t>Jurginų g.;</t>
  </si>
  <si>
    <t>Malūnininkų g.;</t>
  </si>
  <si>
    <t>Subsidijuojamų maršrutų skaičius:</t>
  </si>
  <si>
    <t>Atliktas gatvių – Akmenų g. (405 m), Vėjo g. (1373 m), Smėlio g. (960 m) ir Debesų g. (890 m) rekonstravimas. Užbaigtumas, proc.</t>
  </si>
  <si>
    <t>Atliktas gatvių –  Klaipėdos g. (500 m) ir Virkučių g. (1004 m) rekonstravimas. Užbaigtumas, proc.</t>
  </si>
  <si>
    <t>Atliktas gatvių – Slengių g., Lietaus g., Vaivorykštės g., Griaustinio g. ,Arimų g., Vėjo g. (II dalies), Žvaigždžių g. rekonstravimas. Užbaigtumas, proc.</t>
  </si>
  <si>
    <t>Atlikta gatvės (600 m) rekonstravimo darbų.
Užbaigtumas, proc.</t>
  </si>
  <si>
    <t>Atlikta žiedinės sankryžos rekonstravimo darbų. Užbaigtumas, proc.</t>
  </si>
  <si>
    <t>Atlikta Pamario g. (4400 m) rekonstravimo darbų (II-IV etapai). Užbaigtumas, proc.</t>
  </si>
  <si>
    <t>Atlikta prospekto atkarpos rekonstravimo darbų.  Užbaigtumas, proc.</t>
  </si>
  <si>
    <t>10</t>
  </si>
  <si>
    <t>08</t>
  </si>
  <si>
    <t>Kelio Klaipėda-Kretinga Nr. 168 (Medelyno g.) rekonstravimas</t>
  </si>
  <si>
    <t>Elektra varomo viešojo transporto naujų galimybių plėtra (DEPO), ELENA</t>
  </si>
  <si>
    <t>Parengtas tramvajaus ir elektrinių autobusų pirkimo strategijos dokumentų paketas, vnt.</t>
  </si>
  <si>
    <t>Įrengta elektromobilių įkrovimo prieigų, vnt.</t>
  </si>
  <si>
    <t>MŪD  Transporto sk.</t>
  </si>
  <si>
    <t>Įdiegta dviračių saugojimo (angl. bike-storing) sistema, vnt.</t>
  </si>
  <si>
    <t>Lengvųjų automobilių taksi  ženklinimo  sprendinių projekto parengimas</t>
  </si>
  <si>
    <t>Parengtas ženklinimo sprendinių projektas, vnt.</t>
  </si>
  <si>
    <t>Transporto skyrius</t>
  </si>
  <si>
    <t>Įrengta elektros įvadų švieslenčių įrengimui, vnt.</t>
  </si>
  <si>
    <t>Tauralaukio gyvenvietės gatvių rekonstravimas</t>
  </si>
  <si>
    <t xml:space="preserve">Jūrininkų prospekto atkarpos nuo Šilutės pl. iki Minijos g. rekonstrukcija </t>
  </si>
  <si>
    <r>
      <t>Danės g. rekonstravimas (siekiant racionaliai suplanuoti jungtis su Bastionų g., nauju tiltu per Danės upę ir Artojų g.)</t>
    </r>
    <r>
      <rPr>
        <sz val="10"/>
        <color rgb="FFFF0000"/>
        <rFont val="Times New Roman"/>
        <family val="1"/>
        <charset val="186"/>
      </rPr>
      <t xml:space="preserve"> </t>
    </r>
  </si>
  <si>
    <t xml:space="preserve">Naujo įvažiuojamojo kelio (Priešpilio g.) į piliavietę ir Kruizinių laivų terminalą tiesimas </t>
  </si>
  <si>
    <t xml:space="preserve">Puodžių gatvės rekonstravimas  </t>
  </si>
  <si>
    <t xml:space="preserve">Dubliuojančios gatvės nuo Šiltnamių g. iki Klaipėdos g. su pėsčiųjų ir dviračių taku ir įvažomis į Liepojos g. įrengimas                          </t>
  </si>
  <si>
    <t xml:space="preserve">Joniškės g. rekonstravimas (II etapas – nuo Klemiškės g. iki Liepų g., Šienpjovių g.) </t>
  </si>
  <si>
    <r>
      <t>Uostamiesčiai: darnaus judumo principų integravimas (PORT Cities: Integrating Sustainability, PORTIS)</t>
    </r>
    <r>
      <rPr>
        <sz val="10"/>
        <color rgb="FFFF0000"/>
        <rFont val="Times New Roman"/>
        <family val="1"/>
        <charset val="186"/>
      </rPr>
      <t xml:space="preserve"> </t>
    </r>
  </si>
  <si>
    <t>Automobilių stovėjimo aikštelės teritorijoje  Bangų g., Klaipėdoje, įrengimas</t>
  </si>
  <si>
    <t xml:space="preserve">Sodų bendrija „Vaiteliai“–„Rasa“ kursavimas </t>
  </si>
  <si>
    <t xml:space="preserve">Atlikta gatvės rekonstravimo darbų. Užbaigtumas, proc.
</t>
  </si>
  <si>
    <t>Parengiamieji darbai įgyvendinat gatvių rekonstrukcijos projektus:</t>
  </si>
  <si>
    <t>Ekologiškų viešojo transporto priemonių, kuriomis važiuojant patiriami nuostoliai, vnt.</t>
  </si>
  <si>
    <t>Parengtas (II etapo) techninis projektas, vnt.</t>
  </si>
  <si>
    <t>Įsigyta naujų ekologiškų autobusų, vnt.</t>
  </si>
  <si>
    <t>Atlikta teritorijos buitinių nuotekų remonto darbų. Užbaigtumas, proc.</t>
  </si>
  <si>
    <t>Klaipėdos miestui priklausančių elektromobilių įkrovimo stotelių eksploatavimas ir priežiūra</t>
  </si>
  <si>
    <t>Senamiesčio grindinio atnaujinimas ir universalaus dizaino pritaikymas</t>
  </si>
  <si>
    <t>Įrengta neregių vedimo dangos autobusų stotelėse, vnt</t>
  </si>
  <si>
    <t>Kelio Klaipėda–Kretinga Nr. 168 (Medelyno g.) rekonstravimas</t>
  </si>
  <si>
    <t>Atlikta Pamario g. (4400 m) rekonstravimo darbų (II–IV etapai). Užbaigtumas, proc.</t>
  </si>
  <si>
    <r>
      <t xml:space="preserve">Įdiegta dviračių saugojimo (angl. </t>
    </r>
    <r>
      <rPr>
        <i/>
        <sz val="10"/>
        <rFont val="Times New Roman"/>
        <family val="1"/>
        <charset val="186"/>
      </rPr>
      <t>bike-storing</t>
    </r>
    <r>
      <rPr>
        <sz val="10"/>
        <rFont val="Times New Roman"/>
        <family val="1"/>
        <charset val="186"/>
      </rPr>
      <t>) sistema, vnt.</t>
    </r>
  </si>
  <si>
    <r>
      <t xml:space="preserve">Europos Sąjungos paramos lėšos, kurios įtrauktos į savivaldybės biudžetą </t>
    </r>
    <r>
      <rPr>
        <b/>
        <sz val="10"/>
        <rFont val="Times New Roman"/>
        <family val="1"/>
        <charset val="186"/>
      </rPr>
      <t>SB(ES)</t>
    </r>
  </si>
  <si>
    <t>Lyginamasis variantas</t>
  </si>
  <si>
    <t>Paaiškinimas</t>
  </si>
  <si>
    <t>Skirtumas</t>
  </si>
  <si>
    <t>Siūlomas keisti 2020-ųjų metų  lėšų projektas</t>
  </si>
  <si>
    <t>Klemiškės g. rekonstravimas</t>
  </si>
  <si>
    <t>SB(ES)</t>
  </si>
  <si>
    <t>2021-ųjų metų lėšų projektas</t>
  </si>
  <si>
    <t>2021-ieji metai</t>
  </si>
  <si>
    <t>Eksploatuojama elektromobilių įkrovimo stotelių, vnt.</t>
  </si>
  <si>
    <t>Atliktas poveikio aplinkai vertinimo dokumentas, vnt.</t>
  </si>
  <si>
    <t>2019-ųjų metų asignavimų planas</t>
  </si>
  <si>
    <t>I, P2</t>
  </si>
  <si>
    <t>P2</t>
  </si>
  <si>
    <r>
      <t xml:space="preserve">P2.1.2.5,  </t>
    </r>
    <r>
      <rPr>
        <b/>
        <sz val="10"/>
        <rFont val="Times New Roman"/>
        <family val="1"/>
        <charset val="186"/>
      </rPr>
      <t>P2</t>
    </r>
  </si>
  <si>
    <r>
      <t xml:space="preserve">P2.1.2.7-8, </t>
    </r>
    <r>
      <rPr>
        <b/>
        <sz val="9"/>
        <rFont val="Times New Roman"/>
        <family val="1"/>
        <charset val="186"/>
      </rPr>
      <t>P2</t>
    </r>
  </si>
  <si>
    <r>
      <t xml:space="preserve">P2.1.2.10, </t>
    </r>
    <r>
      <rPr>
        <b/>
        <sz val="10"/>
        <rFont val="Times New Roman"/>
        <family val="1"/>
        <charset val="186"/>
      </rPr>
      <t>P2</t>
    </r>
  </si>
  <si>
    <t>Atlikta sankryžos rekonstravimo darbų. Užbaigtumas, proc.</t>
  </si>
  <si>
    <t xml:space="preserve">Šalia Klaipėdos Simono Dacho progimnazijos esančio Jūrininkų tako gatvės prailginimas </t>
  </si>
  <si>
    <t xml:space="preserve">Parengtas techninis projektas (planuojama pabaiga 2022 m.), vnt. </t>
  </si>
  <si>
    <t>40</t>
  </si>
  <si>
    <t>70</t>
  </si>
  <si>
    <t>SB(VB)</t>
  </si>
  <si>
    <t>Naujo tilto su pakeliamu mechanizmu per Danę statyba ir prieigų sutvarkymas</t>
  </si>
  <si>
    <t>Atlikta senamiesčio gatvių atnaujinimo darbų. Užbaigtumas, proc.</t>
  </si>
  <si>
    <t>Žvejybos produktų iškrovimo vietos prie jūros Klaipėdos miesto teritorijoje įrengimas</t>
  </si>
  <si>
    <t>LRVB</t>
  </si>
  <si>
    <t>8</t>
  </si>
  <si>
    <t>Įrengta (I etapo) stotelių su įvažomis, vnt.</t>
  </si>
  <si>
    <t>Įrengta (II atapo) stotelių su įvažomis, vnt.</t>
  </si>
  <si>
    <r>
      <t xml:space="preserve">Valstybės biudžeto specialiosios tikslinės dotacijos lėšos </t>
    </r>
    <r>
      <rPr>
        <b/>
        <sz val="10"/>
        <rFont val="Times New Roman"/>
        <family val="1"/>
        <charset val="186"/>
      </rPr>
      <t>SB(VB)</t>
    </r>
  </si>
  <si>
    <t>Atlikta naujo tilto statybos ir Bastiono gatvės (I etapo) rekonstravimo darbų. Užbaigtumas, proc.</t>
  </si>
  <si>
    <t>Atlikta eismo juostos įrengimo darbų. Užbaigtumas, proc.</t>
  </si>
  <si>
    <t>Maršrutas į LEZ teritoriją</t>
  </si>
  <si>
    <t>Naktinis maršrutas</t>
  </si>
  <si>
    <t>Integruota autobusų ir maršrutinių taksi, vnt.</t>
  </si>
  <si>
    <t>Išmokėta už 2018 m. gautą autobusų integracijos įrangą ir sistemą. Užbaigtumas, proc.</t>
  </si>
  <si>
    <t>Parengta projektų, vnt.</t>
  </si>
  <si>
    <t>Rekonstruotas šviesoforas (Tilžės g. ir Sausio 15-osios g. sankryžoje), vnt.</t>
  </si>
  <si>
    <t>2021 m.</t>
  </si>
  <si>
    <t>Gatvių sarašas bus sudaromas po gatvių apžiūrų 2019-2020 m.</t>
  </si>
  <si>
    <t>Gedminų g.;</t>
  </si>
  <si>
    <t>Smiltelės g. (atkarpa nuo Taikos pr. iki Minijos g.);</t>
  </si>
  <si>
    <t>Vytauto g. (atkarpa nuo S. Šimkaus g. iki Puodžių g.);</t>
  </si>
  <si>
    <t>Herkaus Manto g. (labiausiai pažeistos atkarpos, įvažos);</t>
  </si>
  <si>
    <t>Šilutės pl. (labiausiai pažeistos atkarpos, įvažos);</t>
  </si>
  <si>
    <t>Mogiliovo  g.  gyvenamojo rajono gatvės;</t>
  </si>
  <si>
    <t>S.Daukanto g.;</t>
  </si>
  <si>
    <t>Atlikta kelio atnaujinimo darbų. Užbaigtumas, proc.</t>
  </si>
  <si>
    <t>Įvažiavimo kelio į Taikos pr. 101;</t>
  </si>
  <si>
    <t>Įvažiavimo kelio ir šalia esančio skvero į Taikos pr. 109 ;</t>
  </si>
  <si>
    <t>Įvažiavimo kelio  į Debreceno g. 61</t>
  </si>
  <si>
    <t>Įvažiavimo kelių atnaujinimas:</t>
  </si>
  <si>
    <t>Prižiūrėta tiltų ir viadukų, vnt.</t>
  </si>
  <si>
    <t>Pėsčiųjų ir dviračių takų, šaligatvių (su dviračių takais) remonto bei įrengimo darbai</t>
  </si>
  <si>
    <t>Viešojo transporto infrastruktūros gerinimas:</t>
  </si>
  <si>
    <t>Keleivinio transporto stotelių su įvažomis Klaipėdos miesto gatvėse projektavimas ir įrengimas</t>
  </si>
  <si>
    <t>Įrengtas įvažos pratęsimas, vnt.</t>
  </si>
  <si>
    <r>
      <t>Įvažos pratęsimo autobusų stotelėje „Naujasis turgus“ įrengimas (</t>
    </r>
    <r>
      <rPr>
        <i/>
        <sz val="10"/>
        <rFont val="Times New Roman"/>
        <family val="1"/>
        <charset val="186"/>
      </rPr>
      <t>kryptis į pietinę miesto dalį</t>
    </r>
    <r>
      <rPr>
        <sz val="10"/>
        <rFont val="Times New Roman"/>
        <family val="1"/>
        <charset val="186"/>
      </rPr>
      <t xml:space="preserve">)  </t>
    </r>
  </si>
  <si>
    <t xml:space="preserve">Atnaujinta elektromobilių įkrovimų stotelių įranga, vnt. </t>
  </si>
  <si>
    <t>IED    Statybos ir infrastruktūros plėtros skyrius</t>
  </si>
  <si>
    <t>IED     Statybos ir infrastruktūros plėtros skyrius</t>
  </si>
  <si>
    <t xml:space="preserve">Neeksploatuojamų požeminių perėjų Šilutės pl. kapitalinis remontas </t>
  </si>
  <si>
    <t xml:space="preserve">IED    Statybos ir infrastruktūros plėtros </t>
  </si>
  <si>
    <t xml:space="preserve"> Miesto tvarkymo skyrius</t>
  </si>
  <si>
    <t xml:space="preserve">Parengtas techninis projektas (2019 m. - Žvejų g., Teatro g., Sukilėlių g., Daržų g., Aukštoji g., Didžioji Vandens g., Vežėjų g., 2020 m. - Tomo ir Pylimo g.), vnt. </t>
  </si>
  <si>
    <t>Atlikta gatvės rekonstravimo ir eismo juostos įrengimo darbų. Užbaigtumas, proc.</t>
  </si>
  <si>
    <t>Tilžės g. nuo Šilutės pl. iki geležinkelio pervažos rekonstravimas, pertvarkant žiedinę Mokyklos g. ir Šilutės pl. sankryžą</t>
  </si>
  <si>
    <t>Šilutės plento ruožo nuo Tilžės g. iki geležinkelio pervažos (iki Kauno g.) rekonstravimas</t>
  </si>
  <si>
    <t>0,25</t>
  </si>
  <si>
    <t>0,19</t>
  </si>
  <si>
    <t>1,3</t>
  </si>
  <si>
    <t>1,8</t>
  </si>
  <si>
    <t>Suremontuota asfaltbetonio dangos duobių kiemuose, ha</t>
  </si>
  <si>
    <t>Atnaujinta šaligatvių miesto gatvėse, ha</t>
  </si>
  <si>
    <t>0,15</t>
  </si>
  <si>
    <t>Suremontuota gatvių akmens grindinio dangos  senamiesčio gatvėse, ha</t>
  </si>
  <si>
    <t>4,5</t>
  </si>
  <si>
    <t>Suremontuota šaligatvių (su dviračių takais), ha</t>
  </si>
  <si>
    <t>Atnaujinta pėsčiųjų takų ir laiptų prie Kultūros centro „Žvejų rūmai“, ha</t>
  </si>
  <si>
    <t>Atnaujinta įvažą ir automobilių stovėjimo  aikštelė Vilniaus Dailės akademijos Klaipėdos fakulteto teritorijoje, ha</t>
  </si>
  <si>
    <t>Įrengta kintamos informacijos ženklų Lideikio g. Užbaigtumas, proc.</t>
  </si>
  <si>
    <t>0,59</t>
  </si>
  <si>
    <t>Atnaujinta dekoratyvinių kelio ženklų stovų, vnt.</t>
  </si>
  <si>
    <t>Nuostolingų maršrutų subsidijavimas priemiesčio ir miesto maršrutus aptarnaujantiems vežėjams</t>
  </si>
  <si>
    <t>S. Daukanto gatvės rekonstravimas nuo H. Manto iki Naujojo Uosto g.</t>
  </si>
  <si>
    <t>Automatinės eismo priežiūros prietaisų eksploatacija</t>
  </si>
  <si>
    <t>KPP(VIP)</t>
  </si>
  <si>
    <r>
      <t xml:space="preserve">Vietinės reikšmės kelių (gatvių) tikslinio finansavimo lėšos  </t>
    </r>
    <r>
      <rPr>
        <b/>
        <sz val="10"/>
        <rFont val="Times New Roman"/>
        <family val="1"/>
        <charset val="186"/>
      </rPr>
      <t>KPP(VIP)</t>
    </r>
  </si>
  <si>
    <r>
      <t xml:space="preserve">Kelių priežiūros ir plėtros programos lėšos įtrauktos į savivaldybės biudžetą </t>
    </r>
    <r>
      <rPr>
        <b/>
        <sz val="10"/>
        <rFont val="Times New Roman"/>
        <family val="1"/>
        <charset val="186"/>
      </rPr>
      <t>SB(KPP)</t>
    </r>
  </si>
  <si>
    <r>
      <t xml:space="preserve">Planuojamos kelių priežiūros ir plėtros programos lėšos </t>
    </r>
    <r>
      <rPr>
        <b/>
        <sz val="10"/>
        <rFont val="Times New Roman"/>
        <family val="1"/>
        <charset val="186"/>
      </rPr>
      <t>SB(KPP)</t>
    </r>
  </si>
  <si>
    <t>I, P2, P6</t>
  </si>
  <si>
    <t>I, P6</t>
  </si>
  <si>
    <t xml:space="preserve">Renginių, kurių metu keleiviams bus taikomos lengvatos, vnt. </t>
  </si>
  <si>
    <t>09</t>
  </si>
  <si>
    <t>0,72</t>
  </si>
  <si>
    <t>Maršrutas į Ermitažą (nuo 2022 m.)</t>
  </si>
  <si>
    <t>Maršrutas, kuriais važinės ekologiški autobusai (nuo 2022 m.)</t>
  </si>
  <si>
    <t>priedas</t>
  </si>
  <si>
    <t xml:space="preserve">2019–2021 M. KLAIPĖDOS MIESTO SAVIVALDYBĖS </t>
  </si>
  <si>
    <t>Įrengtas įvažos pratęsimo autobusų stotelėje „Naujasis turgus“  (kryptis į pietinę miesto dalį)   pratęsimas, vnt.</t>
  </si>
  <si>
    <t>Pasirašyta koncesijos sutartis</t>
  </si>
  <si>
    <t>__________________________________</t>
  </si>
  <si>
    <t>2019-ųjų metų asignavi-mų planas</t>
  </si>
  <si>
    <t xml:space="preserve">Parengtas techninis projektas (2019 m. – Žvejų g., Teatro g., Sukilėlių g., Daržų g., Aukštoji g., Didžioji Vandens g., Vežėjų g., 2020 m. – Tomo g. ir Pylimo g.), vnt. </t>
  </si>
  <si>
    <t>Atlikta gatvės (1374 m) rekonstravimo darbų. Užbaigtumas, proc.</t>
  </si>
  <si>
    <t xml:space="preserve">Jūrininkų prospekto ruožo nuo Šilutės pl. iki Minijos g. rekonstrukcija </t>
  </si>
  <si>
    <t>Atlikta prospekto ruožo rekonstravimo darbų.  Užbaigtumas, proc.</t>
  </si>
  <si>
    <t>Maršruto Klaipėdos autobusų stotis–Palangos oro uostas kursavimas</t>
  </si>
  <si>
    <t>Sodų bendrija „Vaiteliai“–„Rasa“ kursavimas</t>
  </si>
  <si>
    <t>Įrengta kintamos informacijos ženklų Prano Lideikio g. Užbaigtumas, proc.</t>
  </si>
  <si>
    <t>Rekonstruotas šviesoforas (Tilžės g. ir Sausio       15-osios g. sankryžoje), vnt.</t>
  </si>
  <si>
    <t>Įrengta neregių vedimo dangos autobusų stotelėse, vnt.</t>
  </si>
  <si>
    <r>
      <t>Uostamiesčiai: darnaus judumo principų integravimas (</t>
    </r>
    <r>
      <rPr>
        <i/>
        <sz val="10"/>
        <rFont val="Times New Roman"/>
        <family val="1"/>
        <charset val="186"/>
      </rPr>
      <t xml:space="preserve">PORT Cities: Integrating Sustainability, </t>
    </r>
    <r>
      <rPr>
        <sz val="10"/>
        <rFont val="Times New Roman"/>
        <family val="1"/>
        <charset val="186"/>
      </rPr>
      <t>PORTIS)</t>
    </r>
    <r>
      <rPr>
        <sz val="10"/>
        <color rgb="FFFF0000"/>
        <rFont val="Times New Roman"/>
        <family val="1"/>
        <charset val="186"/>
      </rPr>
      <t xml:space="preserve"> </t>
    </r>
  </si>
  <si>
    <t>Kombinuotų kelionių jungčių (angl. Park&amp;Ride) įrengimas (šiaurinėje miesto dalyje)</t>
  </si>
  <si>
    <t>Smiltelės g. (ruožas nuo Taikos pr. iki Minijos g.);</t>
  </si>
  <si>
    <t>Vytauto g. (ruožas nuo S. Šimkaus g. iki Puodžių g.);</t>
  </si>
  <si>
    <t>Šilutės pl. (labiausiai pažeisti ruožai, įvažos);</t>
  </si>
  <si>
    <t>H. Manto g. (labiausiai pažeisti ruožai, įvažos);</t>
  </si>
  <si>
    <t>S. Daukanto g.</t>
  </si>
  <si>
    <t>Atnaujinta pėsčiųjų takų ir laiptų prie kultūros centro Žvejų rūmų, ha</t>
  </si>
  <si>
    <t>S. Daukanto gatvės rekonstravimas nuo H. Manto iki Naujosios Uosto g.</t>
  </si>
  <si>
    <t>Įvažiuojamųjų kelių atnaujinimas:</t>
  </si>
  <si>
    <t>Įvažiuojamojo kelio į Taikos pr. 101;</t>
  </si>
  <si>
    <t>Įvažiuojamojo kelio  į Debreceno g. 61</t>
  </si>
  <si>
    <t>Įvažiuojamojo kelio ir šalia esančio skvero į Taikos pr. 109;</t>
  </si>
  <si>
    <t>Siūlomas keisti 2019-ųjų metų asignavimų planas</t>
  </si>
  <si>
    <t>Siūlomas keisti 2021-ųjų metų  lėšų projektas</t>
  </si>
  <si>
    <t>Siūlomas keisti 2019 metų  asignavimų planas</t>
  </si>
  <si>
    <t>Parengtas S. Neries gatvės šaligatvių kompleksiško atnaujinimo projektas</t>
  </si>
  <si>
    <t xml:space="preserve">Klaipėdos miesto savivaldybės susisiekimo sistemos  priežiūros ir plėtros programos (Nr. 06) aprašymo             
</t>
  </si>
  <si>
    <t>Parengtas S. Neries gatvės šaligatvių kompleksiško atnaujinimo projektas, vnt.</t>
  </si>
  <si>
    <t>2020-2021 m.</t>
  </si>
  <si>
    <t xml:space="preserve">2019–2021 M. KLAIPĖDOS MIESTO SAVIVALDYBĖS     </t>
  </si>
  <si>
    <t>30</t>
  </si>
  <si>
    <r>
      <t xml:space="preserve">Naujai įrengta šviesoforų (Baltijos prospekte atkarpoje tarp Šilutės pl. ir Taikos pr., Šilutės pl. prie AB „Klaipėdos energija“, Taikos pr. ties Žvejų rūmais, Tilžės g. ir Sausio 15-osios g. sankryžoje,  </t>
    </r>
    <r>
      <rPr>
        <sz val="10"/>
        <color rgb="FFFF0000"/>
        <rFont val="Times New Roman"/>
        <family val="1"/>
        <charset val="186"/>
      </rPr>
      <t>2020 m. Šilutės pl. 48, Šilutės pl. 62, Smiltelės g. 47</t>
    </r>
    <r>
      <rPr>
        <sz val="10"/>
        <rFont val="Times New Roman"/>
        <family val="1"/>
        <charset val="186"/>
      </rPr>
      <t>), vnt.</t>
    </r>
  </si>
  <si>
    <r>
      <rPr>
        <strike/>
        <sz val="10"/>
        <color rgb="FFFF0000"/>
        <rFont val="Times New Roman"/>
        <family val="1"/>
        <charset val="186"/>
      </rPr>
      <t xml:space="preserve">100 </t>
    </r>
    <r>
      <rPr>
        <sz val="10"/>
        <color rgb="FFFF0000"/>
        <rFont val="Times New Roman"/>
        <family val="1"/>
        <charset val="186"/>
      </rPr>
      <t xml:space="preserve">10  </t>
    </r>
  </si>
  <si>
    <t xml:space="preserve">10  </t>
  </si>
  <si>
    <r>
      <t>Naujai įrengta šviesoforų (Baltijos prospekte atkarpoje tarp Šilutės pl. ir Taikos pr., Šilutės pl. prie AB „Klaipėdos energija“, Taikos pr. ties Žvejų rūmais, Tilžės g. ir Sausio 15-osios g. sankryžoje,  2020 m. Šilutės pl. 48, Šilutės pl. 62, Smiltelės g. 47) vnt.</t>
    </r>
    <r>
      <rPr>
        <sz val="10"/>
        <color theme="0"/>
        <rFont val="Times New Roman"/>
        <family val="1"/>
        <charset val="186"/>
      </rPr>
      <t xml:space="preserve">, Tilžės g. ir Sausio 15-osios g. sankryžoje), </t>
    </r>
  </si>
  <si>
    <t>0,66</t>
  </si>
  <si>
    <r>
      <t xml:space="preserve">0,66 </t>
    </r>
    <r>
      <rPr>
        <strike/>
        <sz val="10"/>
        <color rgb="FFFF0000"/>
        <rFont val="Times New Roman"/>
        <family val="1"/>
        <charset val="186"/>
      </rPr>
      <t>0,59</t>
    </r>
  </si>
  <si>
    <t>1,1</t>
  </si>
  <si>
    <r>
      <t xml:space="preserve">1,1  </t>
    </r>
    <r>
      <rPr>
        <strike/>
        <sz val="10"/>
        <color rgb="FFFF0000"/>
        <rFont val="Times New Roman"/>
        <family val="1"/>
        <charset val="186"/>
      </rPr>
      <t>0,72</t>
    </r>
  </si>
  <si>
    <t xml:space="preserve"> Pradinuko bilieto lengvatoms kompensuoti </t>
  </si>
  <si>
    <t>Kompensuota bilietų pradinių klasių moksleivaims, tūkst. vnt.</t>
  </si>
  <si>
    <r>
      <rPr>
        <strike/>
        <sz val="10"/>
        <color rgb="FFFF0000"/>
        <rFont val="Times New Roman"/>
        <family val="1"/>
        <charset val="186"/>
      </rPr>
      <t xml:space="preserve">4 </t>
    </r>
    <r>
      <rPr>
        <sz val="10"/>
        <color rgb="FFFF0000"/>
        <rFont val="Times New Roman"/>
        <family val="1"/>
        <charset val="186"/>
      </rPr>
      <t xml:space="preserve">  6</t>
    </r>
  </si>
  <si>
    <t>Naujai įrengta šviesoforų (2019 m. Baltijos prospekte atkarpoje tarp Šilutės pl. ir Taikos pr., Šilutės pl. prie AB „Klaipėdos energija“, Taikos pr. ties Žvejų rūmais, Tilžės g. ir Sausio 15-osios g. sankryžoje), vnt.</t>
  </si>
  <si>
    <t>100</t>
  </si>
  <si>
    <t>URBACT III projekto „Gyvos gatvės“ įgyvendinimas</t>
  </si>
  <si>
    <t>Įgyvendintas projekto I etapas, vnt.</t>
  </si>
  <si>
    <t>Įgyvendintas projekto II etapas, vnt.</t>
  </si>
  <si>
    <t>Siūloma sumažinti finansavimo apimtį iš  SB(KPP) lėšų papriemonei vykdyti 2019 m. ir atitinkamai padidinti 2020 m., kadangi gatvės rekonstrukcijos darbai vyksta lėčiau nei planuota dėl su rangovu susijusių teisminių procedūrų. Projekto bendra vertė nesikeičia.</t>
  </si>
  <si>
    <t xml:space="preserve">2018 m. apsispręsta požeminių perėjų Šilutės pl. neįrengti dėl per didelių  objektų statybos kaštų, tačiau reikalinga užbaigti rengti techninius projektus ir sutvarkyti vieno iš sklypų antžeminę dalį pagal parengtą techninį projektą. Reikalinga 10 tūkst. Eur  padidinti  papriemonės finansavimo apimtį, nes būtina atlikti nenumatytą papildomą statinio ekspertizę ir projekto korektūros bendrąją ekspertizę.
</t>
  </si>
  <si>
    <t>Kompensuota bilietų pradinių klasių moksleiviams per metus, tūkst. vnt.</t>
  </si>
  <si>
    <t>Siūloma patikslinti produkto vertinimo kriterijaus reikšmes ir  numatyti  3 papildomų šviesoforų įrengimą 2020 m. ties perėjomis: Šilutės pl. 48; Šilutės pl. 62 (nes šiose vietose nebebus įrengiamos požeminės perėjos); Smiltelės g. 47 (nes šioje vietoje mokykla). 2019 m. bus parengti  techniniai projektai, o įrengimo darbai numatyti 2020 m.</t>
  </si>
  <si>
    <t>Siūloma patikslinti produkto vertinimo kriterijaus reikšmes 2019-2020 m.  2019 m. planuojama parengti darbų projektą, o įrengimo darbus pradėti 2020 m. Atitinkamai siūloma pakoreguoti lėšų apimtis iš SB ir SB(KPP) lėšų 2019-2020 m.</t>
  </si>
  <si>
    <t>Siūloma patikslinti produkto vertinimo kriterijų reikšmes, numatanta darbų atlikimą 2020 m.  2019 m. planuojama parengti dangų sutvarkymo  Žvejų rūmų ir Vilniaus Dailės akademijos Klaipėdos fakulteto teritorijose aprašus, 2020 m. atlikti darbus.</t>
  </si>
  <si>
    <t>Siūloma patikslinti produkto vertinimo kriterijų reikšmes ir numatyti didesnį nei planuota anksčiau papriemonės finansavimą iš SB(KPP) lėšų. 2019 m. bus atliktas šaligatvių paprastasis remontas (I. Simonaitytės g., Naikupės g.) ir vykdoma šaligatvių priežiūra visame mieste.</t>
  </si>
  <si>
    <t xml:space="preserve">Siūloma patikslinti produkto vertinimo kriterijų reikšmes ir įvažiuojamųjų kelių atnaujinimą vykdyti anksčiau nei planuota. 2019 metais siūloma parengti  techninius projektus, o darbus atlikti 2020-2021 m. </t>
  </si>
  <si>
    <t>Siūloma pakeisti vertinimo kriterijaus reikšmę ir atitinkamai padidinti finansavimo apimtį iš SB(VRL) lėšų, kadangi, vadovaujantis Klaipėdos m. savivaldybės tarybos 2019-01-31 sprendimu Nr. T2-15 bus nemokamai vežami renginių dalyviai šiuose kultūros renginiuose: Tarptautinio nematerialiojo paveldo festivalio „Lauksnos“ metu ( 2019 m. liepos 11-14 d.) bei  Lietuvos vaikų ir jaunimo dainų šventės metu „Mes Lietuvos vaikai“ (2019 m. birželio 14-16 d.)</t>
  </si>
  <si>
    <t xml:space="preserve">0,15  </t>
  </si>
  <si>
    <t xml:space="preserve">Siūloma sumažinti šios priemonės finansavimo apimtį iš SB(KPP) lėšų. 54,3 tūkst. Eur buvo planuoti nenumatytiems darbams, kurių pagal rangovo pateiktą darbų grafiką, nebereikės. Pamario gatvės rekonstrukcija bus užbaigta 2019 m. III ketvirtyje. </t>
  </si>
  <si>
    <t>Atnaujinta senamiesčio dangų pritaikant neįgaliesiems, ha</t>
  </si>
  <si>
    <t>0,13</t>
  </si>
  <si>
    <t>0,5</t>
  </si>
  <si>
    <t>Darnaus judumo planavimas: bendradarbiavimas bei ryšiai urbanistinėje sistemoje, SUMP- PLUS</t>
  </si>
  <si>
    <t>Įgyvendintas projektas, vnt.</t>
  </si>
  <si>
    <r>
      <t>Siūloma sumažinti papriemonės finansavimo apimtį iš SB(KPP) lėšų 2019 m. ir atitinkamai jas padidinti 2020 m. 2019 m. bus rengiamas Jūrininkų prospekte esančio tiltelio per Smeltalės upelį kapitalinio remonto techninis projektas, o 2020 m. būtų atliekami darbai (preliminari vertė su projektavimu sudaro 300 tūkst. Eur). Taip pat siūloma koreguoti finansavimo šaltinius, nekeičiant bendros projekto vertės. 10 tūkst. Eur SB lėšų planuojama papriemonei "Neeksploatuojamų požeminių perėjų Šilutės pl. kapitalinis remontas"</t>
    </r>
    <r>
      <rPr>
        <sz val="10"/>
        <color rgb="FFFF0000"/>
        <rFont val="Times New Roman"/>
        <family val="1"/>
        <charset val="186"/>
      </rPr>
      <t xml:space="preserve"> </t>
    </r>
    <r>
      <rPr>
        <sz val="10"/>
        <rFont val="Times New Roman"/>
        <family val="1"/>
        <charset val="186"/>
      </rPr>
      <t>įgyvendinti.</t>
    </r>
  </si>
  <si>
    <t>Priemonei vykdyti numatytų lėšų pasiskirstymas pagal finansavimo šaltinius tikslinamas, vadovaujantis 2019 m. vasario 21 d. savivaldybės tarybos sprendimu Nr. T2-37 patvirtintu Klaipėdos m. savivaldybės 2019 m. biudžetu</t>
  </si>
  <si>
    <t xml:space="preserve">Siūloma įtraukti naują produkto kriterijų ir numatyti jo reikšmes 2019-2021 m. bei atitinkamai numatyti lėšų poreikį, vadovaujantis  2019-04-12 savivaldybės tarybos sprendimu Nr. T2-111, kuriame numatyta nuolaida įsigyjant viešojo transporto bilietus Klaipėdos mieste esančių mokyklų 1–4 klasių mokiniams. Numatyta, kad šiai tikslinei grupei 9 mokslo metų mėnesių vardinis bilietas, galiosiantis tik darbo dienomis, kainuos 10,00 Eur (taikoma 94 proc. nuolaida). Kainų skirtumas bus finansuojamas iš savivaldybės biudžeto. </t>
  </si>
  <si>
    <t xml:space="preserve">Siūloma didinti papriemonei vykdyti reikalingą SB(KPP) lėšų apimtį bei tikslinti lėšų pasiskirstymą pagal finansavimo šaltinius. Siūloma įtraukti naują produkto vertinimo kriterijų, kadangi bus atnaujinamas senamiesčio dangų pritaikymas neįgaliesiems pagal parengtą aprašą. Taip pat reikalinga padidinti lėšų apimtį finansuoti miesto gatvių su asfaltbetonio danga bei su gatvių žvyro danga priežiūrą </t>
  </si>
  <si>
    <t>0,7</t>
  </si>
  <si>
    <t>MŪD</t>
  </si>
  <si>
    <t xml:space="preserve">Vadovaujantis Klaipėdos m. savivaldybės tarybos 2019-04-12 sprendimu Nr. T2-86 yra įtraukiamas naujas projektas. Projekto tikslas – parodyti ekonominę ir socialinę darnaus judumo (mobilumo) naudą miestiečiams. Projekto trukmė iki 2022-05-31. </t>
  </si>
  <si>
    <t xml:space="preserve">Siūloma įtraukti naują projektą „Darnaus judumo planavimas: bendradarbiavimas bei ryšiai urbanistinėje sistemoje, SUMP- PLUS“ finansuojamą ES lėšomis pagal Horizon 2020 programą.  „SUMP-PLUS“ yra trejų metų mokslinių tyrimų ir inovacijų projektas, skirtas spręsti darnaus judumo iššūkius.  Projekto trukmė 36 mėn., pabaiga – 2022 m. Klaipėdos miestui skiriamas 113 tūkst. Eur finansavimas. Savivaldybės prisidėjimo lėšų nereikės. </t>
  </si>
  <si>
    <t>Planuota atnaujinti 3 elektromobilių įkrovimų stotelių senesnę įrangą, siekiant įdiegti mobiliąją aplikaciją.  Įvertinus tai, kad elektromobilių vairuotojai iki 2020 m. gegužės 25 d. elektromobilius galės krautis nemokamai, todėl siūlome  mobilios aplikacijos nediegti. Mobilios aplikacijos įdiegimas būtų tikslingas tik tada, kai būtų apsispręsta, kad elektromobilių įkrovimo paslauga būtų mokama. Tokiu atveju mobili aplikacija suteiktų galimybę ne tik matyti laisvą elektromobilių įkrovimo stotelės vietą, bet ir suteiktų galimybę vartotojams mobiliąją aplikacija atsiskaityti už paslaugą.</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</si>
</sst>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38" x14ac:knownFonts="1">
    <font>
      <sz val="10"/>
      <name val="Arial"/>
      <charset val="186"/>
    </font>
    <font>
      <sz val="8"/>
      <name val="Times New Roman"/>
      <family val="1"/>
      <charset val="186"/>
    </font>
    <font>
      <sz val="10"/>
      <name val="Times New Roman"/>
      <family val="1"/>
      <charset val="186"/>
    </font>
    <font>
      <b/>
      <sz val="10"/>
      <name val="Times New Roman"/>
      <family val="1"/>
      <charset val="186"/>
    </font>
    <font>
      <b/>
      <sz val="8"/>
      <name val="Times New Roman"/>
      <family val="1"/>
      <charset val="186"/>
    </font>
    <font>
      <b/>
      <sz val="10"/>
      <name val="Times New Roman"/>
      <family val="1"/>
      <charset val="204"/>
    </font>
    <font>
      <sz val="9"/>
      <name val="Times New Roman"/>
      <family val="1"/>
      <charset val="186"/>
    </font>
    <font>
      <b/>
      <u/>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b/>
      <sz val="9"/>
      <name val="Times New Roman"/>
      <family val="1"/>
      <charset val="186"/>
    </font>
    <font>
      <sz val="8"/>
      <name val="Arial"/>
      <family val="2"/>
      <charset val="186"/>
    </font>
    <font>
      <sz val="10"/>
      <color rgb="FFFF0000"/>
      <name val="Times New Roman"/>
      <family val="1"/>
      <charset val="186"/>
    </font>
    <font>
      <sz val="7"/>
      <name val="Times New Roman"/>
      <family val="1"/>
      <charset val="186"/>
    </font>
    <font>
      <sz val="7"/>
      <name val="Arial"/>
      <family val="2"/>
      <charset val="186"/>
    </font>
    <font>
      <b/>
      <sz val="10"/>
      <color indexed="81"/>
      <name val="Tahoma"/>
      <family val="2"/>
      <charset val="186"/>
    </font>
    <font>
      <sz val="10"/>
      <color indexed="81"/>
      <name val="Tahoma"/>
      <family val="2"/>
      <charset val="186"/>
    </font>
    <font>
      <i/>
      <sz val="10"/>
      <name val="Times New Roman"/>
      <family val="1"/>
      <charset val="186"/>
    </font>
    <font>
      <sz val="11"/>
      <name val="Times New Roman"/>
      <family val="1"/>
      <charset val="186"/>
    </font>
    <font>
      <b/>
      <sz val="11"/>
      <name val="Times New Roman"/>
      <family val="1"/>
      <charset val="186"/>
    </font>
    <font>
      <sz val="11"/>
      <name val="Calibri"/>
      <family val="2"/>
      <charset val="186"/>
      <scheme val="minor"/>
    </font>
    <font>
      <sz val="10"/>
      <color theme="1"/>
      <name val="Times New Roman"/>
      <family val="1"/>
      <charset val="186"/>
    </font>
    <font>
      <b/>
      <i/>
      <sz val="10"/>
      <name val="Times New Roman"/>
      <family val="1"/>
      <charset val="186"/>
    </font>
    <font>
      <sz val="10"/>
      <color rgb="FF1F497D"/>
      <name val="Times New Roman"/>
      <family val="1"/>
      <charset val="186"/>
    </font>
    <font>
      <sz val="10"/>
      <color theme="1"/>
      <name val="Arial"/>
      <family val="2"/>
      <charset val="186"/>
    </font>
    <font>
      <sz val="10"/>
      <color theme="1"/>
      <name val="Times New Roman"/>
      <family val="1"/>
    </font>
    <font>
      <b/>
      <sz val="10"/>
      <color rgb="FFFF0000"/>
      <name val="Times New Roman"/>
      <family val="1"/>
      <charset val="186"/>
    </font>
    <font>
      <sz val="12"/>
      <name val="Times New Roman"/>
      <family val="1"/>
      <charset val="186"/>
    </font>
    <font>
      <b/>
      <sz val="10"/>
      <color theme="1"/>
      <name val="Times New Roman"/>
      <family val="1"/>
      <charset val="186"/>
    </font>
    <font>
      <sz val="9"/>
      <color rgb="FFFF0000"/>
      <name val="Times New Roman"/>
      <family val="1"/>
      <charset val="186"/>
    </font>
    <font>
      <sz val="8"/>
      <color indexed="81"/>
      <name val="Tahoma"/>
      <family val="2"/>
      <charset val="186"/>
    </font>
    <font>
      <sz val="10"/>
      <name val="Times New Roman"/>
      <family val="1"/>
    </font>
    <font>
      <b/>
      <sz val="8"/>
      <color indexed="81"/>
      <name val="Tahoma"/>
      <family val="2"/>
      <charset val="186"/>
    </font>
    <font>
      <sz val="10"/>
      <color theme="0"/>
      <name val="Times New Roman"/>
      <family val="1"/>
      <charset val="186"/>
    </font>
    <font>
      <sz val="10"/>
      <color rgb="FFFF0000"/>
      <name val="Arial"/>
      <family val="2"/>
      <charset val="186"/>
    </font>
    <font>
      <strike/>
      <sz val="10"/>
      <color rgb="FFFF0000"/>
      <name val="Times New Roman"/>
      <family val="1"/>
      <charset val="186"/>
    </font>
    <font>
      <sz val="11"/>
      <color rgb="FF1F497D"/>
      <name val="Calibri"/>
      <family val="2"/>
      <charset val="186"/>
    </font>
  </fonts>
  <fills count="12">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FFFFFF"/>
        <bgColor indexed="64"/>
      </patternFill>
    </fill>
    <fill>
      <patternFill patternType="solid">
        <fgColor rgb="FFFFFF00"/>
        <bgColor indexed="64"/>
      </patternFill>
    </fill>
  </fills>
  <borders count="1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medium">
        <color indexed="64"/>
      </left>
      <right/>
      <top style="thin">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style="medium">
        <color indexed="64"/>
      </left>
      <right style="medium">
        <color indexed="64"/>
      </right>
      <top/>
      <bottom style="hair">
        <color indexed="64"/>
      </bottom>
      <diagonal/>
    </border>
    <border>
      <left style="thin">
        <color indexed="64"/>
      </left>
      <right/>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style="hair">
        <color indexed="64"/>
      </top>
      <bottom/>
      <diagonal/>
    </border>
    <border>
      <left/>
      <right/>
      <top/>
      <bottom style="hair">
        <color indexed="64"/>
      </bottom>
      <diagonal/>
    </border>
    <border>
      <left style="thin">
        <color indexed="64"/>
      </left>
      <right style="medium">
        <color indexed="64"/>
      </right>
      <top style="hair">
        <color indexed="64"/>
      </top>
      <bottom/>
      <diagonal/>
    </border>
    <border>
      <left/>
      <right/>
      <top style="hair">
        <color indexed="64"/>
      </top>
      <bottom/>
      <diagonal/>
    </border>
    <border>
      <left style="thin">
        <color indexed="64"/>
      </left>
      <right/>
      <top style="hair">
        <color indexed="64"/>
      </top>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right/>
      <top style="medium">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thin">
        <color indexed="64"/>
      </right>
      <top style="hair">
        <color indexed="64"/>
      </top>
      <bottom/>
      <diagonal/>
    </border>
    <border>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s>
  <cellStyleXfs count="3">
    <xf numFmtId="0" fontId="0" fillId="0" borderId="0"/>
    <xf numFmtId="164" fontId="8" fillId="0" borderId="0" applyFont="0" applyFill="0" applyBorder="0" applyAlignment="0" applyProtection="0"/>
    <xf numFmtId="0" fontId="8" fillId="0" borderId="0"/>
  </cellStyleXfs>
  <cellXfs count="2058">
    <xf numFmtId="0" fontId="0" fillId="0" borderId="0" xfId="0"/>
    <xf numFmtId="0" fontId="2" fillId="0" borderId="0" xfId="0" applyFont="1" applyBorder="1" applyAlignment="1">
      <alignment vertical="top"/>
    </xf>
    <xf numFmtId="0" fontId="2" fillId="0" borderId="0" xfId="0" applyFont="1" applyAlignment="1">
      <alignment vertical="top"/>
    </xf>
    <xf numFmtId="0" fontId="2" fillId="0" borderId="0" xfId="0" applyFont="1" applyAlignment="1">
      <alignment horizontal="center" vertical="top"/>
    </xf>
    <xf numFmtId="0" fontId="2" fillId="0" borderId="0" xfId="0" applyFont="1" applyFill="1" applyAlignment="1">
      <alignment vertical="top"/>
    </xf>
    <xf numFmtId="0" fontId="2" fillId="3" borderId="0" xfId="0" applyFont="1" applyFill="1" applyAlignment="1">
      <alignment vertical="top"/>
    </xf>
    <xf numFmtId="166" fontId="2" fillId="0" borderId="25" xfId="0" applyNumberFormat="1" applyFont="1" applyFill="1" applyBorder="1" applyAlignment="1">
      <alignment horizontal="center" vertical="top"/>
    </xf>
    <xf numFmtId="0" fontId="2" fillId="0" borderId="0" xfId="0" applyFont="1" applyAlignment="1">
      <alignment vertical="center"/>
    </xf>
    <xf numFmtId="164" fontId="2" fillId="0" borderId="0" xfId="1" applyFont="1" applyBorder="1" applyAlignment="1">
      <alignment vertical="top"/>
    </xf>
    <xf numFmtId="0" fontId="8" fillId="0" borderId="0" xfId="0" applyFont="1"/>
    <xf numFmtId="0" fontId="3" fillId="0" borderId="0" xfId="0" applyNumberFormat="1" applyFont="1" applyAlignment="1">
      <alignment vertical="top"/>
    </xf>
    <xf numFmtId="0" fontId="2" fillId="0" borderId="28" xfId="0" applyFont="1" applyBorder="1" applyAlignment="1">
      <alignment vertical="top"/>
    </xf>
    <xf numFmtId="49" fontId="3" fillId="2" borderId="35" xfId="0" applyNumberFormat="1" applyFont="1" applyFill="1" applyBorder="1" applyAlignment="1">
      <alignment horizontal="center" vertical="top"/>
    </xf>
    <xf numFmtId="166" fontId="2" fillId="0" borderId="0" xfId="0" applyNumberFormat="1" applyFont="1" applyAlignment="1">
      <alignment vertical="top"/>
    </xf>
    <xf numFmtId="0" fontId="2" fillId="0" borderId="32" xfId="0" applyFont="1" applyBorder="1" applyAlignment="1">
      <alignment vertical="top"/>
    </xf>
    <xf numFmtId="0" fontId="2" fillId="0" borderId="32" xfId="0" applyFont="1" applyBorder="1" applyAlignment="1">
      <alignment vertical="center"/>
    </xf>
    <xf numFmtId="0" fontId="3" fillId="0" borderId="32" xfId="0" applyNumberFormat="1" applyFont="1" applyBorder="1" applyAlignment="1">
      <alignment vertical="top"/>
    </xf>
    <xf numFmtId="49" fontId="3" fillId="9" borderId="16" xfId="0" applyNumberFormat="1" applyFont="1" applyFill="1" applyBorder="1" applyAlignment="1">
      <alignment horizontal="center" vertical="top" wrapText="1"/>
    </xf>
    <xf numFmtId="0" fontId="2" fillId="7" borderId="29" xfId="0" applyFont="1" applyFill="1" applyBorder="1" applyAlignment="1">
      <alignment vertical="top" wrapText="1"/>
    </xf>
    <xf numFmtId="3" fontId="2" fillId="7" borderId="28" xfId="0" applyNumberFormat="1" applyFont="1" applyFill="1" applyBorder="1" applyAlignment="1">
      <alignment horizontal="center" vertical="top"/>
    </xf>
    <xf numFmtId="3" fontId="2" fillId="7" borderId="27" xfId="0" applyNumberFormat="1" applyFont="1" applyFill="1" applyBorder="1" applyAlignment="1">
      <alignment horizontal="center" vertical="top"/>
    </xf>
    <xf numFmtId="0" fontId="2" fillId="0" borderId="64" xfId="0" applyFont="1" applyBorder="1" applyAlignment="1">
      <alignment vertical="top"/>
    </xf>
    <xf numFmtId="3" fontId="2" fillId="0" borderId="81" xfId="0" applyNumberFormat="1" applyFont="1" applyFill="1" applyBorder="1" applyAlignment="1">
      <alignment horizontal="center" vertical="top"/>
    </xf>
    <xf numFmtId="3" fontId="2" fillId="7" borderId="85" xfId="0" applyNumberFormat="1" applyFont="1" applyFill="1" applyBorder="1" applyAlignment="1">
      <alignment horizontal="center" vertical="top"/>
    </xf>
    <xf numFmtId="3" fontId="2" fillId="7" borderId="86" xfId="0" applyNumberFormat="1" applyFont="1" applyFill="1" applyBorder="1" applyAlignment="1">
      <alignment horizontal="center" vertical="top"/>
    </xf>
    <xf numFmtId="3" fontId="2" fillId="0" borderId="13" xfId="0" applyNumberFormat="1" applyFont="1" applyFill="1" applyBorder="1" applyAlignment="1">
      <alignment horizontal="center" vertical="top"/>
    </xf>
    <xf numFmtId="3" fontId="2" fillId="0" borderId="13" xfId="0" applyNumberFormat="1" applyFont="1" applyFill="1" applyBorder="1" applyAlignment="1">
      <alignment horizontal="center" vertical="top" wrapText="1"/>
    </xf>
    <xf numFmtId="0" fontId="2" fillId="7" borderId="84" xfId="0" applyFont="1" applyFill="1" applyBorder="1" applyAlignment="1">
      <alignment horizontal="left" vertical="top" wrapText="1"/>
    </xf>
    <xf numFmtId="3" fontId="2" fillId="7" borderId="27" xfId="0" applyNumberFormat="1" applyFont="1" applyFill="1" applyBorder="1" applyAlignment="1">
      <alignment horizontal="center" vertical="top" wrapText="1"/>
    </xf>
    <xf numFmtId="3" fontId="2" fillId="0" borderId="85" xfId="0" applyNumberFormat="1" applyFont="1" applyFill="1" applyBorder="1" applyAlignment="1">
      <alignment horizontal="center" vertical="top"/>
    </xf>
    <xf numFmtId="3" fontId="2" fillId="0" borderId="86" xfId="0" applyNumberFormat="1" applyFont="1" applyFill="1" applyBorder="1" applyAlignment="1">
      <alignment horizontal="center" vertical="top"/>
    </xf>
    <xf numFmtId="166" fontId="2" fillId="0" borderId="11" xfId="0" applyNumberFormat="1" applyFont="1" applyFill="1" applyBorder="1" applyAlignment="1">
      <alignment horizontal="center" vertical="top"/>
    </xf>
    <xf numFmtId="166" fontId="2" fillId="0" borderId="18" xfId="0" applyNumberFormat="1" applyFont="1" applyFill="1" applyBorder="1" applyAlignment="1">
      <alignment horizontal="center" vertical="top"/>
    </xf>
    <xf numFmtId="49" fontId="3" fillId="0" borderId="35" xfId="0" applyNumberFormat="1" applyFont="1" applyBorder="1" applyAlignment="1">
      <alignment horizontal="center" vertical="top"/>
    </xf>
    <xf numFmtId="49" fontId="2" fillId="7" borderId="11" xfId="0" applyNumberFormat="1" applyFont="1" applyFill="1" applyBorder="1" applyAlignment="1">
      <alignment horizontal="center" vertical="top"/>
    </xf>
    <xf numFmtId="3" fontId="2" fillId="0" borderId="0" xfId="0" applyNumberFormat="1" applyFont="1" applyBorder="1" applyAlignment="1">
      <alignment vertical="top"/>
    </xf>
    <xf numFmtId="166" fontId="2" fillId="7" borderId="48" xfId="0" applyNumberFormat="1" applyFont="1" applyFill="1" applyBorder="1" applyAlignment="1">
      <alignment horizontal="center" vertical="top"/>
    </xf>
    <xf numFmtId="166" fontId="2" fillId="7" borderId="18" xfId="0" applyNumberFormat="1" applyFont="1" applyFill="1" applyBorder="1" applyAlignment="1">
      <alignment horizontal="center" vertical="top"/>
    </xf>
    <xf numFmtId="166" fontId="2" fillId="7" borderId="35" xfId="0" applyNumberFormat="1" applyFont="1" applyFill="1" applyBorder="1" applyAlignment="1">
      <alignment horizontal="center" vertical="top"/>
    </xf>
    <xf numFmtId="166" fontId="2" fillId="7" borderId="28" xfId="0" applyNumberFormat="1" applyFont="1" applyFill="1" applyBorder="1" applyAlignment="1">
      <alignment horizontal="center" vertical="top"/>
    </xf>
    <xf numFmtId="166" fontId="2" fillId="7" borderId="27" xfId="0" applyNumberFormat="1" applyFont="1" applyFill="1" applyBorder="1" applyAlignment="1">
      <alignment horizontal="center" vertical="top"/>
    </xf>
    <xf numFmtId="0" fontId="2" fillId="7" borderId="79" xfId="0" applyFont="1" applyFill="1" applyBorder="1" applyAlignment="1">
      <alignment horizontal="left" vertical="top" wrapText="1"/>
    </xf>
    <xf numFmtId="0" fontId="2" fillId="7" borderId="64" xfId="0" applyFont="1" applyFill="1" applyBorder="1" applyAlignment="1">
      <alignment horizontal="center" vertical="top"/>
    </xf>
    <xf numFmtId="0" fontId="2" fillId="7" borderId="34" xfId="0" applyFont="1" applyFill="1" applyBorder="1" applyAlignment="1">
      <alignment horizontal="center" vertical="top"/>
    </xf>
    <xf numFmtId="3" fontId="2" fillId="7" borderId="35" xfId="0" applyNumberFormat="1" applyFont="1" applyFill="1" applyBorder="1" applyAlignment="1">
      <alignment horizontal="center" vertical="top"/>
    </xf>
    <xf numFmtId="3" fontId="2" fillId="7" borderId="85" xfId="0" applyNumberFormat="1" applyFont="1" applyFill="1" applyBorder="1" applyAlignment="1">
      <alignment horizontal="center" vertical="top" wrapText="1"/>
    </xf>
    <xf numFmtId="166" fontId="2" fillId="7" borderId="20" xfId="0" applyNumberFormat="1" applyFont="1" applyFill="1" applyBorder="1" applyAlignment="1">
      <alignment horizontal="center" vertical="top"/>
    </xf>
    <xf numFmtId="166" fontId="2" fillId="0" borderId="0" xfId="0" applyNumberFormat="1" applyFont="1" applyBorder="1" applyAlignment="1">
      <alignment vertical="top"/>
    </xf>
    <xf numFmtId="166" fontId="2" fillId="7" borderId="23" xfId="0" applyNumberFormat="1" applyFont="1" applyFill="1" applyBorder="1" applyAlignment="1">
      <alignment vertical="top"/>
    </xf>
    <xf numFmtId="49" fontId="3" fillId="7" borderId="32" xfId="0" applyNumberFormat="1" applyFont="1" applyFill="1" applyBorder="1" applyAlignment="1">
      <alignment horizontal="center" vertical="top"/>
    </xf>
    <xf numFmtId="3" fontId="2" fillId="0" borderId="35" xfId="0" applyNumberFormat="1" applyFont="1" applyFill="1" applyBorder="1" applyAlignment="1">
      <alignment horizontal="center" vertical="top" wrapText="1"/>
    </xf>
    <xf numFmtId="0" fontId="7" fillId="7" borderId="48" xfId="0" applyFont="1" applyFill="1" applyBorder="1" applyAlignment="1">
      <alignment vertical="top" wrapText="1"/>
    </xf>
    <xf numFmtId="166" fontId="2" fillId="7" borderId="8" xfId="0" applyNumberFormat="1" applyFont="1" applyFill="1" applyBorder="1" applyAlignment="1">
      <alignment horizontal="center" vertical="top"/>
    </xf>
    <xf numFmtId="166" fontId="2" fillId="0" borderId="23" xfId="0" applyNumberFormat="1" applyFont="1" applyBorder="1" applyAlignment="1">
      <alignment horizontal="center" vertical="top"/>
    </xf>
    <xf numFmtId="166" fontId="2" fillId="0" borderId="6" xfId="0" applyNumberFormat="1" applyFont="1" applyFill="1" applyBorder="1" applyAlignment="1">
      <alignment horizontal="center" vertical="top"/>
    </xf>
    <xf numFmtId="166" fontId="2" fillId="7" borderId="91" xfId="0" applyNumberFormat="1" applyFont="1" applyFill="1" applyBorder="1" applyAlignment="1">
      <alignment horizontal="center" vertical="top"/>
    </xf>
    <xf numFmtId="166" fontId="2" fillId="7" borderId="43"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166" fontId="2" fillId="7" borderId="6" xfId="0" applyNumberFormat="1" applyFont="1" applyFill="1" applyBorder="1" applyAlignment="1">
      <alignment horizontal="center" vertical="top"/>
    </xf>
    <xf numFmtId="166" fontId="2" fillId="0" borderId="29" xfId="0" applyNumberFormat="1" applyFont="1" applyFill="1" applyBorder="1" applyAlignment="1">
      <alignment vertical="top" wrapText="1"/>
    </xf>
    <xf numFmtId="166" fontId="2" fillId="7" borderId="6" xfId="0" applyNumberFormat="1" applyFont="1" applyFill="1" applyBorder="1" applyAlignment="1">
      <alignment horizontal="center" vertical="top" wrapText="1"/>
    </xf>
    <xf numFmtId="166" fontId="2" fillId="3" borderId="10" xfId="0" applyNumberFormat="1" applyFont="1" applyFill="1" applyBorder="1" applyAlignment="1">
      <alignment horizontal="center" vertical="top"/>
    </xf>
    <xf numFmtId="166" fontId="2" fillId="0" borderId="12" xfId="0" applyNumberFormat="1" applyFont="1" applyFill="1" applyBorder="1" applyAlignment="1">
      <alignment horizontal="left" vertical="top" wrapText="1"/>
    </xf>
    <xf numFmtId="166" fontId="2" fillId="7" borderId="95" xfId="0" applyNumberFormat="1" applyFont="1" applyFill="1" applyBorder="1" applyAlignment="1">
      <alignment horizontal="center" vertical="top"/>
    </xf>
    <xf numFmtId="166" fontId="3" fillId="9" borderId="72" xfId="0" applyNumberFormat="1" applyFont="1" applyFill="1" applyBorder="1" applyAlignment="1">
      <alignment horizontal="center" vertical="top"/>
    </xf>
    <xf numFmtId="166" fontId="3" fillId="3" borderId="10" xfId="0" applyNumberFormat="1" applyFont="1" applyFill="1" applyBorder="1" applyAlignment="1">
      <alignment horizontal="center" vertical="top"/>
    </xf>
    <xf numFmtId="166" fontId="2" fillId="0" borderId="16" xfId="0" applyNumberFormat="1" applyFont="1" applyFill="1" applyBorder="1" applyAlignment="1">
      <alignment horizontal="left" vertical="top" wrapText="1"/>
    </xf>
    <xf numFmtId="166" fontId="2" fillId="3" borderId="68" xfId="0" applyNumberFormat="1" applyFont="1" applyFill="1" applyBorder="1" applyAlignment="1">
      <alignment horizontal="center" vertical="top"/>
    </xf>
    <xf numFmtId="166" fontId="2" fillId="3" borderId="12" xfId="0" applyNumberFormat="1" applyFont="1" applyFill="1" applyBorder="1" applyAlignment="1">
      <alignment vertical="top" wrapText="1"/>
    </xf>
    <xf numFmtId="166" fontId="2" fillId="3" borderId="23" xfId="0" applyNumberFormat="1" applyFont="1" applyFill="1" applyBorder="1" applyAlignment="1">
      <alignment horizontal="center" vertical="top"/>
    </xf>
    <xf numFmtId="166" fontId="7" fillId="3" borderId="41" xfId="0" applyNumberFormat="1" applyFont="1" applyFill="1" applyBorder="1" applyAlignment="1">
      <alignment horizontal="left" vertical="top" wrapText="1"/>
    </xf>
    <xf numFmtId="166" fontId="2" fillId="7" borderId="103" xfId="0" applyNumberFormat="1" applyFont="1" applyFill="1" applyBorder="1" applyAlignment="1">
      <alignment horizontal="center" vertical="top"/>
    </xf>
    <xf numFmtId="166" fontId="3" fillId="3" borderId="23" xfId="0" applyNumberFormat="1" applyFont="1" applyFill="1" applyBorder="1" applyAlignment="1">
      <alignment horizontal="center" vertical="top"/>
    </xf>
    <xf numFmtId="166" fontId="2" fillId="7" borderId="10" xfId="0" applyNumberFormat="1" applyFont="1" applyFill="1" applyBorder="1" applyAlignment="1">
      <alignment horizontal="right" vertical="top"/>
    </xf>
    <xf numFmtId="166" fontId="3" fillId="9" borderId="54" xfId="0" applyNumberFormat="1" applyFont="1" applyFill="1" applyBorder="1" applyAlignment="1">
      <alignment horizontal="center" vertical="top"/>
    </xf>
    <xf numFmtId="166" fontId="3" fillId="2" borderId="4" xfId="0" applyNumberFormat="1" applyFont="1" applyFill="1" applyBorder="1" applyAlignment="1">
      <alignment horizontal="center" vertical="top"/>
    </xf>
    <xf numFmtId="166" fontId="2" fillId="7" borderId="68" xfId="0" applyNumberFormat="1" applyFont="1" applyFill="1" applyBorder="1" applyAlignment="1">
      <alignment horizontal="center" vertical="top"/>
    </xf>
    <xf numFmtId="166" fontId="2" fillId="0" borderId="68" xfId="0" applyNumberFormat="1" applyFont="1" applyBorder="1" applyAlignment="1">
      <alignment vertical="top"/>
    </xf>
    <xf numFmtId="166" fontId="2" fillId="0" borderId="34" xfId="0" applyNumberFormat="1" applyFont="1" applyFill="1" applyBorder="1" applyAlignment="1">
      <alignment horizontal="center" vertical="top"/>
    </xf>
    <xf numFmtId="166" fontId="2" fillId="7" borderId="34" xfId="0" applyNumberFormat="1" applyFont="1" applyFill="1" applyBorder="1" applyAlignment="1">
      <alignment horizontal="center" vertical="top"/>
    </xf>
    <xf numFmtId="166" fontId="2" fillId="0" borderId="98" xfId="0" applyNumberFormat="1" applyFont="1" applyFill="1" applyBorder="1" applyAlignment="1">
      <alignment horizontal="center" vertical="top"/>
    </xf>
    <xf numFmtId="166" fontId="2" fillId="7" borderId="84" xfId="0" applyNumberFormat="1" applyFont="1" applyFill="1" applyBorder="1" applyAlignment="1">
      <alignment horizontal="left" vertical="top" wrapText="1"/>
    </xf>
    <xf numFmtId="166" fontId="2" fillId="7" borderId="64" xfId="0" applyNumberFormat="1" applyFont="1" applyFill="1" applyBorder="1" applyAlignment="1">
      <alignment horizontal="center" vertical="top"/>
    </xf>
    <xf numFmtId="166" fontId="2" fillId="7" borderId="49" xfId="0" applyNumberFormat="1" applyFont="1" applyFill="1" applyBorder="1" applyAlignment="1">
      <alignment horizontal="center" vertical="top"/>
    </xf>
    <xf numFmtId="166" fontId="3" fillId="7" borderId="0" xfId="0" applyNumberFormat="1" applyFont="1" applyFill="1" applyBorder="1" applyAlignment="1">
      <alignment horizontal="center" vertical="top"/>
    </xf>
    <xf numFmtId="166" fontId="3" fillId="8" borderId="57" xfId="0" applyNumberFormat="1" applyFont="1" applyFill="1" applyBorder="1" applyAlignment="1">
      <alignment horizontal="center" vertical="top"/>
    </xf>
    <xf numFmtId="166" fontId="3" fillId="9" borderId="55" xfId="0" applyNumberFormat="1" applyFont="1" applyFill="1" applyBorder="1" applyAlignment="1">
      <alignment horizontal="center" vertical="top"/>
    </xf>
    <xf numFmtId="166" fontId="2" fillId="7" borderId="10" xfId="0" applyNumberFormat="1" applyFont="1" applyFill="1" applyBorder="1" applyAlignment="1">
      <alignment horizontal="center" vertical="top"/>
    </xf>
    <xf numFmtId="166" fontId="2" fillId="7" borderId="12" xfId="0" applyNumberFormat="1" applyFont="1" applyFill="1" applyBorder="1" applyAlignment="1">
      <alignment horizontal="left" vertical="top" wrapText="1"/>
    </xf>
    <xf numFmtId="166" fontId="3" fillId="7" borderId="11" xfId="0" applyNumberFormat="1" applyFont="1" applyFill="1" applyBorder="1" applyAlignment="1">
      <alignment vertical="top"/>
    </xf>
    <xf numFmtId="166" fontId="3" fillId="7" borderId="28" xfId="0" applyNumberFormat="1" applyFont="1" applyFill="1" applyBorder="1" applyAlignment="1">
      <alignment vertical="top"/>
    </xf>
    <xf numFmtId="166" fontId="3" fillId="7" borderId="32" xfId="0" applyNumberFormat="1" applyFont="1" applyFill="1" applyBorder="1" applyAlignment="1">
      <alignment horizontal="center" vertical="top"/>
    </xf>
    <xf numFmtId="166" fontId="2" fillId="0" borderId="39" xfId="0" applyNumberFormat="1" applyFont="1" applyFill="1" applyBorder="1" applyAlignment="1">
      <alignment horizontal="center" vertical="top"/>
    </xf>
    <xf numFmtId="166" fontId="3" fillId="7" borderId="13" xfId="0" applyNumberFormat="1" applyFont="1" applyFill="1" applyBorder="1" applyAlignment="1">
      <alignment horizontal="center" vertical="top"/>
    </xf>
    <xf numFmtId="166" fontId="2" fillId="0" borderId="40" xfId="0" applyNumberFormat="1" applyFont="1" applyFill="1" applyBorder="1" applyAlignment="1">
      <alignment horizontal="left" vertical="top" wrapText="1"/>
    </xf>
    <xf numFmtId="166" fontId="2" fillId="7" borderId="0" xfId="0" applyNumberFormat="1" applyFont="1" applyFill="1" applyBorder="1" applyAlignment="1">
      <alignment horizontal="center" vertical="top"/>
    </xf>
    <xf numFmtId="166" fontId="3" fillId="7" borderId="30" xfId="0" applyNumberFormat="1" applyFont="1" applyFill="1" applyBorder="1" applyAlignment="1">
      <alignment vertical="top"/>
    </xf>
    <xf numFmtId="166" fontId="3" fillId="5" borderId="54" xfId="0" applyNumberFormat="1" applyFont="1" applyFill="1" applyBorder="1" applyAlignment="1">
      <alignment horizontal="center" vertical="top"/>
    </xf>
    <xf numFmtId="166" fontId="2" fillId="0" borderId="0" xfId="0" applyNumberFormat="1" applyFont="1" applyFill="1" applyBorder="1" applyAlignment="1">
      <alignment horizontal="center" vertical="top"/>
    </xf>
    <xf numFmtId="3" fontId="2" fillId="7" borderId="86" xfId="0" applyNumberFormat="1" applyFont="1" applyFill="1" applyBorder="1" applyAlignment="1">
      <alignment horizontal="center" vertical="top" wrapText="1"/>
    </xf>
    <xf numFmtId="166" fontId="7" fillId="3" borderId="14" xfId="0" applyNumberFormat="1" applyFont="1" applyFill="1" applyBorder="1" applyAlignment="1">
      <alignment horizontal="left" vertical="top" wrapText="1"/>
    </xf>
    <xf numFmtId="166" fontId="4" fillId="0" borderId="13" xfId="0" applyNumberFormat="1" applyFont="1" applyFill="1" applyBorder="1" applyAlignment="1">
      <alignment horizontal="center" vertical="center" textRotation="90" shrinkToFit="1"/>
    </xf>
    <xf numFmtId="166" fontId="4" fillId="3" borderId="13" xfId="0" applyNumberFormat="1" applyFont="1" applyFill="1" applyBorder="1" applyAlignment="1">
      <alignment horizontal="center" vertical="center" textRotation="90" wrapText="1"/>
    </xf>
    <xf numFmtId="166" fontId="3" fillId="7" borderId="20" xfId="0" applyNumberFormat="1" applyFont="1" applyFill="1" applyBorder="1" applyAlignment="1">
      <alignment horizontal="center" vertical="center" wrapText="1"/>
    </xf>
    <xf numFmtId="166" fontId="3" fillId="3" borderId="14" xfId="0" applyNumberFormat="1" applyFont="1" applyFill="1" applyBorder="1" applyAlignment="1">
      <alignment vertical="top" wrapText="1"/>
    </xf>
    <xf numFmtId="166" fontId="6" fillId="7" borderId="14" xfId="0" applyNumberFormat="1" applyFont="1" applyFill="1" applyBorder="1" applyAlignment="1">
      <alignment horizontal="center" vertical="center" textRotation="90" wrapText="1"/>
    </xf>
    <xf numFmtId="166" fontId="11" fillId="7" borderId="25" xfId="0" applyNumberFormat="1" applyFont="1" applyFill="1" applyBorder="1" applyAlignment="1">
      <alignment horizontal="center" vertical="center" wrapText="1"/>
    </xf>
    <xf numFmtId="166" fontId="8" fillId="7" borderId="28" xfId="0" applyNumberFormat="1" applyFont="1" applyFill="1" applyBorder="1" applyAlignment="1">
      <alignment horizontal="center" vertical="center" textRotation="90" wrapText="1"/>
    </xf>
    <xf numFmtId="166" fontId="2" fillId="3" borderId="28" xfId="0" applyNumberFormat="1" applyFont="1" applyFill="1" applyBorder="1" applyAlignment="1">
      <alignment horizontal="center" vertical="top" wrapText="1"/>
    </xf>
    <xf numFmtId="166" fontId="3" fillId="7" borderId="14" xfId="0" applyNumberFormat="1" applyFont="1" applyFill="1" applyBorder="1" applyAlignment="1">
      <alignment vertical="top" wrapText="1"/>
    </xf>
    <xf numFmtId="166" fontId="3" fillId="0" borderId="41" xfId="0" applyNumberFormat="1" applyFont="1" applyBorder="1" applyAlignment="1">
      <alignment horizontal="center" vertical="top"/>
    </xf>
    <xf numFmtId="166" fontId="3" fillId="3" borderId="41" xfId="0" applyNumberFormat="1" applyFont="1" applyFill="1" applyBorder="1" applyAlignment="1">
      <alignment horizontal="center" vertical="top"/>
    </xf>
    <xf numFmtId="166" fontId="3" fillId="0" borderId="15" xfId="0" applyNumberFormat="1" applyFont="1" applyFill="1" applyBorder="1" applyAlignment="1">
      <alignment horizontal="center" vertical="top" wrapText="1"/>
    </xf>
    <xf numFmtId="166" fontId="2" fillId="7" borderId="48" xfId="0" applyNumberFormat="1" applyFont="1" applyFill="1" applyBorder="1" applyAlignment="1">
      <alignment horizontal="center" vertical="top" wrapText="1"/>
    </xf>
    <xf numFmtId="166" fontId="2" fillId="7" borderId="47" xfId="0" applyNumberFormat="1" applyFont="1" applyFill="1" applyBorder="1" applyAlignment="1">
      <alignment horizontal="center" vertical="top"/>
    </xf>
    <xf numFmtId="166" fontId="2" fillId="7" borderId="19" xfId="0" applyNumberFormat="1" applyFont="1" applyFill="1" applyBorder="1" applyAlignment="1">
      <alignment horizontal="center" vertical="top"/>
    </xf>
    <xf numFmtId="166" fontId="2" fillId="7" borderId="45" xfId="0" applyNumberFormat="1" applyFont="1" applyFill="1" applyBorder="1" applyAlignment="1">
      <alignment horizontal="center" vertical="top"/>
    </xf>
    <xf numFmtId="166" fontId="2" fillId="7" borderId="59" xfId="0" applyNumberFormat="1" applyFont="1" applyFill="1" applyBorder="1" applyAlignment="1">
      <alignment horizontal="center" vertical="top"/>
    </xf>
    <xf numFmtId="166" fontId="2" fillId="7" borderId="104" xfId="0" applyNumberFormat="1" applyFont="1" applyFill="1" applyBorder="1" applyAlignment="1">
      <alignment horizontal="center" vertical="top"/>
    </xf>
    <xf numFmtId="166" fontId="2" fillId="0" borderId="75" xfId="0" applyNumberFormat="1" applyFont="1" applyBorder="1" applyAlignment="1">
      <alignment horizontal="center" vertical="top"/>
    </xf>
    <xf numFmtId="166" fontId="2" fillId="7" borderId="64" xfId="0" applyNumberFormat="1" applyFont="1" applyFill="1" applyBorder="1" applyAlignment="1">
      <alignment horizontal="center" vertical="top" wrapText="1"/>
    </xf>
    <xf numFmtId="166" fontId="2" fillId="7" borderId="13" xfId="0" applyNumberFormat="1" applyFont="1" applyFill="1" applyBorder="1" applyAlignment="1">
      <alignment horizontal="center" vertical="center" textRotation="90" wrapText="1"/>
    </xf>
    <xf numFmtId="166" fontId="2" fillId="7" borderId="36" xfId="0" applyNumberFormat="1" applyFont="1" applyFill="1" applyBorder="1" applyAlignment="1">
      <alignment horizontal="center" vertical="top"/>
    </xf>
    <xf numFmtId="166" fontId="2" fillId="7" borderId="7" xfId="0" applyNumberFormat="1" applyFont="1" applyFill="1" applyBorder="1" applyAlignment="1">
      <alignment horizontal="center" vertical="top"/>
    </xf>
    <xf numFmtId="166" fontId="2" fillId="7" borderId="29" xfId="0" applyNumberFormat="1" applyFont="1" applyFill="1" applyBorder="1" applyAlignment="1">
      <alignment horizontal="center" vertical="top"/>
    </xf>
    <xf numFmtId="166" fontId="2" fillId="7" borderId="84" xfId="0" applyNumberFormat="1" applyFont="1" applyFill="1" applyBorder="1" applyAlignment="1">
      <alignment horizontal="center" vertical="top"/>
    </xf>
    <xf numFmtId="166" fontId="2" fillId="7" borderId="12" xfId="0" applyNumberFormat="1" applyFont="1" applyFill="1" applyBorder="1" applyAlignment="1">
      <alignment horizontal="center" vertical="top"/>
    </xf>
    <xf numFmtId="166" fontId="2" fillId="7" borderId="79" xfId="0" applyNumberFormat="1" applyFont="1" applyFill="1" applyBorder="1" applyAlignment="1">
      <alignment horizontal="center" vertical="top"/>
    </xf>
    <xf numFmtId="166" fontId="2" fillId="7" borderId="98" xfId="0" applyNumberFormat="1" applyFont="1" applyFill="1" applyBorder="1" applyAlignment="1">
      <alignment horizontal="center" vertical="top"/>
    </xf>
    <xf numFmtId="166" fontId="3" fillId="8" borderId="66" xfId="0" applyNumberFormat="1" applyFont="1" applyFill="1" applyBorder="1" applyAlignment="1">
      <alignment horizontal="center" vertical="top"/>
    </xf>
    <xf numFmtId="166" fontId="8" fillId="7" borderId="19" xfId="0" applyNumberFormat="1" applyFont="1" applyFill="1" applyBorder="1" applyAlignment="1">
      <alignment horizontal="center" vertical="center" textRotation="90" wrapText="1"/>
    </xf>
    <xf numFmtId="166" fontId="2" fillId="7" borderId="47" xfId="0" applyNumberFormat="1" applyFont="1" applyFill="1" applyBorder="1" applyAlignment="1">
      <alignment horizontal="center" vertical="center" textRotation="90" wrapText="1"/>
    </xf>
    <xf numFmtId="166" fontId="3" fillId="2" borderId="24" xfId="0" applyNumberFormat="1" applyFont="1" applyFill="1" applyBorder="1" applyAlignment="1">
      <alignment horizontal="center" vertical="top"/>
    </xf>
    <xf numFmtId="166" fontId="3" fillId="9" borderId="66" xfId="0" applyNumberFormat="1" applyFont="1" applyFill="1" applyBorder="1" applyAlignment="1">
      <alignment horizontal="center" vertical="top"/>
    </xf>
    <xf numFmtId="166" fontId="3" fillId="5" borderId="24" xfId="0" applyNumberFormat="1" applyFont="1" applyFill="1" applyBorder="1" applyAlignment="1">
      <alignment horizontal="center" vertical="top"/>
    </xf>
    <xf numFmtId="166" fontId="2" fillId="7" borderId="49" xfId="0" applyNumberFormat="1" applyFont="1" applyFill="1" applyBorder="1" applyAlignment="1">
      <alignment vertical="top"/>
    </xf>
    <xf numFmtId="166" fontId="2" fillId="7" borderId="99" xfId="0" applyNumberFormat="1" applyFont="1" applyFill="1" applyBorder="1" applyAlignment="1">
      <alignment horizontal="center" vertical="top"/>
    </xf>
    <xf numFmtId="166" fontId="2" fillId="7" borderId="28" xfId="0" applyNumberFormat="1" applyFont="1" applyFill="1" applyBorder="1" applyAlignment="1">
      <alignment horizontal="center" vertical="center" textRotation="90" wrapText="1"/>
    </xf>
    <xf numFmtId="166" fontId="2" fillId="3" borderId="35" xfId="0" applyNumberFormat="1" applyFont="1" applyFill="1" applyBorder="1" applyAlignment="1">
      <alignment vertical="top" wrapText="1"/>
    </xf>
    <xf numFmtId="166" fontId="2" fillId="0" borderId="64" xfId="0" applyNumberFormat="1" applyFont="1" applyBorder="1" applyAlignment="1">
      <alignment horizontal="center" vertical="top"/>
    </xf>
    <xf numFmtId="166" fontId="2" fillId="7" borderId="68" xfId="0" applyNumberFormat="1" applyFont="1" applyFill="1" applyBorder="1" applyAlignment="1">
      <alignment vertical="top"/>
    </xf>
    <xf numFmtId="166" fontId="2" fillId="0" borderId="49" xfId="0" applyNumberFormat="1" applyFont="1" applyFill="1" applyBorder="1" applyAlignment="1">
      <alignment horizontal="center" vertical="top"/>
    </xf>
    <xf numFmtId="166" fontId="3" fillId="8" borderId="9" xfId="0" applyNumberFormat="1" applyFont="1" applyFill="1" applyBorder="1" applyAlignment="1">
      <alignment horizontal="center" vertical="top"/>
    </xf>
    <xf numFmtId="166" fontId="2" fillId="7" borderId="75" xfId="0" applyNumberFormat="1" applyFont="1" applyFill="1" applyBorder="1" applyAlignment="1">
      <alignment horizontal="center" vertical="top"/>
    </xf>
    <xf numFmtId="166" fontId="3" fillId="0" borderId="0" xfId="0" applyNumberFormat="1" applyFont="1" applyFill="1" applyBorder="1" applyAlignment="1">
      <alignment horizontal="center" vertical="top" wrapText="1"/>
    </xf>
    <xf numFmtId="166" fontId="2" fillId="2" borderId="32" xfId="0" applyNumberFormat="1" applyFont="1" applyFill="1" applyBorder="1" applyAlignment="1">
      <alignment horizontal="center" vertical="top" wrapText="1"/>
    </xf>
    <xf numFmtId="0" fontId="21" fillId="0" borderId="0" xfId="0" applyFont="1"/>
    <xf numFmtId="0" fontId="2" fillId="0" borderId="63" xfId="0" applyFont="1" applyBorder="1" applyAlignment="1">
      <alignment horizontal="center" vertical="center" textRotation="90"/>
    </xf>
    <xf numFmtId="0" fontId="2" fillId="0" borderId="3" xfId="0" applyFont="1" applyBorder="1" applyAlignment="1">
      <alignment horizontal="center" vertical="center" textRotation="90"/>
    </xf>
    <xf numFmtId="166" fontId="2" fillId="3" borderId="75" xfId="0" applyNumberFormat="1" applyFont="1" applyFill="1" applyBorder="1" applyAlignment="1">
      <alignment horizontal="center" vertical="top"/>
    </xf>
    <xf numFmtId="166" fontId="2" fillId="0" borderId="28" xfId="0" applyNumberFormat="1" applyFont="1" applyBorder="1" applyAlignment="1">
      <alignment horizontal="center" vertical="top"/>
    </xf>
    <xf numFmtId="3" fontId="2" fillId="7" borderId="48" xfId="0" applyNumberFormat="1" applyFont="1" applyFill="1" applyBorder="1" applyAlignment="1">
      <alignment horizontal="center" vertical="top"/>
    </xf>
    <xf numFmtId="3" fontId="2" fillId="7" borderId="35" xfId="0" applyNumberFormat="1" applyFont="1" applyFill="1" applyBorder="1" applyAlignment="1">
      <alignment horizontal="center" vertical="top" wrapText="1"/>
    </xf>
    <xf numFmtId="3" fontId="2" fillId="0" borderId="14" xfId="0" applyNumberFormat="1" applyFont="1" applyFill="1" applyBorder="1" applyAlignment="1">
      <alignment horizontal="center" vertical="top" wrapText="1"/>
    </xf>
    <xf numFmtId="0" fontId="2" fillId="0" borderId="64" xfId="0" applyFont="1" applyBorder="1" applyAlignment="1">
      <alignment horizontal="center" vertical="top"/>
    </xf>
    <xf numFmtId="3" fontId="2" fillId="7" borderId="92" xfId="0" applyNumberFormat="1" applyFont="1" applyFill="1" applyBorder="1" applyAlignment="1">
      <alignment horizontal="center" vertical="top"/>
    </xf>
    <xf numFmtId="166" fontId="2" fillId="7" borderId="20" xfId="0" applyNumberFormat="1" applyFont="1" applyFill="1" applyBorder="1" applyAlignment="1">
      <alignment vertical="top"/>
    </xf>
    <xf numFmtId="166" fontId="2" fillId="7" borderId="46" xfId="0" applyNumberFormat="1" applyFont="1" applyFill="1" applyBorder="1" applyAlignment="1">
      <alignment vertical="top"/>
    </xf>
    <xf numFmtId="166" fontId="2" fillId="7" borderId="6" xfId="0" applyNumberFormat="1" applyFont="1" applyFill="1" applyBorder="1" applyAlignment="1">
      <alignment vertical="top"/>
    </xf>
    <xf numFmtId="166" fontId="2" fillId="7" borderId="11" xfId="0" applyNumberFormat="1" applyFont="1" applyFill="1" applyBorder="1" applyAlignment="1">
      <alignment vertical="top"/>
    </xf>
    <xf numFmtId="166" fontId="2" fillId="0" borderId="12" xfId="0" applyNumberFormat="1" applyFont="1" applyFill="1" applyBorder="1" applyAlignment="1">
      <alignment vertical="top" wrapText="1"/>
    </xf>
    <xf numFmtId="166" fontId="2" fillId="7" borderId="34" xfId="0" applyNumberFormat="1" applyFont="1" applyFill="1" applyBorder="1" applyAlignment="1">
      <alignment vertical="top"/>
    </xf>
    <xf numFmtId="166" fontId="2" fillId="7" borderId="53" xfId="0" applyNumberFormat="1" applyFont="1" applyFill="1" applyBorder="1" applyAlignment="1">
      <alignment horizontal="center" vertical="top"/>
    </xf>
    <xf numFmtId="166" fontId="2" fillId="0" borderId="49" xfId="0" applyNumberFormat="1" applyFont="1" applyBorder="1" applyAlignment="1">
      <alignment vertical="top"/>
    </xf>
    <xf numFmtId="166" fontId="2" fillId="0" borderId="13" xfId="0" applyNumberFormat="1" applyFont="1" applyBorder="1" applyAlignment="1">
      <alignment vertical="top"/>
    </xf>
    <xf numFmtId="166" fontId="3" fillId="8" borderId="65" xfId="0" applyNumberFormat="1" applyFont="1" applyFill="1" applyBorder="1" applyAlignment="1">
      <alignment horizontal="center" vertical="top"/>
    </xf>
    <xf numFmtId="166" fontId="2" fillId="7" borderId="25" xfId="0" applyNumberFormat="1" applyFont="1" applyFill="1" applyBorder="1" applyAlignment="1">
      <alignment horizontal="center" vertical="top"/>
    </xf>
    <xf numFmtId="166" fontId="3" fillId="8" borderId="2" xfId="0" applyNumberFormat="1" applyFont="1" applyFill="1" applyBorder="1" applyAlignment="1">
      <alignment horizontal="center" vertical="top"/>
    </xf>
    <xf numFmtId="166" fontId="3" fillId="8" borderId="32" xfId="0" applyNumberFormat="1" applyFont="1" applyFill="1" applyBorder="1" applyAlignment="1">
      <alignment horizontal="center" vertical="top"/>
    </xf>
    <xf numFmtId="166" fontId="2" fillId="7" borderId="39" xfId="0" applyNumberFormat="1" applyFont="1" applyFill="1" applyBorder="1" applyAlignment="1">
      <alignment horizontal="center" vertical="top"/>
    </xf>
    <xf numFmtId="166" fontId="2" fillId="7" borderId="56" xfId="0" applyNumberFormat="1" applyFont="1" applyFill="1" applyBorder="1" applyAlignment="1">
      <alignment horizontal="center" vertical="top"/>
    </xf>
    <xf numFmtId="166" fontId="2" fillId="7" borderId="30" xfId="0" applyNumberFormat="1" applyFont="1" applyFill="1" applyBorder="1" applyAlignment="1">
      <alignment horizontal="center" vertical="top"/>
    </xf>
    <xf numFmtId="166" fontId="2" fillId="7" borderId="14" xfId="0" applyNumberFormat="1" applyFont="1" applyFill="1" applyBorder="1" applyAlignment="1">
      <alignment horizontal="center" vertical="top"/>
    </xf>
    <xf numFmtId="166" fontId="2" fillId="7" borderId="13" xfId="0" applyNumberFormat="1" applyFont="1" applyFill="1" applyBorder="1" applyAlignment="1">
      <alignment horizontal="center" vertical="top"/>
    </xf>
    <xf numFmtId="166" fontId="2" fillId="7" borderId="94" xfId="0" applyNumberFormat="1" applyFont="1" applyFill="1" applyBorder="1" applyAlignment="1">
      <alignment horizontal="center" vertical="top"/>
    </xf>
    <xf numFmtId="166" fontId="2" fillId="0" borderId="85" xfId="0" applyNumberFormat="1" applyFont="1" applyFill="1" applyBorder="1" applyAlignment="1">
      <alignment horizontal="center" vertical="top"/>
    </xf>
    <xf numFmtId="49" fontId="2" fillId="7" borderId="85" xfId="0" applyNumberFormat="1" applyFont="1" applyFill="1" applyBorder="1" applyAlignment="1">
      <alignment horizontal="center" vertical="top"/>
    </xf>
    <xf numFmtId="3" fontId="6" fillId="7" borderId="48" xfId="0" applyNumberFormat="1" applyFont="1" applyFill="1" applyBorder="1" applyAlignment="1">
      <alignment horizontal="center" vertical="top" wrapText="1"/>
    </xf>
    <xf numFmtId="166" fontId="2" fillId="0" borderId="8" xfId="0" applyNumberFormat="1" applyFont="1" applyFill="1" applyBorder="1" applyAlignment="1">
      <alignment horizontal="center" vertical="top"/>
    </xf>
    <xf numFmtId="0" fontId="2" fillId="7" borderId="84" xfId="0" applyFont="1" applyFill="1" applyBorder="1" applyAlignment="1">
      <alignment vertical="top" wrapText="1"/>
    </xf>
    <xf numFmtId="166" fontId="2" fillId="7" borderId="38" xfId="0" applyNumberFormat="1" applyFont="1" applyFill="1" applyBorder="1" applyAlignment="1">
      <alignment horizontal="center" vertical="top"/>
    </xf>
    <xf numFmtId="49" fontId="2" fillId="7" borderId="48" xfId="0" applyNumberFormat="1" applyFont="1" applyFill="1" applyBorder="1" applyAlignment="1">
      <alignment horizontal="center" vertical="top"/>
    </xf>
    <xf numFmtId="166" fontId="6" fillId="7" borderId="30" xfId="0" applyNumberFormat="1" applyFont="1" applyFill="1" applyBorder="1" applyAlignment="1">
      <alignment horizontal="center" vertical="top" wrapText="1"/>
    </xf>
    <xf numFmtId="3" fontId="2" fillId="7" borderId="83" xfId="0" applyNumberFormat="1" applyFont="1" applyFill="1" applyBorder="1" applyAlignment="1">
      <alignment horizontal="center" vertical="top"/>
    </xf>
    <xf numFmtId="166" fontId="2" fillId="7" borderId="28" xfId="0" applyNumberFormat="1" applyFont="1" applyFill="1" applyBorder="1" applyAlignment="1">
      <alignment vertical="top"/>
    </xf>
    <xf numFmtId="166" fontId="2" fillId="7" borderId="64" xfId="0" applyNumberFormat="1" applyFont="1" applyFill="1" applyBorder="1" applyAlignment="1">
      <alignment vertical="top"/>
    </xf>
    <xf numFmtId="166" fontId="2" fillId="7" borderId="53" xfId="0" applyNumberFormat="1" applyFont="1" applyFill="1" applyBorder="1" applyAlignment="1">
      <alignment vertical="top"/>
    </xf>
    <xf numFmtId="0" fontId="4" fillId="0" borderId="11" xfId="0" applyFont="1" applyFill="1" applyBorder="1" applyAlignment="1">
      <alignment horizontal="center" vertical="center" textRotation="90" wrapText="1"/>
    </xf>
    <xf numFmtId="3" fontId="2" fillId="7" borderId="105" xfId="0" applyNumberFormat="1" applyFont="1" applyFill="1" applyBorder="1" applyAlignment="1">
      <alignment horizontal="center" vertical="top"/>
    </xf>
    <xf numFmtId="166" fontId="3" fillId="8" borderId="72" xfId="0" applyNumberFormat="1" applyFont="1" applyFill="1" applyBorder="1" applyAlignment="1">
      <alignment horizontal="center" vertical="top"/>
    </xf>
    <xf numFmtId="3" fontId="6" fillId="7" borderId="18" xfId="0" applyNumberFormat="1" applyFont="1" applyFill="1" applyBorder="1" applyAlignment="1">
      <alignment horizontal="center" vertical="top" wrapText="1"/>
    </xf>
    <xf numFmtId="166" fontId="2" fillId="0" borderId="26" xfId="0" applyNumberFormat="1" applyFont="1" applyBorder="1" applyAlignment="1">
      <alignment horizontal="center" vertical="center" wrapText="1"/>
    </xf>
    <xf numFmtId="166" fontId="7" fillId="3" borderId="35" xfId="0" applyNumberFormat="1" applyFont="1" applyFill="1" applyBorder="1" applyAlignment="1">
      <alignment horizontal="left" vertical="top" wrapText="1"/>
    </xf>
    <xf numFmtId="166" fontId="2" fillId="7" borderId="29" xfId="0" applyNumberFormat="1" applyFont="1" applyFill="1" applyBorder="1" applyAlignment="1">
      <alignment vertical="top" wrapText="1"/>
    </xf>
    <xf numFmtId="166" fontId="3" fillId="2" borderId="9" xfId="0" applyNumberFormat="1" applyFont="1" applyFill="1" applyBorder="1" applyAlignment="1">
      <alignment horizontal="center" vertical="top"/>
    </xf>
    <xf numFmtId="166" fontId="2" fillId="7" borderId="43" xfId="0" applyNumberFormat="1" applyFont="1" applyFill="1" applyBorder="1" applyAlignment="1">
      <alignment vertical="top"/>
    </xf>
    <xf numFmtId="166" fontId="3" fillId="8" borderId="61" xfId="0" applyNumberFormat="1" applyFont="1" applyFill="1" applyBorder="1" applyAlignment="1">
      <alignment horizontal="center" vertical="top"/>
    </xf>
    <xf numFmtId="166" fontId="2" fillId="7" borderId="44" xfId="0" applyNumberFormat="1" applyFont="1" applyFill="1" applyBorder="1" applyAlignment="1">
      <alignment horizontal="center" vertical="top"/>
    </xf>
    <xf numFmtId="166" fontId="2" fillId="7" borderId="51" xfId="0" applyNumberFormat="1" applyFont="1" applyFill="1" applyBorder="1" applyAlignment="1">
      <alignment horizontal="center" vertical="top"/>
    </xf>
    <xf numFmtId="49" fontId="3" fillId="7" borderId="11" xfId="0" applyNumberFormat="1" applyFont="1" applyFill="1" applyBorder="1" applyAlignment="1">
      <alignment vertical="top"/>
    </xf>
    <xf numFmtId="166" fontId="3" fillId="7" borderId="48" xfId="0" applyNumberFormat="1" applyFont="1" applyFill="1" applyBorder="1" applyAlignment="1">
      <alignment vertical="top"/>
    </xf>
    <xf numFmtId="166" fontId="3" fillId="7" borderId="41" xfId="0" applyNumberFormat="1" applyFont="1" applyFill="1" applyBorder="1" applyAlignment="1">
      <alignment vertical="top" wrapText="1"/>
    </xf>
    <xf numFmtId="166" fontId="3" fillId="7" borderId="20" xfId="0" applyNumberFormat="1" applyFont="1" applyFill="1" applyBorder="1" applyAlignment="1">
      <alignment vertical="top"/>
    </xf>
    <xf numFmtId="166" fontId="2" fillId="7" borderId="92" xfId="0" applyNumberFormat="1" applyFont="1" applyFill="1" applyBorder="1" applyAlignment="1">
      <alignment vertical="top" wrapText="1"/>
    </xf>
    <xf numFmtId="166" fontId="2" fillId="7" borderId="41" xfId="0" applyNumberFormat="1" applyFont="1" applyFill="1" applyBorder="1" applyAlignment="1">
      <alignment horizontal="center" vertical="top"/>
    </xf>
    <xf numFmtId="166" fontId="2" fillId="7" borderId="26" xfId="0" applyNumberFormat="1" applyFont="1" applyFill="1" applyBorder="1" applyAlignment="1">
      <alignment horizontal="center" vertical="top"/>
    </xf>
    <xf numFmtId="166" fontId="2" fillId="7" borderId="11" xfId="0" applyNumberFormat="1" applyFont="1" applyFill="1" applyBorder="1" applyAlignment="1">
      <alignment horizontal="center" vertical="top"/>
    </xf>
    <xf numFmtId="166" fontId="3" fillId="7" borderId="75" xfId="0" applyNumberFormat="1" applyFont="1" applyFill="1" applyBorder="1" applyAlignment="1">
      <alignment horizontal="center" vertical="top"/>
    </xf>
    <xf numFmtId="166" fontId="7" fillId="0" borderId="48" xfId="0" applyNumberFormat="1" applyFont="1" applyFill="1" applyBorder="1" applyAlignment="1">
      <alignment horizontal="left" vertical="top" wrapText="1"/>
    </xf>
    <xf numFmtId="166" fontId="2" fillId="7" borderId="27" xfId="0" applyNumberFormat="1" applyFont="1" applyFill="1" applyBorder="1" applyAlignment="1">
      <alignment horizontal="center" vertical="center" wrapText="1"/>
    </xf>
    <xf numFmtId="166" fontId="2" fillId="3" borderId="15" xfId="0" applyNumberFormat="1" applyFont="1" applyFill="1" applyBorder="1" applyAlignment="1">
      <alignment horizontal="center" vertical="center" wrapText="1"/>
    </xf>
    <xf numFmtId="166" fontId="2" fillId="7" borderId="79" xfId="0" applyNumberFormat="1" applyFont="1" applyFill="1" applyBorder="1" applyAlignment="1">
      <alignment vertical="top" wrapText="1"/>
    </xf>
    <xf numFmtId="166" fontId="2" fillId="0" borderId="15" xfId="0" applyNumberFormat="1" applyFont="1" applyBorder="1" applyAlignment="1">
      <alignment horizontal="center" vertical="top" wrapText="1"/>
    </xf>
    <xf numFmtId="166" fontId="2" fillId="7" borderId="85" xfId="0" applyNumberFormat="1" applyFont="1" applyFill="1" applyBorder="1" applyAlignment="1">
      <alignment vertical="top" wrapText="1"/>
    </xf>
    <xf numFmtId="166" fontId="2" fillId="7" borderId="30" xfId="0" applyNumberFormat="1" applyFont="1" applyFill="1" applyBorder="1" applyAlignment="1">
      <alignment vertical="top" wrapText="1"/>
    </xf>
    <xf numFmtId="166" fontId="2" fillId="7" borderId="5" xfId="0" applyNumberFormat="1" applyFont="1" applyFill="1" applyBorder="1" applyAlignment="1">
      <alignment vertical="top" wrapText="1"/>
    </xf>
    <xf numFmtId="166" fontId="2" fillId="7" borderId="77" xfId="0" applyNumberFormat="1" applyFont="1" applyFill="1" applyBorder="1" applyAlignment="1">
      <alignment horizontal="left" vertical="top" wrapText="1"/>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49" fontId="3" fillId="9" borderId="16" xfId="0" applyNumberFormat="1" applyFont="1" applyFill="1" applyBorder="1" applyAlignment="1">
      <alignment horizontal="center" vertical="top"/>
    </xf>
    <xf numFmtId="0" fontId="2" fillId="0" borderId="32" xfId="0" applyFont="1" applyBorder="1" applyAlignment="1">
      <alignment horizontal="center" vertical="top"/>
    </xf>
    <xf numFmtId="166" fontId="3" fillId="9" borderId="7"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9" borderId="9"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3" borderId="11" xfId="0" applyNumberFormat="1" applyFont="1" applyFill="1" applyBorder="1" applyAlignment="1">
      <alignment horizontal="center" vertical="center" textRotation="90" wrapText="1"/>
    </xf>
    <xf numFmtId="166" fontId="3" fillId="7" borderId="25" xfId="0" applyNumberFormat="1" applyFont="1" applyFill="1" applyBorder="1" applyAlignment="1">
      <alignment vertical="top"/>
    </xf>
    <xf numFmtId="166" fontId="18" fillId="7" borderId="29" xfId="0" applyNumberFormat="1" applyFont="1" applyFill="1" applyBorder="1" applyAlignment="1">
      <alignment vertical="top" wrapText="1"/>
    </xf>
    <xf numFmtId="166" fontId="18" fillId="7" borderId="6" xfId="0" applyNumberFormat="1" applyFont="1" applyFill="1" applyBorder="1" applyAlignment="1">
      <alignment horizontal="center" vertical="top"/>
    </xf>
    <xf numFmtId="3" fontId="2" fillId="0"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0" borderId="35" xfId="0" applyNumberFormat="1" applyFont="1" applyFill="1" applyBorder="1" applyAlignment="1">
      <alignment horizontal="center" vertical="top" wrapText="1"/>
    </xf>
    <xf numFmtId="166" fontId="2" fillId="7" borderId="8" xfId="0" applyNumberFormat="1" applyFont="1" applyFill="1" applyBorder="1" applyAlignment="1">
      <alignment horizontal="center" vertical="top" wrapText="1"/>
    </xf>
    <xf numFmtId="166" fontId="3" fillId="0" borderId="48" xfId="0" applyNumberFormat="1" applyFont="1" applyBorder="1" applyAlignment="1">
      <alignment horizontal="center" vertical="top"/>
    </xf>
    <xf numFmtId="166" fontId="3" fillId="7" borderId="25" xfId="0" applyNumberFormat="1" applyFont="1" applyFill="1" applyBorder="1" applyAlignment="1">
      <alignment horizontal="center" vertical="top"/>
    </xf>
    <xf numFmtId="166" fontId="3" fillId="7" borderId="41" xfId="0" applyNumberFormat="1" applyFont="1" applyFill="1" applyBorder="1" applyAlignment="1">
      <alignment horizontal="center" vertical="top"/>
    </xf>
    <xf numFmtId="3" fontId="2" fillId="0" borderId="25"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2" borderId="56" xfId="0" applyNumberFormat="1" applyFont="1" applyFill="1" applyBorder="1" applyAlignment="1">
      <alignment horizontal="center" vertical="top"/>
    </xf>
    <xf numFmtId="166" fontId="3" fillId="2" borderId="41" xfId="0" applyNumberFormat="1" applyFont="1" applyFill="1" applyBorder="1" applyAlignment="1">
      <alignment horizontal="center" vertical="top"/>
    </xf>
    <xf numFmtId="166" fontId="3" fillId="2" borderId="74"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25" xfId="0" applyNumberFormat="1" applyFont="1" applyFill="1" applyBorder="1" applyAlignment="1">
      <alignment horizontal="center" vertical="top"/>
    </xf>
    <xf numFmtId="166" fontId="3" fillId="8" borderId="58" xfId="0" applyNumberFormat="1" applyFont="1" applyFill="1" applyBorder="1" applyAlignment="1">
      <alignment horizontal="center" vertical="top"/>
    </xf>
    <xf numFmtId="166" fontId="4" fillId="3" borderId="11" xfId="0" applyNumberFormat="1" applyFont="1" applyFill="1" applyBorder="1" applyAlignment="1">
      <alignment horizontal="center" vertical="center" textRotation="90" wrapText="1"/>
    </xf>
    <xf numFmtId="166" fontId="3" fillId="0" borderId="35" xfId="0" applyNumberFormat="1" applyFont="1" applyBorder="1" applyAlignment="1">
      <alignment horizontal="center" vertical="top"/>
    </xf>
    <xf numFmtId="166" fontId="2" fillId="8" borderId="23" xfId="0" applyNumberFormat="1" applyFont="1" applyFill="1" applyBorder="1" applyAlignment="1">
      <alignment horizontal="center" vertical="top"/>
    </xf>
    <xf numFmtId="166" fontId="3" fillId="5" borderId="23" xfId="0" applyNumberFormat="1" applyFont="1" applyFill="1" applyBorder="1" applyAlignment="1">
      <alignment horizontal="center" vertical="top"/>
    </xf>
    <xf numFmtId="166" fontId="3" fillId="4" borderId="66" xfId="0" applyNumberFormat="1" applyFont="1" applyFill="1" applyBorder="1" applyAlignment="1">
      <alignment horizontal="center" vertical="top"/>
    </xf>
    <xf numFmtId="49" fontId="2" fillId="7" borderId="20" xfId="0" applyNumberFormat="1" applyFont="1" applyFill="1" applyBorder="1" applyAlignment="1">
      <alignment horizontal="left" vertical="top" wrapText="1"/>
    </xf>
    <xf numFmtId="0" fontId="2" fillId="7" borderId="85" xfId="0" applyNumberFormat="1" applyFont="1" applyFill="1" applyBorder="1" applyAlignment="1">
      <alignment horizontal="left" vertical="top" wrapText="1"/>
    </xf>
    <xf numFmtId="166" fontId="3" fillId="9" borderId="7" xfId="0" applyNumberFormat="1" applyFont="1" applyFill="1" applyBorder="1" applyAlignment="1">
      <alignment horizontal="center" vertical="top"/>
    </xf>
    <xf numFmtId="166" fontId="2" fillId="7" borderId="20" xfId="0" applyNumberFormat="1" applyFont="1" applyFill="1" applyBorder="1" applyAlignment="1">
      <alignment horizontal="left" vertical="top" wrapText="1"/>
    </xf>
    <xf numFmtId="166" fontId="3" fillId="7" borderId="48" xfId="0" applyNumberFormat="1" applyFont="1" applyFill="1" applyBorder="1" applyAlignment="1">
      <alignment horizontal="center" vertical="top"/>
    </xf>
    <xf numFmtId="166" fontId="3" fillId="0" borderId="48" xfId="0" applyNumberFormat="1" applyFont="1" applyBorder="1" applyAlignment="1">
      <alignment horizontal="center" vertical="top"/>
    </xf>
    <xf numFmtId="166" fontId="3" fillId="7" borderId="48" xfId="0" applyNumberFormat="1" applyFont="1" applyFill="1" applyBorder="1" applyAlignment="1">
      <alignment horizontal="center" vertical="top" wrapText="1"/>
    </xf>
    <xf numFmtId="166" fontId="8" fillId="7" borderId="11" xfId="0" applyNumberFormat="1" applyFont="1" applyFill="1" applyBorder="1" applyAlignment="1">
      <alignment horizontal="center" vertical="center" textRotation="90" wrapText="1"/>
    </xf>
    <xf numFmtId="166" fontId="3" fillId="9" borderId="5" xfId="0" applyNumberFormat="1" applyFont="1" applyFill="1" applyBorder="1" applyAlignment="1">
      <alignment horizontal="center" vertical="top"/>
    </xf>
    <xf numFmtId="166" fontId="3" fillId="9" borderId="9"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2" fillId="7" borderId="28" xfId="0" applyNumberFormat="1" applyFont="1" applyFill="1" applyBorder="1" applyAlignment="1">
      <alignment horizontal="left" vertical="top" wrapText="1"/>
    </xf>
    <xf numFmtId="166" fontId="2" fillId="7" borderId="96" xfId="0" applyNumberFormat="1" applyFont="1" applyFill="1" applyBorder="1" applyAlignment="1">
      <alignment horizontal="left" vertical="top" wrapText="1"/>
    </xf>
    <xf numFmtId="166" fontId="2" fillId="7" borderId="18" xfId="0" applyNumberFormat="1" applyFont="1" applyFill="1" applyBorder="1" applyAlignment="1">
      <alignment horizontal="center" vertical="top" wrapText="1"/>
    </xf>
    <xf numFmtId="166" fontId="3" fillId="7" borderId="20"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3" fillId="7" borderId="1" xfId="0" applyNumberFormat="1" applyFont="1" applyFill="1" applyBorder="1" applyAlignment="1">
      <alignment horizontal="center" vertical="top" wrapText="1"/>
    </xf>
    <xf numFmtId="166" fontId="8" fillId="7" borderId="27" xfId="0" applyNumberFormat="1" applyFont="1" applyFill="1" applyBorder="1" applyAlignment="1">
      <alignment horizontal="center" vertical="center" wrapText="1"/>
    </xf>
    <xf numFmtId="166" fontId="2" fillId="0" borderId="18" xfId="0" applyNumberFormat="1" applyFont="1" applyBorder="1" applyAlignment="1">
      <alignment horizontal="center" vertical="top" wrapText="1"/>
    </xf>
    <xf numFmtId="166" fontId="8" fillId="7" borderId="18" xfId="0" applyNumberFormat="1" applyFont="1" applyFill="1" applyBorder="1" applyAlignment="1">
      <alignment horizontal="center" wrapText="1"/>
    </xf>
    <xf numFmtId="0" fontId="2" fillId="7" borderId="49" xfId="0" applyFont="1" applyFill="1" applyBorder="1" applyAlignment="1">
      <alignment horizontal="center" vertical="top"/>
    </xf>
    <xf numFmtId="3" fontId="6" fillId="7" borderId="75" xfId="0" applyNumberFormat="1" applyFont="1" applyFill="1" applyBorder="1" applyAlignment="1">
      <alignment horizontal="center" vertical="center" wrapText="1"/>
    </xf>
    <xf numFmtId="3" fontId="6" fillId="7" borderId="27" xfId="0" applyNumberFormat="1" applyFont="1" applyFill="1" applyBorder="1" applyAlignment="1">
      <alignment horizontal="center" vertical="center" wrapText="1"/>
    </xf>
    <xf numFmtId="3" fontId="2" fillId="0" borderId="15" xfId="0" applyNumberFormat="1" applyFont="1" applyFill="1" applyBorder="1" applyAlignment="1">
      <alignment horizontal="center" vertical="top" wrapText="1"/>
    </xf>
    <xf numFmtId="3" fontId="2" fillId="7" borderId="0" xfId="0" applyNumberFormat="1" applyFont="1" applyFill="1" applyBorder="1" applyAlignment="1">
      <alignment horizontal="center" vertical="top"/>
    </xf>
    <xf numFmtId="3" fontId="2" fillId="7" borderId="75" xfId="0" applyNumberFormat="1" applyFont="1" applyFill="1" applyBorder="1" applyAlignment="1">
      <alignment horizontal="center" vertical="top"/>
    </xf>
    <xf numFmtId="166" fontId="6" fillId="0" borderId="18" xfId="0" applyNumberFormat="1" applyFont="1" applyFill="1" applyBorder="1" applyAlignment="1">
      <alignment horizontal="center" vertical="top" wrapText="1"/>
    </xf>
    <xf numFmtId="166" fontId="2" fillId="7" borderId="36" xfId="0" applyNumberFormat="1" applyFont="1" applyFill="1" applyBorder="1" applyAlignment="1">
      <alignment vertical="top"/>
    </xf>
    <xf numFmtId="49" fontId="2" fillId="7" borderId="28" xfId="0" applyNumberFormat="1" applyFont="1" applyFill="1" applyBorder="1" applyAlignment="1">
      <alignment horizontal="center" vertical="top"/>
    </xf>
    <xf numFmtId="49" fontId="2" fillId="7" borderId="35" xfId="0" applyNumberFormat="1" applyFont="1" applyFill="1" applyBorder="1" applyAlignment="1">
      <alignment horizontal="center" vertical="top"/>
    </xf>
    <xf numFmtId="166" fontId="2" fillId="7" borderId="21" xfId="0" applyNumberFormat="1" applyFont="1" applyFill="1" applyBorder="1" applyAlignment="1">
      <alignment vertical="top"/>
    </xf>
    <xf numFmtId="0" fontId="2" fillId="7" borderId="48" xfId="0" applyNumberFormat="1" applyFont="1" applyFill="1" applyBorder="1" applyAlignment="1">
      <alignment horizontal="center" vertical="top" wrapText="1"/>
    </xf>
    <xf numFmtId="0" fontId="2" fillId="7" borderId="96" xfId="0" applyNumberFormat="1" applyFont="1" applyFill="1" applyBorder="1" applyAlignment="1">
      <alignment horizontal="center" vertical="top" wrapText="1"/>
    </xf>
    <xf numFmtId="3" fontId="2" fillId="7" borderId="94" xfId="0" applyNumberFormat="1" applyFont="1" applyFill="1" applyBorder="1" applyAlignment="1">
      <alignment horizontal="center" vertical="top"/>
    </xf>
    <xf numFmtId="3" fontId="2" fillId="7" borderId="104" xfId="0" applyNumberFormat="1" applyFont="1" applyFill="1" applyBorder="1" applyAlignment="1">
      <alignment horizontal="center" vertical="top"/>
    </xf>
    <xf numFmtId="3" fontId="2" fillId="7" borderId="110" xfId="0" applyNumberFormat="1" applyFont="1" applyFill="1" applyBorder="1" applyAlignment="1">
      <alignment horizontal="center" vertical="top"/>
    </xf>
    <xf numFmtId="3" fontId="2" fillId="7" borderId="109" xfId="0" applyNumberFormat="1" applyFont="1" applyFill="1" applyBorder="1" applyAlignment="1">
      <alignment horizontal="center" vertical="top"/>
    </xf>
    <xf numFmtId="166" fontId="2" fillId="7" borderId="87" xfId="0" applyNumberFormat="1" applyFont="1" applyFill="1" applyBorder="1" applyAlignment="1">
      <alignment horizontal="center" vertical="top"/>
    </xf>
    <xf numFmtId="166" fontId="2" fillId="7" borderId="15" xfId="0" applyNumberFormat="1" applyFont="1" applyFill="1" applyBorder="1" applyAlignment="1">
      <alignment horizontal="center" vertical="top"/>
    </xf>
    <xf numFmtId="166" fontId="8" fillId="7" borderId="45" xfId="0" applyNumberFormat="1" applyFont="1" applyFill="1" applyBorder="1" applyAlignment="1">
      <alignment horizontal="center" vertical="center" textRotation="90" wrapText="1"/>
    </xf>
    <xf numFmtId="3" fontId="2" fillId="7" borderId="47" xfId="0" applyNumberFormat="1" applyFont="1" applyFill="1" applyBorder="1" applyAlignment="1">
      <alignment horizontal="center" vertical="top"/>
    </xf>
    <xf numFmtId="49" fontId="3" fillId="9" borderId="34" xfId="0" applyNumberFormat="1" applyFont="1" applyFill="1" applyBorder="1" applyAlignment="1">
      <alignment horizontal="center" vertical="top"/>
    </xf>
    <xf numFmtId="3" fontId="2" fillId="7" borderId="18" xfId="0" applyNumberFormat="1" applyFont="1" applyFill="1" applyBorder="1" applyAlignment="1">
      <alignment horizontal="center" vertical="top" wrapText="1"/>
    </xf>
    <xf numFmtId="0" fontId="2" fillId="7" borderId="34" xfId="0" applyFont="1" applyFill="1" applyBorder="1" applyAlignment="1">
      <alignment vertical="top"/>
    </xf>
    <xf numFmtId="0" fontId="2" fillId="7" borderId="11" xfId="0" applyFont="1" applyFill="1" applyBorder="1" applyAlignment="1">
      <alignment vertical="top"/>
    </xf>
    <xf numFmtId="0" fontId="2" fillId="7" borderId="48" xfId="0" applyFont="1" applyFill="1" applyBorder="1" applyAlignment="1">
      <alignment vertical="top"/>
    </xf>
    <xf numFmtId="0" fontId="2" fillId="7" borderId="21" xfId="0" applyFont="1" applyFill="1" applyBorder="1" applyAlignment="1">
      <alignment vertical="top"/>
    </xf>
    <xf numFmtId="0" fontId="2" fillId="7" borderId="18" xfId="0" applyFont="1" applyFill="1" applyBorder="1" applyAlignment="1">
      <alignment vertical="top"/>
    </xf>
    <xf numFmtId="166" fontId="2" fillId="7" borderId="34" xfId="0" applyNumberFormat="1" applyFont="1" applyFill="1" applyBorder="1" applyAlignment="1">
      <alignment horizontal="center" vertical="top" wrapText="1"/>
    </xf>
    <xf numFmtId="166" fontId="2" fillId="7" borderId="43" xfId="0" applyNumberFormat="1" applyFont="1" applyFill="1" applyBorder="1" applyAlignment="1">
      <alignment horizontal="center" vertical="top" wrapText="1"/>
    </xf>
    <xf numFmtId="166" fontId="2" fillId="7" borderId="5" xfId="0" applyNumberFormat="1" applyFont="1" applyFill="1" applyBorder="1" applyAlignment="1">
      <alignment horizontal="left" vertical="top" wrapText="1"/>
    </xf>
    <xf numFmtId="166" fontId="2" fillId="7" borderId="0" xfId="0" applyNumberFormat="1" applyFont="1" applyFill="1" applyBorder="1" applyAlignment="1">
      <alignment horizontal="center" vertical="top" wrapText="1"/>
    </xf>
    <xf numFmtId="3" fontId="2" fillId="7" borderId="25" xfId="0" applyNumberFormat="1" applyFont="1" applyFill="1" applyBorder="1" applyAlignment="1">
      <alignment horizontal="center" vertical="top" wrapText="1"/>
    </xf>
    <xf numFmtId="166" fontId="2" fillId="7" borderId="75" xfId="1" applyNumberFormat="1" applyFont="1" applyFill="1" applyBorder="1" applyAlignment="1">
      <alignment horizontal="center" vertical="top"/>
    </xf>
    <xf numFmtId="166" fontId="2" fillId="7" borderId="23" xfId="1" applyNumberFormat="1" applyFont="1" applyFill="1" applyBorder="1" applyAlignment="1">
      <alignment horizontal="center" vertical="top"/>
    </xf>
    <xf numFmtId="166" fontId="3" fillId="2" borderId="55" xfId="0" applyNumberFormat="1" applyFont="1" applyFill="1" applyBorder="1" applyAlignment="1">
      <alignment horizontal="center" vertical="top"/>
    </xf>
    <xf numFmtId="49" fontId="2" fillId="7" borderId="18" xfId="0" applyNumberFormat="1" applyFont="1" applyFill="1" applyBorder="1" applyAlignment="1">
      <alignment horizontal="center" vertical="top"/>
    </xf>
    <xf numFmtId="0" fontId="2" fillId="7" borderId="0" xfId="0" applyFont="1" applyFill="1" applyBorder="1" applyAlignment="1">
      <alignment vertical="top"/>
    </xf>
    <xf numFmtId="166" fontId="2" fillId="7" borderId="5" xfId="0" applyNumberFormat="1" applyFont="1" applyFill="1" applyBorder="1" applyAlignment="1">
      <alignment horizontal="center" vertical="top"/>
    </xf>
    <xf numFmtId="166" fontId="2" fillId="7" borderId="50" xfId="0" applyNumberFormat="1" applyFont="1" applyFill="1" applyBorder="1" applyAlignment="1">
      <alignment horizontal="center" vertical="top"/>
    </xf>
    <xf numFmtId="166" fontId="3" fillId="8" borderId="33" xfId="0" applyNumberFormat="1" applyFont="1" applyFill="1" applyBorder="1" applyAlignment="1">
      <alignment horizontal="center" vertical="top"/>
    </xf>
    <xf numFmtId="3" fontId="2" fillId="7" borderId="96" xfId="0" applyNumberFormat="1" applyFont="1" applyFill="1" applyBorder="1" applyAlignment="1">
      <alignment horizontal="center" vertical="top"/>
    </xf>
    <xf numFmtId="166" fontId="2" fillId="7" borderId="25" xfId="0" applyNumberFormat="1" applyFont="1" applyFill="1" applyBorder="1" applyAlignment="1">
      <alignment horizontal="center" vertical="center" textRotation="90" wrapText="1"/>
    </xf>
    <xf numFmtId="166" fontId="3" fillId="7" borderId="48" xfId="0" applyNumberFormat="1" applyFont="1" applyFill="1" applyBorder="1" applyAlignment="1">
      <alignment vertical="top" wrapText="1"/>
    </xf>
    <xf numFmtId="166" fontId="3" fillId="7" borderId="35" xfId="0" applyNumberFormat="1" applyFont="1" applyFill="1" applyBorder="1" applyAlignment="1">
      <alignment vertical="top" wrapText="1"/>
    </xf>
    <xf numFmtId="49" fontId="2" fillId="7" borderId="20"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3" fillId="7" borderId="25"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166" fontId="3" fillId="8" borderId="56" xfId="0" applyNumberFormat="1" applyFont="1" applyFill="1" applyBorder="1" applyAlignment="1">
      <alignment horizontal="center" vertical="top"/>
    </xf>
    <xf numFmtId="49" fontId="3" fillId="8" borderId="11" xfId="0" applyNumberFormat="1" applyFont="1" applyFill="1" applyBorder="1" applyAlignment="1">
      <alignment horizontal="center" vertical="top"/>
    </xf>
    <xf numFmtId="166" fontId="8" fillId="8" borderId="58" xfId="0" applyNumberFormat="1" applyFont="1" applyFill="1" applyBorder="1" applyAlignment="1">
      <alignment vertical="top" wrapText="1"/>
    </xf>
    <xf numFmtId="166" fontId="11" fillId="8" borderId="58" xfId="0" applyNumberFormat="1" applyFont="1" applyFill="1" applyBorder="1" applyAlignment="1">
      <alignment horizontal="center" vertical="center" textRotation="90" wrapText="1"/>
    </xf>
    <xf numFmtId="166" fontId="3" fillId="8" borderId="11" xfId="0" applyNumberFormat="1" applyFont="1" applyFill="1" applyBorder="1" applyAlignment="1">
      <alignment horizontal="center" vertical="top"/>
    </xf>
    <xf numFmtId="166" fontId="3" fillId="8" borderId="25" xfId="0" applyNumberFormat="1" applyFont="1" applyFill="1" applyBorder="1" applyAlignment="1">
      <alignment horizontal="center" vertical="top"/>
    </xf>
    <xf numFmtId="166" fontId="18" fillId="8" borderId="65" xfId="0" applyNumberFormat="1" applyFont="1" applyFill="1" applyBorder="1" applyAlignment="1">
      <alignment horizontal="left" vertical="top" wrapText="1"/>
    </xf>
    <xf numFmtId="3" fontId="6" fillId="8" borderId="58" xfId="0" applyNumberFormat="1" applyFont="1" applyFill="1" applyBorder="1" applyAlignment="1">
      <alignment horizontal="center" vertical="top" wrapText="1"/>
    </xf>
    <xf numFmtId="3" fontId="6" fillId="8" borderId="61" xfId="0" applyNumberFormat="1" applyFont="1" applyFill="1" applyBorder="1" applyAlignment="1">
      <alignment horizontal="center" vertical="top" wrapText="1"/>
    </xf>
    <xf numFmtId="166" fontId="3" fillId="8" borderId="11" xfId="0" applyNumberFormat="1" applyFont="1" applyFill="1" applyBorder="1" applyAlignment="1">
      <alignment vertical="top"/>
    </xf>
    <xf numFmtId="166" fontId="3" fillId="8" borderId="48" xfId="0" applyNumberFormat="1" applyFont="1" applyFill="1" applyBorder="1" applyAlignment="1">
      <alignment vertical="top"/>
    </xf>
    <xf numFmtId="49" fontId="3" fillId="7" borderId="11" xfId="0" applyNumberFormat="1" applyFont="1" applyFill="1" applyBorder="1" applyAlignment="1">
      <alignment horizontal="center" vertical="top" wrapText="1"/>
    </xf>
    <xf numFmtId="166" fontId="3" fillId="8" borderId="0" xfId="0" applyNumberFormat="1" applyFont="1" applyFill="1" applyBorder="1" applyAlignment="1">
      <alignment horizontal="center" vertical="top"/>
    </xf>
    <xf numFmtId="166" fontId="3" fillId="8" borderId="48" xfId="0" applyNumberFormat="1" applyFont="1" applyFill="1" applyBorder="1" applyAlignment="1">
      <alignment horizontal="center" vertical="top"/>
    </xf>
    <xf numFmtId="166" fontId="3" fillId="8" borderId="25" xfId="0" applyNumberFormat="1" applyFont="1" applyFill="1" applyBorder="1" applyAlignment="1">
      <alignment vertical="top"/>
    </xf>
    <xf numFmtId="166" fontId="8" fillId="8" borderId="32" xfId="0" applyNumberFormat="1" applyFont="1" applyFill="1" applyBorder="1" applyAlignment="1">
      <alignment vertical="top" wrapText="1"/>
    </xf>
    <xf numFmtId="166" fontId="11" fillId="8" borderId="32" xfId="0" applyNumberFormat="1" applyFont="1" applyFill="1" applyBorder="1" applyAlignment="1">
      <alignment horizontal="center" vertical="center" textRotation="90" wrapText="1"/>
    </xf>
    <xf numFmtId="166" fontId="18" fillId="8" borderId="72" xfId="0" applyNumberFormat="1" applyFont="1" applyFill="1" applyBorder="1" applyAlignment="1">
      <alignment horizontal="left" vertical="top" wrapText="1"/>
    </xf>
    <xf numFmtId="49" fontId="2" fillId="7" borderId="102" xfId="0" applyNumberFormat="1" applyFont="1" applyFill="1" applyBorder="1" applyAlignment="1">
      <alignment horizontal="center" vertical="top"/>
    </xf>
    <xf numFmtId="166" fontId="2" fillId="7" borderId="59" xfId="0" applyNumberFormat="1" applyFont="1" applyFill="1" applyBorder="1" applyAlignment="1">
      <alignment horizontal="center" vertical="top" wrapText="1"/>
    </xf>
    <xf numFmtId="166" fontId="2" fillId="7" borderId="11" xfId="0" applyNumberFormat="1" applyFont="1" applyFill="1" applyBorder="1" applyAlignment="1">
      <alignment horizontal="center" vertical="top" wrapText="1"/>
    </xf>
    <xf numFmtId="166" fontId="3" fillId="3" borderId="75" xfId="0" applyNumberFormat="1" applyFont="1" applyFill="1" applyBorder="1" applyAlignment="1">
      <alignment horizontal="center" vertical="top"/>
    </xf>
    <xf numFmtId="166" fontId="3" fillId="3" borderId="28" xfId="0" applyNumberFormat="1" applyFont="1" applyFill="1" applyBorder="1" applyAlignment="1">
      <alignment horizontal="center" vertical="top"/>
    </xf>
    <xf numFmtId="166" fontId="3" fillId="3" borderId="68" xfId="0" applyNumberFormat="1" applyFont="1" applyFill="1" applyBorder="1" applyAlignment="1">
      <alignment horizontal="center" vertical="top"/>
    </xf>
    <xf numFmtId="166" fontId="2" fillId="7" borderId="49" xfId="0" applyNumberFormat="1" applyFont="1" applyFill="1" applyBorder="1" applyAlignment="1">
      <alignment horizontal="center" vertical="top" wrapText="1"/>
    </xf>
    <xf numFmtId="166" fontId="2" fillId="0" borderId="10" xfId="0" applyNumberFormat="1" applyFont="1" applyBorder="1" applyAlignment="1">
      <alignment horizontal="center" vertical="top"/>
    </xf>
    <xf numFmtId="166" fontId="2" fillId="0" borderId="53" xfId="0" applyNumberFormat="1" applyFont="1" applyBorder="1" applyAlignment="1">
      <alignment horizontal="center" vertical="top"/>
    </xf>
    <xf numFmtId="166" fontId="2" fillId="7" borderId="53" xfId="1" applyNumberFormat="1" applyFont="1" applyFill="1" applyBorder="1" applyAlignment="1">
      <alignment horizontal="center" vertical="top"/>
    </xf>
    <xf numFmtId="166" fontId="2" fillId="7" borderId="28" xfId="1" applyNumberFormat="1" applyFont="1" applyFill="1" applyBorder="1" applyAlignment="1">
      <alignment horizontal="center" vertical="top"/>
    </xf>
    <xf numFmtId="3" fontId="2" fillId="7" borderId="48" xfId="0" applyNumberFormat="1" applyFont="1" applyFill="1" applyBorder="1" applyAlignment="1">
      <alignment horizontal="center" vertical="top" wrapText="1"/>
    </xf>
    <xf numFmtId="49" fontId="3" fillId="8" borderId="0" xfId="0" applyNumberFormat="1" applyFont="1" applyFill="1" applyBorder="1" applyAlignment="1">
      <alignment horizontal="center" vertical="top"/>
    </xf>
    <xf numFmtId="49" fontId="3" fillId="8" borderId="32" xfId="0" applyNumberFormat="1" applyFont="1" applyFill="1" applyBorder="1" applyAlignment="1">
      <alignment horizontal="center" vertical="top"/>
    </xf>
    <xf numFmtId="0" fontId="0" fillId="8" borderId="32" xfId="0" applyFill="1" applyBorder="1" applyAlignment="1">
      <alignment vertical="top" wrapText="1"/>
    </xf>
    <xf numFmtId="0" fontId="0" fillId="8" borderId="32" xfId="0" applyFill="1" applyBorder="1" applyAlignment="1">
      <alignment horizontal="center" textRotation="90" wrapText="1"/>
    </xf>
    <xf numFmtId="0" fontId="0" fillId="8" borderId="32" xfId="0" applyFont="1" applyFill="1" applyBorder="1" applyAlignment="1">
      <alignment horizontal="center" vertical="top"/>
    </xf>
    <xf numFmtId="166" fontId="8" fillId="8" borderId="72" xfId="0" applyNumberFormat="1" applyFont="1" applyFill="1" applyBorder="1" applyAlignment="1">
      <alignment vertical="top" wrapText="1"/>
    </xf>
    <xf numFmtId="166" fontId="18" fillId="7" borderId="7" xfId="0" applyNumberFormat="1" applyFont="1" applyFill="1" applyBorder="1" applyAlignment="1">
      <alignment horizontal="center" vertical="top"/>
    </xf>
    <xf numFmtId="166" fontId="4" fillId="3" borderId="35" xfId="0" applyNumberFormat="1" applyFont="1" applyFill="1" applyBorder="1" applyAlignment="1">
      <alignment horizontal="center" vertical="center" textRotation="90" wrapText="1"/>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6"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8" fillId="7" borderId="11" xfId="0" applyNumberFormat="1" applyFont="1" applyFill="1" applyBorder="1" applyAlignment="1">
      <alignment horizontal="center" vertical="center" textRotation="90" wrapText="1"/>
    </xf>
    <xf numFmtId="166" fontId="3" fillId="2" borderId="48" xfId="0" applyNumberFormat="1" applyFont="1" applyFill="1" applyBorder="1" applyAlignment="1">
      <alignment horizontal="center" vertical="top"/>
    </xf>
    <xf numFmtId="166" fontId="2" fillId="7" borderId="59" xfId="0" applyNumberFormat="1" applyFont="1" applyFill="1" applyBorder="1" applyAlignment="1">
      <alignment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166" fontId="3" fillId="8" borderId="48"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20" xfId="0" applyNumberFormat="1" applyFont="1" applyFill="1" applyBorder="1" applyAlignment="1">
      <alignment horizontal="center" vertical="center" textRotation="90" wrapText="1"/>
    </xf>
    <xf numFmtId="166" fontId="2" fillId="7" borderId="11" xfId="0" applyNumberFormat="1" applyFont="1" applyFill="1" applyBorder="1" applyAlignment="1">
      <alignment horizontal="center" vertical="center" textRotation="90" wrapText="1"/>
    </xf>
    <xf numFmtId="166" fontId="2" fillId="3" borderId="48" xfId="0" applyNumberFormat="1" applyFont="1" applyFill="1" applyBorder="1" applyAlignment="1">
      <alignment vertical="top" wrapText="1"/>
    </xf>
    <xf numFmtId="49" fontId="3" fillId="7"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8" fillId="7" borderId="18" xfId="0" applyNumberFormat="1" applyFont="1" applyFill="1" applyBorder="1" applyAlignment="1">
      <alignment horizontal="center" vertical="center" wrapText="1"/>
    </xf>
    <xf numFmtId="166" fontId="8" fillId="7" borderId="18" xfId="0" applyNumberFormat="1" applyFont="1" applyFill="1" applyBorder="1" applyAlignment="1">
      <alignment horizontal="center" vertical="top" wrapText="1"/>
    </xf>
    <xf numFmtId="166" fontId="3" fillId="9" borderId="34" xfId="0" applyNumberFormat="1" applyFont="1" applyFill="1" applyBorder="1" applyAlignment="1">
      <alignment horizontal="center" vertical="top"/>
    </xf>
    <xf numFmtId="166" fontId="2" fillId="0" borderId="36" xfId="0" applyNumberFormat="1" applyFont="1" applyFill="1" applyBorder="1" applyAlignment="1">
      <alignment horizontal="left" vertical="top" wrapText="1"/>
    </xf>
    <xf numFmtId="49" fontId="3" fillId="7" borderId="48" xfId="0" applyNumberFormat="1" applyFont="1" applyFill="1" applyBorder="1" applyAlignment="1">
      <alignment horizontal="center" vertical="top"/>
    </xf>
    <xf numFmtId="3" fontId="2" fillId="0" borderId="94" xfId="0" applyNumberFormat="1" applyFont="1" applyFill="1" applyBorder="1" applyAlignment="1">
      <alignment horizontal="center" vertical="top"/>
    </xf>
    <xf numFmtId="166" fontId="18" fillId="7" borderId="29" xfId="0" applyNumberFormat="1" applyFont="1" applyFill="1" applyBorder="1" applyAlignment="1">
      <alignment horizontal="left" vertical="top" wrapText="1"/>
    </xf>
    <xf numFmtId="166" fontId="3" fillId="0" borderId="14" xfId="0" applyNumberFormat="1" applyFont="1" applyBorder="1" applyAlignment="1">
      <alignment horizontal="center" vertical="top"/>
    </xf>
    <xf numFmtId="166" fontId="2" fillId="7" borderId="15" xfId="0" applyNumberFormat="1" applyFont="1" applyFill="1" applyBorder="1" applyAlignment="1">
      <alignment horizontal="center" vertical="top" wrapText="1"/>
    </xf>
    <xf numFmtId="166" fontId="2" fillId="0" borderId="94" xfId="0" applyNumberFormat="1" applyFont="1" applyFill="1" applyBorder="1" applyAlignment="1">
      <alignment horizontal="center" vertical="top"/>
    </xf>
    <xf numFmtId="166" fontId="2" fillId="7" borderId="1" xfId="0" applyNumberFormat="1" applyFont="1" applyFill="1" applyBorder="1" applyAlignment="1">
      <alignment vertical="top" wrapText="1"/>
    </xf>
    <xf numFmtId="0" fontId="2" fillId="0" borderId="85" xfId="0" applyFont="1" applyBorder="1" applyAlignment="1">
      <alignment vertical="top" wrapText="1"/>
    </xf>
    <xf numFmtId="166" fontId="2" fillId="7" borderId="78" xfId="0" applyNumberFormat="1" applyFont="1" applyFill="1" applyBorder="1" applyAlignment="1">
      <alignment vertical="top" wrapText="1"/>
    </xf>
    <xf numFmtId="166" fontId="2" fillId="7" borderId="21" xfId="0" applyNumberFormat="1" applyFont="1" applyFill="1" applyBorder="1" applyAlignment="1">
      <alignment horizontal="center" vertical="top"/>
    </xf>
    <xf numFmtId="3" fontId="2" fillId="0" borderId="0" xfId="0" applyNumberFormat="1" applyFont="1" applyFill="1" applyBorder="1" applyAlignment="1">
      <alignment horizontal="center" vertical="top"/>
    </xf>
    <xf numFmtId="3" fontId="2" fillId="0" borderId="92" xfId="0" applyNumberFormat="1" applyFont="1" applyFill="1" applyBorder="1" applyAlignment="1">
      <alignment horizontal="center" vertical="top"/>
    </xf>
    <xf numFmtId="3" fontId="22" fillId="7" borderId="20" xfId="0" applyNumberFormat="1" applyFont="1" applyFill="1" applyBorder="1" applyAlignment="1">
      <alignment horizontal="center" vertical="top"/>
    </xf>
    <xf numFmtId="3" fontId="22" fillId="7" borderId="11" xfId="1" applyNumberFormat="1" applyFont="1" applyFill="1" applyBorder="1" applyAlignment="1">
      <alignment horizontal="center" vertical="top" wrapText="1"/>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3" borderId="46" xfId="0" applyNumberFormat="1" applyFont="1" applyFill="1" applyBorder="1" applyAlignment="1">
      <alignment horizontal="center" vertical="top" wrapText="1"/>
    </xf>
    <xf numFmtId="49" fontId="2" fillId="7" borderId="46" xfId="0" applyNumberFormat="1" applyFont="1" applyFill="1" applyBorder="1" applyAlignment="1">
      <alignment horizontal="center" vertical="top"/>
    </xf>
    <xf numFmtId="49" fontId="2" fillId="7" borderId="21" xfId="0" applyNumberFormat="1" applyFont="1" applyFill="1" applyBorder="1" applyAlignment="1">
      <alignment horizontal="center" vertical="top"/>
    </xf>
    <xf numFmtId="49" fontId="2" fillId="7" borderId="107" xfId="0" applyNumberFormat="1" applyFont="1" applyFill="1" applyBorder="1" applyAlignment="1">
      <alignment horizontal="center" vertical="top"/>
    </xf>
    <xf numFmtId="49" fontId="2" fillId="7" borderId="105" xfId="0" applyNumberFormat="1" applyFont="1" applyFill="1" applyBorder="1" applyAlignment="1">
      <alignment horizontal="center" vertical="top"/>
    </xf>
    <xf numFmtId="49" fontId="2" fillId="7" borderId="27" xfId="0" applyNumberFormat="1" applyFont="1" applyFill="1" applyBorder="1" applyAlignment="1">
      <alignment horizontal="center" vertical="top"/>
    </xf>
    <xf numFmtId="3" fontId="22" fillId="7" borderId="11" xfId="0" applyNumberFormat="1" applyFont="1" applyFill="1" applyBorder="1" applyAlignment="1">
      <alignment horizontal="center" vertical="top"/>
    </xf>
    <xf numFmtId="3" fontId="22" fillId="7" borderId="48" xfId="0" applyNumberFormat="1" applyFont="1" applyFill="1" applyBorder="1" applyAlignment="1">
      <alignment horizontal="center" vertical="top"/>
    </xf>
    <xf numFmtId="3" fontId="22" fillId="7" borderId="28" xfId="0" applyNumberFormat="1" applyFont="1" applyFill="1" applyBorder="1" applyAlignment="1">
      <alignment horizontal="center" vertical="top"/>
    </xf>
    <xf numFmtId="3" fontId="22" fillId="7" borderId="0" xfId="0" applyNumberFormat="1" applyFont="1" applyFill="1" applyBorder="1" applyAlignment="1">
      <alignment horizontal="center" vertical="top"/>
    </xf>
    <xf numFmtId="165" fontId="2" fillId="0" borderId="23" xfId="0" applyNumberFormat="1" applyFont="1" applyBorder="1" applyAlignment="1">
      <alignment horizontal="center"/>
    </xf>
    <xf numFmtId="165" fontId="2" fillId="0" borderId="75" xfId="0" applyNumberFormat="1" applyFont="1" applyBorder="1" applyAlignment="1">
      <alignment horizontal="center"/>
    </xf>
    <xf numFmtId="166" fontId="2" fillId="7" borderId="23" xfId="0" applyNumberFormat="1" applyFont="1" applyFill="1" applyBorder="1" applyAlignment="1">
      <alignment horizontal="center"/>
    </xf>
    <xf numFmtId="166" fontId="2" fillId="7" borderId="28" xfId="0" applyNumberFormat="1" applyFont="1" applyFill="1" applyBorder="1" applyAlignment="1">
      <alignment horizontal="center"/>
    </xf>
    <xf numFmtId="166" fontId="2" fillId="7" borderId="75" xfId="0" applyNumberFormat="1" applyFont="1" applyFill="1" applyBorder="1" applyAlignment="1">
      <alignment horizontal="center"/>
    </xf>
    <xf numFmtId="166" fontId="3" fillId="7" borderId="73" xfId="0" applyNumberFormat="1" applyFont="1" applyFill="1" applyBorder="1" applyAlignment="1">
      <alignment horizontal="center"/>
    </xf>
    <xf numFmtId="166" fontId="3" fillId="7" borderId="10" xfId="0" applyNumberFormat="1" applyFont="1" applyFill="1" applyBorder="1" applyAlignment="1">
      <alignment horizontal="center"/>
    </xf>
    <xf numFmtId="166" fontId="23" fillId="7" borderId="48" xfId="0" applyNumberFormat="1" applyFont="1" applyFill="1" applyBorder="1" applyAlignment="1">
      <alignment horizontal="center" vertical="top"/>
    </xf>
    <xf numFmtId="3" fontId="22" fillId="7" borderId="27" xfId="0" applyNumberFormat="1" applyFont="1" applyFill="1" applyBorder="1" applyAlignment="1">
      <alignment horizontal="center" vertical="top"/>
    </xf>
    <xf numFmtId="3" fontId="6" fillId="7" borderId="11" xfId="0" applyNumberFormat="1" applyFont="1" applyFill="1" applyBorder="1" applyAlignment="1">
      <alignment horizontal="center" vertical="top" wrapText="1"/>
    </xf>
    <xf numFmtId="3" fontId="6" fillId="7" borderId="28" xfId="0" applyNumberFormat="1" applyFont="1" applyFill="1" applyBorder="1" applyAlignment="1">
      <alignment horizontal="center" vertical="top" wrapText="1"/>
    </xf>
    <xf numFmtId="3" fontId="2" fillId="7" borderId="112" xfId="0" applyNumberFormat="1" applyFont="1" applyFill="1" applyBorder="1" applyAlignment="1">
      <alignment horizontal="center" vertical="top"/>
    </xf>
    <xf numFmtId="3" fontId="2" fillId="7" borderId="108"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0" fontId="0" fillId="7" borderId="11" xfId="0" applyFill="1" applyBorder="1" applyAlignment="1">
      <alignment horizontal="left" vertical="top" wrapText="1"/>
    </xf>
    <xf numFmtId="166" fontId="3" fillId="7" borderId="48" xfId="0" applyNumberFormat="1" applyFont="1" applyFill="1" applyBorder="1" applyAlignment="1">
      <alignment horizontal="center" vertical="top"/>
    </xf>
    <xf numFmtId="166" fontId="8" fillId="7" borderId="18" xfId="0" applyNumberFormat="1" applyFont="1" applyFill="1" applyBorder="1" applyAlignment="1">
      <alignment horizontal="center" vertical="top" wrapText="1"/>
    </xf>
    <xf numFmtId="166" fontId="2" fillId="7" borderId="35" xfId="0" applyNumberFormat="1" applyFont="1" applyFill="1" applyBorder="1" applyAlignment="1">
      <alignment horizontal="left" vertical="top" wrapText="1"/>
    </xf>
    <xf numFmtId="166" fontId="3" fillId="7" borderId="28"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166" fontId="2" fillId="7" borderId="28" xfId="0" applyNumberFormat="1" applyFont="1" applyFill="1" applyBorder="1" applyAlignment="1">
      <alignment horizontal="center" vertical="center" textRotation="90" wrapText="1"/>
    </xf>
    <xf numFmtId="0" fontId="22" fillId="7" borderId="7" xfId="0" applyFont="1" applyFill="1" applyBorder="1" applyAlignment="1">
      <alignment vertical="top" wrapText="1"/>
    </xf>
    <xf numFmtId="0" fontId="22" fillId="7" borderId="29" xfId="0" applyFont="1" applyFill="1" applyBorder="1" applyAlignment="1">
      <alignment vertical="top" wrapText="1"/>
    </xf>
    <xf numFmtId="3" fontId="6" fillId="7" borderId="0" xfId="0" applyNumberFormat="1" applyFont="1" applyFill="1" applyBorder="1" applyAlignment="1">
      <alignment horizontal="center" vertical="top" wrapText="1"/>
    </xf>
    <xf numFmtId="3" fontId="6" fillId="7" borderId="21" xfId="0" applyNumberFormat="1" applyFont="1" applyFill="1" applyBorder="1" applyAlignment="1">
      <alignment horizontal="center" vertical="top" wrapText="1"/>
    </xf>
    <xf numFmtId="166" fontId="2" fillId="7" borderId="85" xfId="0" applyNumberFormat="1" applyFont="1" applyFill="1" applyBorder="1" applyAlignment="1">
      <alignment horizontal="left" vertical="top" wrapText="1"/>
    </xf>
    <xf numFmtId="0" fontId="2" fillId="7" borderId="29" xfId="0" applyFont="1" applyFill="1" applyBorder="1" applyAlignment="1">
      <alignment horizontal="left" vertical="top" wrapText="1"/>
    </xf>
    <xf numFmtId="166" fontId="2" fillId="3" borderId="11" xfId="0" applyNumberFormat="1" applyFont="1" applyFill="1" applyBorder="1" applyAlignment="1">
      <alignment horizontal="left" vertical="top" wrapText="1"/>
    </xf>
    <xf numFmtId="166" fontId="3" fillId="7" borderId="23" xfId="0" applyNumberFormat="1" applyFont="1" applyFill="1" applyBorder="1" applyAlignment="1">
      <alignment horizontal="center" vertical="top"/>
    </xf>
    <xf numFmtId="166" fontId="3" fillId="7" borderId="64" xfId="0" applyNumberFormat="1" applyFont="1" applyFill="1" applyBorder="1" applyAlignment="1">
      <alignment horizontal="center" vertical="top"/>
    </xf>
    <xf numFmtId="0" fontId="0" fillId="7" borderId="27" xfId="0" applyFont="1" applyFill="1" applyBorder="1" applyAlignment="1">
      <alignment horizontal="center" vertical="top"/>
    </xf>
    <xf numFmtId="166" fontId="2" fillId="7" borderId="114" xfId="0" applyNumberFormat="1" applyFont="1" applyFill="1" applyBorder="1" applyAlignment="1">
      <alignment horizontal="center" vertical="top"/>
    </xf>
    <xf numFmtId="166" fontId="3" fillId="7" borderId="78" xfId="0" applyNumberFormat="1" applyFont="1" applyFill="1" applyBorder="1" applyAlignment="1">
      <alignment horizontal="center" vertical="top"/>
    </xf>
    <xf numFmtId="166" fontId="11" fillId="7" borderId="11" xfId="0" applyNumberFormat="1" applyFont="1" applyFill="1" applyBorder="1" applyAlignment="1">
      <alignment horizontal="center" vertical="center" wrapText="1"/>
    </xf>
    <xf numFmtId="166" fontId="3" fillId="7" borderId="48" xfId="0" applyNumberFormat="1" applyFont="1" applyFill="1" applyBorder="1" applyAlignment="1">
      <alignment horizontal="center" vertical="top"/>
    </xf>
    <xf numFmtId="166" fontId="2" fillId="7" borderId="18" xfId="0" applyNumberFormat="1" applyFont="1" applyFill="1" applyBorder="1" applyAlignment="1">
      <alignment horizontal="center" vertical="center" wrapText="1"/>
    </xf>
    <xf numFmtId="166" fontId="8" fillId="7" borderId="18" xfId="0" applyNumberFormat="1" applyFont="1" applyFill="1" applyBorder="1" applyAlignment="1">
      <alignment horizontal="center" vertical="center" wrapText="1"/>
    </xf>
    <xf numFmtId="166" fontId="2" fillId="7" borderId="48" xfId="0" applyNumberFormat="1" applyFont="1" applyFill="1" applyBorder="1" applyAlignment="1">
      <alignment vertical="top"/>
    </xf>
    <xf numFmtId="49" fontId="27" fillId="7" borderId="28" xfId="0" applyNumberFormat="1" applyFont="1" applyFill="1" applyBorder="1" applyAlignment="1">
      <alignment horizontal="center" vertical="top"/>
    </xf>
    <xf numFmtId="166" fontId="13" fillId="7" borderId="6"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0" fontId="2" fillId="7" borderId="36" xfId="0" applyFont="1" applyFill="1" applyBorder="1" applyAlignment="1">
      <alignment horizontal="left" vertical="top" wrapText="1"/>
    </xf>
    <xf numFmtId="166" fontId="3" fillId="7" borderId="75" xfId="0" applyNumberFormat="1" applyFont="1" applyFill="1" applyBorder="1" applyAlignment="1">
      <alignment horizontal="center" vertical="top" textRotation="90" wrapText="1"/>
    </xf>
    <xf numFmtId="166" fontId="2" fillId="7" borderId="18" xfId="0" applyNumberFormat="1" applyFont="1" applyFill="1" applyBorder="1" applyAlignment="1">
      <alignment horizontal="center" vertical="top" wrapText="1"/>
    </xf>
    <xf numFmtId="166" fontId="3" fillId="2" borderId="11"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7" borderId="82" xfId="0" applyNumberFormat="1" applyFont="1" applyFill="1" applyBorder="1" applyAlignment="1">
      <alignment horizontal="left" vertical="top" wrapText="1"/>
    </xf>
    <xf numFmtId="166" fontId="3" fillId="7" borderId="0" xfId="0" applyNumberFormat="1" applyFont="1" applyFill="1" applyBorder="1" applyAlignment="1">
      <alignment horizontal="center" vertical="top" wrapText="1"/>
    </xf>
    <xf numFmtId="49" fontId="2" fillId="7" borderId="0" xfId="0" applyNumberFormat="1" applyFont="1" applyFill="1" applyBorder="1" applyAlignment="1">
      <alignment horizontal="center" vertical="top"/>
    </xf>
    <xf numFmtId="49" fontId="2" fillId="7" borderId="75" xfId="0" applyNumberFormat="1" applyFont="1" applyFill="1" applyBorder="1" applyAlignment="1">
      <alignment horizontal="center" vertical="top"/>
    </xf>
    <xf numFmtId="166" fontId="3" fillId="7" borderId="1" xfId="0" applyNumberFormat="1" applyFont="1" applyFill="1" applyBorder="1" applyAlignment="1">
      <alignment horizontal="center" vertical="top"/>
    </xf>
    <xf numFmtId="166" fontId="2" fillId="7" borderId="75" xfId="0" applyNumberFormat="1" applyFont="1" applyFill="1" applyBorder="1" applyAlignment="1">
      <alignment horizontal="center" vertical="top" wrapText="1"/>
    </xf>
    <xf numFmtId="166" fontId="3" fillId="7" borderId="39" xfId="0" applyNumberFormat="1" applyFont="1" applyFill="1" applyBorder="1" applyAlignment="1">
      <alignment horizontal="center" vertical="top"/>
    </xf>
    <xf numFmtId="3" fontId="2" fillId="7" borderId="102" xfId="0" applyNumberFormat="1" applyFont="1" applyFill="1" applyBorder="1" applyAlignment="1">
      <alignment horizontal="center" vertical="top"/>
    </xf>
    <xf numFmtId="3" fontId="2" fillId="7" borderId="107" xfId="0" applyNumberFormat="1" applyFont="1" applyFill="1" applyBorder="1" applyAlignment="1">
      <alignment horizontal="center" vertical="top"/>
    </xf>
    <xf numFmtId="3" fontId="6" fillId="7" borderId="46" xfId="0" applyNumberFormat="1" applyFont="1" applyFill="1" applyBorder="1" applyAlignment="1">
      <alignment horizontal="center" vertical="center" wrapText="1"/>
    </xf>
    <xf numFmtId="3" fontId="6" fillId="7" borderId="21" xfId="0" applyNumberFormat="1" applyFont="1" applyFill="1" applyBorder="1" applyAlignment="1">
      <alignment horizontal="center" vertical="center" wrapText="1"/>
    </xf>
    <xf numFmtId="166" fontId="3" fillId="7" borderId="10" xfId="0" applyNumberFormat="1" applyFont="1" applyFill="1" applyBorder="1" applyAlignment="1">
      <alignment horizontal="center" vertical="top"/>
    </xf>
    <xf numFmtId="166" fontId="2" fillId="7" borderId="0" xfId="0" applyNumberFormat="1" applyFont="1" applyFill="1" applyBorder="1" applyAlignment="1">
      <alignment vertical="top"/>
    </xf>
    <xf numFmtId="166" fontId="2" fillId="7" borderId="75" xfId="0" applyNumberFormat="1" applyFont="1" applyFill="1" applyBorder="1" applyAlignment="1">
      <alignment vertical="top"/>
    </xf>
    <xf numFmtId="166" fontId="3" fillId="3" borderId="53" xfId="0" applyNumberFormat="1" applyFont="1" applyFill="1" applyBorder="1" applyAlignment="1">
      <alignment horizontal="center" vertical="top"/>
    </xf>
    <xf numFmtId="3" fontId="22" fillId="7" borderId="75" xfId="0" applyNumberFormat="1" applyFont="1" applyFill="1" applyBorder="1" applyAlignment="1">
      <alignment horizontal="center" vertical="top"/>
    </xf>
    <xf numFmtId="166" fontId="8" fillId="7" borderId="9" xfId="0" applyNumberFormat="1" applyFont="1" applyFill="1" applyBorder="1" applyAlignment="1">
      <alignment vertical="top" wrapText="1"/>
    </xf>
    <xf numFmtId="166" fontId="3" fillId="3" borderId="48" xfId="0" applyNumberFormat="1" applyFont="1" applyFill="1" applyBorder="1" applyAlignment="1">
      <alignment horizontal="center" vertical="top" wrapText="1"/>
    </xf>
    <xf numFmtId="166" fontId="2" fillId="7" borderId="29" xfId="0" applyNumberFormat="1" applyFont="1" applyFill="1" applyBorder="1" applyAlignment="1">
      <alignment horizontal="left" vertical="top" wrapText="1"/>
    </xf>
    <xf numFmtId="0" fontId="2" fillId="7" borderId="32" xfId="0" applyFont="1" applyFill="1" applyBorder="1" applyAlignment="1">
      <alignment vertical="top"/>
    </xf>
    <xf numFmtId="0" fontId="21" fillId="0" borderId="0" xfId="0" applyFont="1" applyFill="1"/>
    <xf numFmtId="165" fontId="2" fillId="7" borderId="0" xfId="0" applyNumberFormat="1" applyFont="1" applyFill="1" applyBorder="1" applyAlignment="1">
      <alignment horizontal="center" vertical="top"/>
    </xf>
    <xf numFmtId="165" fontId="2" fillId="7" borderId="6" xfId="0" applyNumberFormat="1" applyFont="1" applyFill="1" applyBorder="1" applyAlignment="1">
      <alignment horizontal="center" vertical="top"/>
    </xf>
    <xf numFmtId="49" fontId="2" fillId="7" borderId="81" xfId="0" applyNumberFormat="1" applyFont="1" applyFill="1" applyBorder="1" applyAlignment="1">
      <alignment horizontal="center" vertical="top"/>
    </xf>
    <xf numFmtId="166" fontId="7" fillId="3" borderId="48" xfId="0" applyNumberFormat="1" applyFont="1" applyFill="1" applyBorder="1" applyAlignment="1">
      <alignment horizontal="left" vertical="top" wrapText="1"/>
    </xf>
    <xf numFmtId="3" fontId="2" fillId="7" borderId="41" xfId="0" applyNumberFormat="1" applyFont="1" applyFill="1" applyBorder="1" applyAlignment="1">
      <alignment horizontal="center" vertical="top" wrapText="1"/>
    </xf>
    <xf numFmtId="3" fontId="2" fillId="7" borderId="26" xfId="0" applyNumberFormat="1" applyFont="1" applyFill="1" applyBorder="1" applyAlignment="1">
      <alignment horizontal="center" vertical="top" wrapText="1"/>
    </xf>
    <xf numFmtId="166" fontId="2" fillId="0" borderId="28" xfId="0" applyNumberFormat="1" applyFont="1" applyFill="1" applyBorder="1" applyAlignment="1">
      <alignment horizontal="center" vertical="top"/>
    </xf>
    <xf numFmtId="0" fontId="0" fillId="0" borderId="48" xfId="0" applyBorder="1" applyAlignment="1">
      <alignment vertical="top" wrapText="1"/>
    </xf>
    <xf numFmtId="49" fontId="2" fillId="0" borderId="46" xfId="0" applyNumberFormat="1" applyFont="1" applyFill="1" applyBorder="1" applyAlignment="1">
      <alignment horizontal="center" vertical="top"/>
    </xf>
    <xf numFmtId="49" fontId="2" fillId="0" borderId="90" xfId="0" applyNumberFormat="1" applyFont="1" applyFill="1" applyBorder="1" applyAlignment="1">
      <alignment horizontal="center" vertical="top"/>
    </xf>
    <xf numFmtId="3" fontId="2" fillId="0" borderId="90" xfId="0" applyNumberFormat="1" applyFont="1" applyFill="1" applyBorder="1" applyAlignment="1">
      <alignment horizontal="center" vertical="top"/>
    </xf>
    <xf numFmtId="166" fontId="2" fillId="7" borderId="31" xfId="0" applyNumberFormat="1" applyFont="1" applyFill="1" applyBorder="1" applyAlignment="1">
      <alignment horizontal="center" vertical="top"/>
    </xf>
    <xf numFmtId="166" fontId="13" fillId="7" borderId="34" xfId="0" applyNumberFormat="1" applyFont="1" applyFill="1" applyBorder="1" applyAlignment="1">
      <alignment horizontal="center" vertical="top"/>
    </xf>
    <xf numFmtId="166" fontId="13" fillId="7" borderId="11" xfId="0" applyNumberFormat="1" applyFont="1" applyFill="1" applyBorder="1" applyAlignment="1">
      <alignment horizontal="center" vertical="top"/>
    </xf>
    <xf numFmtId="166" fontId="2" fillId="7" borderId="18" xfId="0" applyNumberFormat="1" applyFont="1" applyFill="1" applyBorder="1" applyAlignment="1">
      <alignment vertical="top"/>
    </xf>
    <xf numFmtId="0" fontId="2" fillId="10" borderId="23" xfId="0" applyFont="1" applyFill="1" applyBorder="1" applyAlignment="1">
      <alignment horizontal="center" vertical="center"/>
    </xf>
    <xf numFmtId="166" fontId="2" fillId="10" borderId="6" xfId="0" applyNumberFormat="1" applyFont="1" applyFill="1" applyBorder="1" applyAlignment="1">
      <alignment horizontal="center" vertical="center"/>
    </xf>
    <xf numFmtId="0" fontId="2" fillId="10" borderId="64" xfId="0" applyFont="1" applyFill="1" applyBorder="1" applyAlignment="1">
      <alignment horizontal="center" vertical="center" wrapText="1"/>
    </xf>
    <xf numFmtId="166" fontId="15" fillId="7" borderId="28" xfId="0" applyNumberFormat="1" applyFont="1" applyFill="1" applyBorder="1" applyAlignment="1">
      <alignment horizontal="center" vertical="center" wrapText="1"/>
    </xf>
    <xf numFmtId="3" fontId="2" fillId="3" borderId="20"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top"/>
    </xf>
    <xf numFmtId="166" fontId="2" fillId="7" borderId="48" xfId="0" applyNumberFormat="1" applyFont="1" applyFill="1" applyBorder="1" applyAlignment="1">
      <alignment vertical="top" wrapText="1"/>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49" fontId="3" fillId="8" borderId="11"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3" fillId="7" borderId="4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7" xfId="0" applyNumberFormat="1" applyFont="1" applyFill="1" applyBorder="1" applyAlignment="1">
      <alignment vertical="top" wrapText="1"/>
    </xf>
    <xf numFmtId="49" fontId="3" fillId="7" borderId="25" xfId="0" applyNumberFormat="1" applyFont="1" applyFill="1" applyBorder="1" applyAlignment="1">
      <alignment horizontal="center" vertical="top"/>
    </xf>
    <xf numFmtId="49" fontId="3" fillId="9" borderId="5"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3" fillId="2" borderId="48" xfId="0" applyNumberFormat="1" applyFont="1" applyFill="1" applyBorder="1" applyAlignment="1">
      <alignment horizontal="center" vertical="top"/>
    </xf>
    <xf numFmtId="166" fontId="3" fillId="7" borderId="35" xfId="0" applyNumberFormat="1" applyFont="1" applyFill="1" applyBorder="1" applyAlignment="1">
      <alignment horizontal="center" vertical="top"/>
    </xf>
    <xf numFmtId="166" fontId="3" fillId="7" borderId="48" xfId="0" applyNumberFormat="1" applyFont="1" applyFill="1" applyBorder="1" applyAlignment="1">
      <alignment horizontal="center" vertical="top" wrapText="1"/>
    </xf>
    <xf numFmtId="166" fontId="3" fillId="9" borderId="34" xfId="0" applyNumberFormat="1" applyFont="1" applyFill="1" applyBorder="1" applyAlignment="1">
      <alignment horizontal="center" vertical="top"/>
    </xf>
    <xf numFmtId="0" fontId="0" fillId="7" borderId="18" xfId="0" applyFont="1" applyFill="1" applyBorder="1" applyAlignment="1">
      <alignment horizontal="center" vertical="top" wrapText="1"/>
    </xf>
    <xf numFmtId="3" fontId="6" fillId="7" borderId="48" xfId="0" applyNumberFormat="1" applyFont="1" applyFill="1" applyBorder="1" applyAlignment="1">
      <alignment horizontal="center" vertical="center" wrapText="1"/>
    </xf>
    <xf numFmtId="3" fontId="6" fillId="7" borderId="18" xfId="0" applyNumberFormat="1" applyFont="1" applyFill="1" applyBorder="1" applyAlignment="1">
      <alignment horizontal="center" vertical="center" wrapText="1"/>
    </xf>
    <xf numFmtId="166" fontId="3" fillId="7" borderId="18" xfId="0" applyNumberFormat="1" applyFont="1" applyFill="1" applyBorder="1" applyAlignment="1">
      <alignment horizontal="center" vertical="top"/>
    </xf>
    <xf numFmtId="3" fontId="22" fillId="7" borderId="18" xfId="0" applyNumberFormat="1" applyFont="1" applyFill="1" applyBorder="1" applyAlignment="1">
      <alignment horizontal="center" vertical="top"/>
    </xf>
    <xf numFmtId="3" fontId="2" fillId="7" borderId="26" xfId="0" applyNumberFormat="1" applyFont="1" applyFill="1" applyBorder="1" applyAlignment="1">
      <alignment horizontal="center" vertical="top"/>
    </xf>
    <xf numFmtId="49" fontId="3" fillId="7" borderId="41" xfId="0" applyNumberFormat="1" applyFont="1" applyFill="1" applyBorder="1" applyAlignment="1">
      <alignment horizontal="center" vertical="top"/>
    </xf>
    <xf numFmtId="3" fontId="6" fillId="7" borderId="18" xfId="0" applyNumberFormat="1" applyFont="1" applyFill="1" applyBorder="1" applyAlignment="1">
      <alignment horizontal="center" vertical="top"/>
    </xf>
    <xf numFmtId="0" fontId="2" fillId="7" borderId="21" xfId="0" applyFont="1" applyFill="1" applyBorder="1" applyAlignment="1">
      <alignment horizontal="right" vertical="center"/>
    </xf>
    <xf numFmtId="0" fontId="24" fillId="7" borderId="27" xfId="0" applyFont="1" applyFill="1" applyBorder="1" applyAlignment="1">
      <alignment horizontal="right" vertical="center"/>
    </xf>
    <xf numFmtId="49" fontId="3" fillId="2" borderId="25" xfId="0" applyNumberFormat="1" applyFont="1" applyFill="1" applyBorder="1" applyAlignment="1">
      <alignment horizontal="center" vertical="top"/>
    </xf>
    <xf numFmtId="49" fontId="3" fillId="8" borderId="25" xfId="0" applyNumberFormat="1" applyFont="1" applyFill="1" applyBorder="1" applyAlignment="1">
      <alignment horizontal="center" vertical="top"/>
    </xf>
    <xf numFmtId="0" fontId="0" fillId="7" borderId="26" xfId="0" applyFont="1" applyFill="1" applyBorder="1" applyAlignment="1">
      <alignment horizontal="center" vertical="top"/>
    </xf>
    <xf numFmtId="166" fontId="3" fillId="7" borderId="44" xfId="0" applyNumberFormat="1" applyFont="1" applyFill="1" applyBorder="1" applyAlignment="1">
      <alignment horizontal="center" vertical="top"/>
    </xf>
    <xf numFmtId="166" fontId="8" fillId="7" borderId="5" xfId="0" applyNumberFormat="1" applyFont="1" applyFill="1" applyBorder="1" applyAlignment="1">
      <alignment vertical="top" wrapText="1"/>
    </xf>
    <xf numFmtId="49" fontId="3" fillId="7" borderId="18"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166" fontId="2" fillId="3" borderId="34" xfId="0" applyNumberFormat="1" applyFont="1" applyFill="1" applyBorder="1" applyAlignment="1">
      <alignment horizontal="center" vertical="top"/>
    </xf>
    <xf numFmtId="166" fontId="18" fillId="7" borderId="47" xfId="0" applyNumberFormat="1" applyFont="1" applyFill="1" applyBorder="1" applyAlignment="1">
      <alignment horizontal="center" vertical="center" textRotation="90" wrapText="1"/>
    </xf>
    <xf numFmtId="166" fontId="18" fillId="7" borderId="19" xfId="0" applyNumberFormat="1" applyFont="1" applyFill="1" applyBorder="1" applyAlignment="1">
      <alignment horizontal="center" vertical="center" textRotation="90"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3" fontId="2" fillId="7" borderId="41" xfId="0" applyNumberFormat="1" applyFont="1" applyFill="1" applyBorder="1" applyAlignment="1">
      <alignment horizontal="center" vertical="top"/>
    </xf>
    <xf numFmtId="3" fontId="2" fillId="0" borderId="113" xfId="0" applyNumberFormat="1" applyFont="1" applyFill="1" applyBorder="1" applyAlignment="1">
      <alignment horizontal="center" vertical="top"/>
    </xf>
    <xf numFmtId="3" fontId="2" fillId="0" borderId="109" xfId="0" applyNumberFormat="1" applyFont="1" applyFill="1" applyBorder="1" applyAlignment="1">
      <alignment horizontal="center" vertical="top"/>
    </xf>
    <xf numFmtId="166" fontId="2" fillId="7" borderId="37" xfId="0" applyNumberFormat="1" applyFont="1" applyFill="1" applyBorder="1" applyAlignment="1">
      <alignment vertical="top" wrapText="1"/>
    </xf>
    <xf numFmtId="166" fontId="3" fillId="7" borderId="21" xfId="0" applyNumberFormat="1" applyFont="1" applyFill="1" applyBorder="1" applyAlignment="1">
      <alignment horizontal="center" vertical="top"/>
    </xf>
    <xf numFmtId="166" fontId="2" fillId="7" borderId="16" xfId="0" applyNumberFormat="1" applyFont="1" applyFill="1" applyBorder="1" applyAlignment="1">
      <alignment horizontal="left" vertical="top" wrapText="1"/>
    </xf>
    <xf numFmtId="166" fontId="2" fillId="7" borderId="22" xfId="0" applyNumberFormat="1" applyFont="1" applyFill="1" applyBorder="1" applyAlignment="1">
      <alignment horizontal="center" vertical="top"/>
    </xf>
    <xf numFmtId="166" fontId="2" fillId="7" borderId="67" xfId="0" applyNumberFormat="1" applyFont="1" applyFill="1" applyBorder="1" applyAlignment="1">
      <alignment horizontal="center" vertical="top"/>
    </xf>
    <xf numFmtId="166" fontId="2" fillId="7" borderId="1" xfId="0" applyNumberFormat="1" applyFont="1" applyFill="1" applyBorder="1" applyAlignment="1">
      <alignment horizontal="center" vertical="top"/>
    </xf>
    <xf numFmtId="3" fontId="2" fillId="0" borderId="17"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3" fillId="2" borderId="66"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0" fontId="2" fillId="7" borderId="0" xfId="0" applyFont="1" applyFill="1" applyBorder="1" applyAlignment="1">
      <alignment horizontal="center" vertical="center"/>
    </xf>
    <xf numFmtId="3" fontId="6" fillId="7" borderId="81" xfId="0" applyNumberFormat="1" applyFont="1" applyFill="1" applyBorder="1" applyAlignment="1">
      <alignment horizontal="center" vertical="top"/>
    </xf>
    <xf numFmtId="3" fontId="2" fillId="7" borderId="80" xfId="0" applyNumberFormat="1" applyFont="1" applyFill="1" applyBorder="1" applyAlignment="1">
      <alignment horizontal="center" vertical="top" wrapText="1"/>
    </xf>
    <xf numFmtId="166" fontId="1" fillId="7" borderId="20" xfId="0" applyNumberFormat="1" applyFont="1" applyFill="1" applyBorder="1" applyAlignment="1">
      <alignment horizontal="center" vertical="top" textRotation="90" wrapText="1"/>
    </xf>
    <xf numFmtId="166" fontId="3" fillId="8" borderId="52" xfId="0" applyNumberFormat="1" applyFont="1" applyFill="1" applyBorder="1" applyAlignment="1">
      <alignment horizontal="center" vertical="top"/>
    </xf>
    <xf numFmtId="3" fontId="2" fillId="0" borderId="51" xfId="0" applyNumberFormat="1" applyFont="1" applyFill="1" applyBorder="1" applyAlignment="1">
      <alignment horizontal="center" vertical="top"/>
    </xf>
    <xf numFmtId="3" fontId="2" fillId="7" borderId="104" xfId="0" applyNumberFormat="1" applyFont="1" applyFill="1" applyBorder="1" applyAlignment="1">
      <alignment horizontal="center" vertical="top" wrapText="1"/>
    </xf>
    <xf numFmtId="3" fontId="2" fillId="7" borderId="94" xfId="0" applyNumberFormat="1" applyFont="1" applyFill="1" applyBorder="1" applyAlignment="1">
      <alignment horizontal="center" vertical="top" wrapText="1"/>
    </xf>
    <xf numFmtId="3" fontId="2" fillId="7" borderId="59" xfId="0" applyNumberFormat="1" applyFont="1" applyFill="1" applyBorder="1" applyAlignment="1">
      <alignment horizontal="center" vertical="top" wrapText="1"/>
    </xf>
    <xf numFmtId="3" fontId="2" fillId="7" borderId="75" xfId="0" applyNumberFormat="1" applyFont="1" applyFill="1" applyBorder="1" applyAlignment="1">
      <alignment horizontal="center" vertical="top" wrapText="1"/>
    </xf>
    <xf numFmtId="3" fontId="22" fillId="7" borderId="59" xfId="0" applyNumberFormat="1" applyFont="1" applyFill="1" applyBorder="1" applyAlignment="1">
      <alignment horizontal="center" vertical="top"/>
    </xf>
    <xf numFmtId="3" fontId="2" fillId="0" borderId="73" xfId="0" applyNumberFormat="1" applyFont="1" applyFill="1" applyBorder="1" applyAlignment="1">
      <alignment horizontal="center" vertical="top"/>
    </xf>
    <xf numFmtId="3" fontId="2" fillId="7" borderId="51" xfId="0" applyNumberFormat="1" applyFont="1" applyFill="1" applyBorder="1" applyAlignment="1">
      <alignment horizontal="center" vertical="top" wrapText="1"/>
    </xf>
    <xf numFmtId="3" fontId="2" fillId="7" borderId="0" xfId="0" applyNumberFormat="1" applyFont="1" applyFill="1" applyBorder="1" applyAlignment="1">
      <alignment horizontal="center" vertical="top" wrapText="1"/>
    </xf>
    <xf numFmtId="3" fontId="22" fillId="7" borderId="0" xfId="1" applyNumberFormat="1" applyFont="1" applyFill="1" applyBorder="1" applyAlignment="1">
      <alignment horizontal="center" vertical="top" wrapText="1"/>
    </xf>
    <xf numFmtId="166" fontId="2" fillId="0" borderId="48" xfId="0" applyNumberFormat="1" applyFont="1" applyFill="1" applyBorder="1" applyAlignment="1">
      <alignment horizontal="center" vertical="top"/>
    </xf>
    <xf numFmtId="166" fontId="2" fillId="7" borderId="32" xfId="0" applyNumberFormat="1" applyFont="1" applyFill="1" applyBorder="1" applyAlignment="1">
      <alignment horizontal="center" vertical="top"/>
    </xf>
    <xf numFmtId="3" fontId="2" fillId="0" borderId="62" xfId="0" applyNumberFormat="1" applyFont="1" applyFill="1" applyBorder="1" applyAlignment="1">
      <alignment horizontal="center" vertical="top"/>
    </xf>
    <xf numFmtId="3" fontId="2" fillId="0" borderId="59" xfId="0" applyNumberFormat="1" applyFont="1" applyFill="1" applyBorder="1" applyAlignment="1">
      <alignment horizontal="center" vertical="top"/>
    </xf>
    <xf numFmtId="166" fontId="2" fillId="0" borderId="51" xfId="0" applyNumberFormat="1" applyFont="1" applyFill="1" applyBorder="1" applyAlignment="1">
      <alignment horizontal="center" vertical="top"/>
    </xf>
    <xf numFmtId="166" fontId="2" fillId="0" borderId="75" xfId="0" applyNumberFormat="1" applyFont="1" applyFill="1" applyBorder="1" applyAlignment="1">
      <alignment horizontal="center" vertical="top"/>
    </xf>
    <xf numFmtId="49" fontId="2" fillId="0" borderId="94" xfId="0" applyNumberFormat="1" applyFont="1" applyFill="1" applyBorder="1" applyAlignment="1">
      <alignment horizontal="center" vertical="top"/>
    </xf>
    <xf numFmtId="166" fontId="6" fillId="7" borderId="32" xfId="0" applyNumberFormat="1" applyFont="1" applyFill="1" applyBorder="1" applyAlignment="1">
      <alignment horizontal="center" vertical="top" wrapText="1"/>
    </xf>
    <xf numFmtId="0" fontId="28" fillId="0" borderId="0" xfId="0" applyFont="1" applyAlignment="1">
      <alignment horizontal="left" vertical="top" wrapText="1"/>
    </xf>
    <xf numFmtId="0" fontId="0" fillId="0" borderId="0" xfId="0" applyAlignment="1">
      <alignment horizontal="left" vertical="top"/>
    </xf>
    <xf numFmtId="0" fontId="3" fillId="0" borderId="0" xfId="0" applyFont="1" applyBorder="1" applyAlignment="1">
      <alignment horizontal="right" vertical="top"/>
    </xf>
    <xf numFmtId="3" fontId="22" fillId="0" borderId="26" xfId="0" applyNumberFormat="1" applyFont="1" applyBorder="1" applyAlignment="1">
      <alignment vertical="top"/>
    </xf>
    <xf numFmtId="0" fontId="2" fillId="0" borderId="63" xfId="0" applyFont="1" applyBorder="1" applyAlignment="1">
      <alignment horizontal="center" vertical="center" textRotation="90" wrapText="1"/>
    </xf>
    <xf numFmtId="3" fontId="22" fillId="0" borderId="31" xfId="0" applyNumberFormat="1" applyFont="1" applyBorder="1" applyAlignment="1">
      <alignment vertical="top"/>
    </xf>
    <xf numFmtId="49" fontId="2" fillId="7" borderId="96" xfId="0" applyNumberFormat="1" applyFont="1" applyFill="1" applyBorder="1" applyAlignment="1">
      <alignment horizontal="center" vertical="top"/>
    </xf>
    <xf numFmtId="3" fontId="6" fillId="7" borderId="46" xfId="0" applyNumberFormat="1" applyFont="1" applyFill="1" applyBorder="1" applyAlignment="1">
      <alignment horizontal="center" vertical="top" wrapText="1"/>
    </xf>
    <xf numFmtId="3" fontId="6" fillId="7" borderId="35" xfId="0" applyNumberFormat="1" applyFont="1" applyFill="1" applyBorder="1" applyAlignment="1">
      <alignment horizontal="center" vertical="center" wrapText="1"/>
    </xf>
    <xf numFmtId="3" fontId="2" fillId="0" borderId="26" xfId="0" applyNumberFormat="1" applyFont="1" applyFill="1" applyBorder="1" applyAlignment="1">
      <alignment horizontal="center" vertical="top"/>
    </xf>
    <xf numFmtId="3" fontId="22" fillId="7" borderId="18" xfId="1" applyNumberFormat="1" applyFont="1" applyFill="1" applyBorder="1" applyAlignment="1">
      <alignment horizontal="center" vertical="top" wrapText="1"/>
    </xf>
    <xf numFmtId="165" fontId="2" fillId="7" borderId="11" xfId="0" applyNumberFormat="1" applyFont="1" applyFill="1" applyBorder="1" applyAlignment="1">
      <alignment horizontal="center" vertical="top"/>
    </xf>
    <xf numFmtId="166" fontId="3" fillId="8" borderId="30" xfId="0" applyNumberFormat="1" applyFont="1" applyFill="1" applyBorder="1" applyAlignment="1">
      <alignment horizontal="center" vertical="top"/>
    </xf>
    <xf numFmtId="165" fontId="2" fillId="7" borderId="34" xfId="0" applyNumberFormat="1" applyFont="1" applyFill="1" applyBorder="1" applyAlignment="1">
      <alignment horizontal="center" vertical="top"/>
    </xf>
    <xf numFmtId="166" fontId="2" fillId="7" borderId="64" xfId="0" applyNumberFormat="1" applyFont="1" applyFill="1" applyBorder="1" applyAlignment="1">
      <alignment horizontal="center"/>
    </xf>
    <xf numFmtId="166" fontId="2" fillId="7" borderId="64" xfId="1" applyNumberFormat="1" applyFont="1" applyFill="1" applyBorder="1" applyAlignment="1">
      <alignment horizontal="center" vertical="top"/>
    </xf>
    <xf numFmtId="0" fontId="2" fillId="7" borderId="47" xfId="0" applyFont="1" applyFill="1" applyBorder="1" applyAlignment="1">
      <alignment horizontal="left" vertical="top" wrapText="1"/>
    </xf>
    <xf numFmtId="166" fontId="18" fillId="7" borderId="19" xfId="0" applyNumberFormat="1" applyFont="1" applyFill="1" applyBorder="1" applyAlignment="1">
      <alignment vertical="top" wrapText="1"/>
    </xf>
    <xf numFmtId="166" fontId="2" fillId="7" borderId="40" xfId="0" applyNumberFormat="1" applyFont="1" applyFill="1" applyBorder="1" applyAlignment="1">
      <alignment horizontal="left" vertical="top" wrapText="1"/>
    </xf>
    <xf numFmtId="165" fontId="2" fillId="7" borderId="43" xfId="0" applyNumberFormat="1" applyFont="1" applyFill="1" applyBorder="1" applyAlignment="1">
      <alignment horizontal="center" vertical="top"/>
    </xf>
    <xf numFmtId="166" fontId="2" fillId="7" borderId="53" xfId="0" applyNumberFormat="1" applyFont="1" applyFill="1" applyBorder="1" applyAlignment="1">
      <alignment horizontal="center"/>
    </xf>
    <xf numFmtId="3" fontId="2" fillId="7" borderId="113" xfId="0" applyNumberFormat="1" applyFont="1" applyFill="1" applyBorder="1" applyAlignment="1">
      <alignment horizontal="center" vertical="top"/>
    </xf>
    <xf numFmtId="0" fontId="2" fillId="7" borderId="46" xfId="0" applyFont="1" applyFill="1" applyBorder="1" applyAlignment="1">
      <alignment horizontal="right" vertical="center"/>
    </xf>
    <xf numFmtId="0" fontId="24" fillId="7" borderId="35" xfId="0" applyFont="1" applyFill="1" applyBorder="1" applyAlignment="1">
      <alignment horizontal="right" vertical="center"/>
    </xf>
    <xf numFmtId="3" fontId="6" fillId="7" borderId="48" xfId="0" applyNumberFormat="1" applyFont="1" applyFill="1" applyBorder="1" applyAlignment="1">
      <alignment horizontal="center" vertical="top"/>
    </xf>
    <xf numFmtId="166" fontId="3" fillId="2" borderId="72" xfId="0" applyNumberFormat="1" applyFont="1" applyFill="1" applyBorder="1" applyAlignment="1">
      <alignment horizontal="center" vertical="top"/>
    </xf>
    <xf numFmtId="166" fontId="2" fillId="7" borderId="40" xfId="0" applyNumberFormat="1" applyFont="1" applyFill="1" applyBorder="1" applyAlignment="1">
      <alignment horizontal="center" vertical="top"/>
    </xf>
    <xf numFmtId="166" fontId="3" fillId="8" borderId="43" xfId="0" applyNumberFormat="1" applyFont="1" applyFill="1" applyBorder="1" applyAlignment="1">
      <alignment horizontal="center" vertical="top"/>
    </xf>
    <xf numFmtId="166" fontId="3" fillId="5" borderId="55" xfId="0" applyNumberFormat="1" applyFont="1" applyFill="1" applyBorder="1" applyAlignment="1">
      <alignment horizontal="center" vertical="top"/>
    </xf>
    <xf numFmtId="166" fontId="3" fillId="9" borderId="30" xfId="0" applyNumberFormat="1" applyFont="1" applyFill="1" applyBorder="1" applyAlignment="1">
      <alignment horizontal="center" vertical="top"/>
    </xf>
    <xf numFmtId="166" fontId="3" fillId="5" borderId="4" xfId="0" applyNumberFormat="1" applyFont="1" applyFill="1" applyBorder="1" applyAlignment="1">
      <alignment horizontal="center" vertical="top"/>
    </xf>
    <xf numFmtId="166" fontId="6" fillId="7" borderId="31" xfId="0" applyNumberFormat="1" applyFont="1" applyFill="1" applyBorder="1" applyAlignment="1">
      <alignment horizontal="center" vertical="top" wrapText="1"/>
    </xf>
    <xf numFmtId="166" fontId="3" fillId="8" borderId="1" xfId="0" applyNumberFormat="1" applyFont="1" applyFill="1" applyBorder="1" applyAlignment="1">
      <alignment horizontal="center" vertical="top" wrapText="1"/>
    </xf>
    <xf numFmtId="166" fontId="13" fillId="7" borderId="28" xfId="0" applyNumberFormat="1" applyFont="1" applyFill="1" applyBorder="1" applyAlignment="1">
      <alignment horizontal="center" vertical="top"/>
    </xf>
    <xf numFmtId="166" fontId="13" fillId="7" borderId="75" xfId="0" applyNumberFormat="1" applyFont="1" applyFill="1" applyBorder="1" applyAlignment="1">
      <alignment horizontal="center" vertical="top"/>
    </xf>
    <xf numFmtId="0" fontId="2" fillId="0" borderId="0" xfId="0" applyFont="1" applyFill="1" applyAlignment="1">
      <alignment horizontal="center" vertical="top"/>
    </xf>
    <xf numFmtId="3" fontId="2" fillId="0" borderId="0" xfId="0" applyNumberFormat="1" applyFont="1" applyFill="1" applyAlignment="1">
      <alignment vertical="top"/>
    </xf>
    <xf numFmtId="166" fontId="2" fillId="7" borderId="42" xfId="0" applyNumberFormat="1" applyFont="1" applyFill="1" applyBorder="1" applyAlignment="1">
      <alignment horizontal="center" vertical="top"/>
    </xf>
    <xf numFmtId="166" fontId="3" fillId="7" borderId="48" xfId="0" applyNumberFormat="1" applyFont="1" applyFill="1" applyBorder="1" applyAlignment="1">
      <alignment horizontal="center" vertical="top" wrapText="1"/>
    </xf>
    <xf numFmtId="3" fontId="2" fillId="7" borderId="80" xfId="0" applyNumberFormat="1" applyFont="1" applyFill="1" applyBorder="1" applyAlignment="1">
      <alignment horizontal="center" vertical="top"/>
    </xf>
    <xf numFmtId="0" fontId="2" fillId="0" borderId="0" xfId="0" applyFont="1" applyFill="1" applyBorder="1" applyAlignment="1">
      <alignment vertical="top"/>
    </xf>
    <xf numFmtId="0" fontId="24" fillId="7" borderId="18" xfId="0" applyFont="1" applyFill="1" applyBorder="1" applyAlignment="1">
      <alignment horizontal="right" vertical="center"/>
    </xf>
    <xf numFmtId="166" fontId="13" fillId="7" borderId="43" xfId="0" applyNumberFormat="1" applyFont="1" applyFill="1" applyBorder="1" applyAlignment="1">
      <alignment horizontal="center" vertical="top"/>
    </xf>
    <xf numFmtId="166" fontId="13" fillId="7" borderId="20" xfId="0" applyNumberFormat="1" applyFont="1" applyFill="1" applyBorder="1" applyAlignment="1">
      <alignment horizontal="center" vertical="top"/>
    </xf>
    <xf numFmtId="166" fontId="13" fillId="7" borderId="38" xfId="0" applyNumberFormat="1" applyFont="1" applyFill="1" applyBorder="1" applyAlignment="1">
      <alignment horizontal="center" vertical="top"/>
    </xf>
    <xf numFmtId="166" fontId="13" fillId="7" borderId="53" xfId="0" applyNumberFormat="1" applyFont="1" applyFill="1" applyBorder="1" applyAlignment="1">
      <alignment horizontal="center" vertical="top"/>
    </xf>
    <xf numFmtId="166" fontId="15" fillId="7" borderId="11" xfId="0" applyNumberFormat="1" applyFont="1" applyFill="1" applyBorder="1" applyAlignment="1">
      <alignment horizontal="center" vertical="center" wrapText="1"/>
    </xf>
    <xf numFmtId="166" fontId="13" fillId="7" borderId="49" xfId="0" applyNumberFormat="1" applyFont="1" applyFill="1" applyBorder="1" applyAlignment="1">
      <alignment horizontal="center" vertical="top"/>
    </xf>
    <xf numFmtId="166" fontId="2" fillId="7" borderId="20" xfId="0" applyNumberFormat="1" applyFont="1" applyFill="1" applyBorder="1" applyAlignment="1">
      <alignment horizontal="center" vertical="top" wrapText="1"/>
    </xf>
    <xf numFmtId="166" fontId="2" fillId="7" borderId="38" xfId="0" applyNumberFormat="1" applyFont="1" applyFill="1" applyBorder="1" applyAlignment="1">
      <alignment horizontal="center" vertical="top" wrapText="1"/>
    </xf>
    <xf numFmtId="166" fontId="2" fillId="7" borderId="75" xfId="0" applyNumberFormat="1" applyFont="1" applyFill="1" applyBorder="1" applyAlignment="1">
      <alignment horizontal="right" vertical="top" wrapText="1"/>
    </xf>
    <xf numFmtId="166" fontId="2" fillId="7" borderId="28" xfId="0" applyNumberFormat="1" applyFont="1" applyFill="1" applyBorder="1" applyAlignment="1">
      <alignment horizontal="right" vertical="top" wrapText="1"/>
    </xf>
    <xf numFmtId="166" fontId="2" fillId="7" borderId="64" xfId="0" applyNumberFormat="1" applyFont="1" applyFill="1" applyBorder="1" applyAlignment="1">
      <alignment horizontal="right" vertical="top" wrapText="1"/>
    </xf>
    <xf numFmtId="166" fontId="2" fillId="7" borderId="53" xfId="0" applyNumberFormat="1" applyFont="1" applyFill="1" applyBorder="1" applyAlignment="1">
      <alignment horizontal="right" vertical="top" wrapText="1"/>
    </xf>
    <xf numFmtId="166" fontId="2" fillId="7" borderId="17" xfId="0" applyNumberFormat="1" applyFont="1" applyFill="1" applyBorder="1" applyAlignment="1">
      <alignment horizontal="center" vertical="top"/>
    </xf>
    <xf numFmtId="0" fontId="0" fillId="0" borderId="0" xfId="0" applyFill="1" applyAlignment="1">
      <alignment horizontal="left" vertical="top" wrapText="1"/>
    </xf>
    <xf numFmtId="3" fontId="2" fillId="0" borderId="0" xfId="0" applyNumberFormat="1" applyFont="1" applyFill="1" applyBorder="1" applyAlignment="1">
      <alignment vertical="top"/>
    </xf>
    <xf numFmtId="166" fontId="2" fillId="0" borderId="0" xfId="0" applyNumberFormat="1" applyFont="1" applyFill="1" applyAlignment="1">
      <alignment vertical="top"/>
    </xf>
    <xf numFmtId="49" fontId="3" fillId="7" borderId="11" xfId="0" applyNumberFormat="1" applyFont="1" applyFill="1" applyBorder="1" applyAlignment="1">
      <alignment horizontal="center" vertical="top"/>
    </xf>
    <xf numFmtId="166" fontId="2" fillId="2" borderId="71"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3" fontId="2" fillId="7" borderId="59"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3" fontId="2" fillId="7" borderId="21"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2" fillId="2" borderId="32" xfId="0" applyNumberFormat="1" applyFont="1" applyFill="1" applyBorder="1" applyAlignment="1">
      <alignment horizontal="center" vertical="top" wrapText="1"/>
    </xf>
    <xf numFmtId="166" fontId="18" fillId="7" borderId="18" xfId="0" applyNumberFormat="1" applyFont="1" applyFill="1" applyBorder="1" applyAlignment="1">
      <alignment horizontal="center" vertical="center" wrapText="1"/>
    </xf>
    <xf numFmtId="166" fontId="3" fillId="7" borderId="28" xfId="0" applyNumberFormat="1" applyFont="1" applyFill="1" applyBorder="1" applyAlignment="1">
      <alignment horizontal="center" vertical="top"/>
    </xf>
    <xf numFmtId="3" fontId="3" fillId="0" borderId="68" xfId="0" applyNumberFormat="1" applyFont="1" applyBorder="1" applyAlignment="1">
      <alignment horizontal="center" vertical="center" wrapText="1"/>
    </xf>
    <xf numFmtId="166" fontId="3" fillId="5" borderId="68" xfId="0" applyNumberFormat="1" applyFont="1" applyFill="1" applyBorder="1" applyAlignment="1">
      <alignment horizontal="center" vertical="top" wrapText="1"/>
    </xf>
    <xf numFmtId="166" fontId="3" fillId="8" borderId="67" xfId="0" applyNumberFormat="1" applyFont="1" applyFill="1" applyBorder="1" applyAlignment="1">
      <alignment horizontal="center" vertical="top" wrapText="1"/>
    </xf>
    <xf numFmtId="166" fontId="2" fillId="0" borderId="67" xfId="0" applyNumberFormat="1" applyFont="1" applyBorder="1" applyAlignment="1">
      <alignment horizontal="center" vertical="top" wrapText="1"/>
    </xf>
    <xf numFmtId="3" fontId="2" fillId="7" borderId="21" xfId="0" applyNumberFormat="1" applyFont="1" applyFill="1" applyBorder="1" applyAlignment="1">
      <alignment horizontal="center" vertical="top"/>
    </xf>
    <xf numFmtId="3" fontId="2" fillId="7" borderId="81" xfId="0" applyNumberFormat="1" applyFont="1" applyFill="1" applyBorder="1" applyAlignment="1">
      <alignment horizontal="center" vertical="top"/>
    </xf>
    <xf numFmtId="0" fontId="2" fillId="0" borderId="75" xfId="0" applyFont="1" applyBorder="1" applyAlignment="1">
      <alignment vertical="top"/>
    </xf>
    <xf numFmtId="3" fontId="2" fillId="0" borderId="73" xfId="0" applyNumberFormat="1" applyFont="1" applyFill="1" applyBorder="1" applyAlignment="1">
      <alignment horizontal="center" vertical="top" wrapText="1"/>
    </xf>
    <xf numFmtId="3" fontId="2" fillId="3" borderId="59" xfId="0" applyNumberFormat="1" applyFont="1" applyFill="1" applyBorder="1" applyAlignment="1">
      <alignment horizontal="center" vertical="top" wrapText="1"/>
    </xf>
    <xf numFmtId="166" fontId="2" fillId="0" borderId="73" xfId="0" applyNumberFormat="1" applyFont="1" applyBorder="1" applyAlignment="1">
      <alignment vertical="top"/>
    </xf>
    <xf numFmtId="3" fontId="2" fillId="7" borderId="51" xfId="0" applyNumberFormat="1" applyFont="1" applyFill="1" applyBorder="1" applyAlignment="1">
      <alignment horizontal="center" vertical="top"/>
    </xf>
    <xf numFmtId="3" fontId="6" fillId="7" borderId="75" xfId="0" applyNumberFormat="1" applyFont="1" applyFill="1" applyBorder="1" applyAlignment="1">
      <alignment horizontal="center" vertical="top" wrapText="1"/>
    </xf>
    <xf numFmtId="166" fontId="2" fillId="8" borderId="32" xfId="0" applyNumberFormat="1" applyFont="1" applyFill="1" applyBorder="1" applyAlignment="1">
      <alignment horizontal="center" vertical="top"/>
    </xf>
    <xf numFmtId="166" fontId="2" fillId="0" borderId="64" xfId="0" applyNumberFormat="1" applyFont="1" applyFill="1" applyBorder="1" applyAlignment="1">
      <alignment horizontal="center" vertical="top" wrapText="1"/>
    </xf>
    <xf numFmtId="166" fontId="2" fillId="0" borderId="64" xfId="0" applyNumberFormat="1" applyFont="1" applyFill="1" applyBorder="1" applyAlignment="1">
      <alignment horizontal="center" vertical="top"/>
    </xf>
    <xf numFmtId="166" fontId="2" fillId="0" borderId="64" xfId="1" applyNumberFormat="1" applyFont="1" applyFill="1" applyBorder="1" applyAlignment="1">
      <alignment horizontal="center" vertical="top" wrapText="1"/>
    </xf>
    <xf numFmtId="0" fontId="2" fillId="0" borderId="17" xfId="0" applyFont="1" applyBorder="1" applyAlignment="1">
      <alignment vertical="top"/>
    </xf>
    <xf numFmtId="3" fontId="2" fillId="0" borderId="15" xfId="0" applyNumberFormat="1" applyFont="1" applyFill="1" applyBorder="1" applyAlignment="1">
      <alignment horizontal="center" vertical="top"/>
    </xf>
    <xf numFmtId="3" fontId="22" fillId="7" borderId="21" xfId="0" applyNumberFormat="1" applyFont="1" applyFill="1" applyBorder="1" applyAlignment="1">
      <alignment horizontal="center" vertical="top"/>
    </xf>
    <xf numFmtId="3" fontId="2" fillId="3" borderId="21" xfId="0" applyNumberFormat="1" applyFont="1" applyFill="1" applyBorder="1" applyAlignment="1">
      <alignment horizontal="center" vertical="top" wrapText="1"/>
    </xf>
    <xf numFmtId="0" fontId="29" fillId="0" borderId="10" xfId="0" applyFont="1" applyBorder="1" applyAlignment="1">
      <alignment horizontal="center" vertical="center" wrapText="1"/>
    </xf>
    <xf numFmtId="166" fontId="13" fillId="7" borderId="8" xfId="0" applyNumberFormat="1" applyFont="1" applyFill="1" applyBorder="1" applyAlignment="1">
      <alignment horizontal="center" vertical="top"/>
    </xf>
    <xf numFmtId="3" fontId="2" fillId="3" borderId="11" xfId="0" applyNumberFormat="1" applyFont="1" applyFill="1" applyBorder="1" applyAlignment="1">
      <alignment horizontal="center" vertical="top" wrapText="1"/>
    </xf>
    <xf numFmtId="0" fontId="2" fillId="7" borderId="34" xfId="0" applyFont="1" applyFill="1" applyBorder="1" applyAlignment="1">
      <alignment horizontal="center" vertical="center"/>
    </xf>
    <xf numFmtId="166" fontId="13" fillId="7" borderId="23" xfId="0" applyNumberFormat="1" applyFont="1" applyFill="1" applyBorder="1" applyAlignment="1">
      <alignment horizontal="center" vertical="top"/>
    </xf>
    <xf numFmtId="3" fontId="22" fillId="7" borderId="35" xfId="0" applyNumberFormat="1" applyFont="1" applyFill="1" applyBorder="1" applyAlignment="1">
      <alignment horizontal="center" vertical="top"/>
    </xf>
    <xf numFmtId="3" fontId="2" fillId="0" borderId="48" xfId="0" applyNumberFormat="1" applyFont="1" applyFill="1" applyBorder="1" applyAlignment="1">
      <alignment horizontal="center" vertical="top"/>
    </xf>
    <xf numFmtId="166" fontId="2" fillId="0" borderId="15" xfId="0" applyNumberFormat="1" applyFont="1" applyBorder="1" applyAlignment="1">
      <alignment vertical="top"/>
    </xf>
    <xf numFmtId="166" fontId="2" fillId="0" borderId="86" xfId="0" applyNumberFormat="1" applyFont="1" applyFill="1" applyBorder="1" applyAlignment="1">
      <alignment horizontal="center" vertical="top"/>
    </xf>
    <xf numFmtId="166" fontId="2" fillId="7" borderId="52" xfId="0" applyNumberFormat="1" applyFont="1" applyFill="1" applyBorder="1" applyAlignment="1">
      <alignment vertical="top" wrapText="1"/>
    </xf>
    <xf numFmtId="3" fontId="6" fillId="7" borderId="96" xfId="0" applyNumberFormat="1" applyFont="1" applyFill="1" applyBorder="1" applyAlignment="1">
      <alignment horizontal="center" vertical="top"/>
    </xf>
    <xf numFmtId="3" fontId="6" fillId="7" borderId="27" xfId="0" applyNumberFormat="1" applyFont="1" applyFill="1" applyBorder="1" applyAlignment="1">
      <alignment horizontal="center" vertical="top" wrapText="1"/>
    </xf>
    <xf numFmtId="166" fontId="18" fillId="7" borderId="45" xfId="0" applyNumberFormat="1" applyFont="1" applyFill="1" applyBorder="1" applyAlignment="1">
      <alignment horizontal="center" vertical="center" textRotation="90" wrapText="1"/>
    </xf>
    <xf numFmtId="166" fontId="2" fillId="7" borderId="115" xfId="0" applyNumberFormat="1" applyFont="1" applyFill="1" applyBorder="1" applyAlignment="1">
      <alignment horizontal="center" vertical="top"/>
    </xf>
    <xf numFmtId="166" fontId="2" fillId="7" borderId="116" xfId="0" applyNumberFormat="1" applyFont="1" applyFill="1" applyBorder="1" applyAlignment="1">
      <alignment horizontal="center" vertical="top"/>
    </xf>
    <xf numFmtId="166" fontId="13" fillId="0" borderId="23" xfId="0" applyNumberFormat="1" applyFont="1" applyBorder="1" applyAlignment="1">
      <alignment horizontal="center" vertical="top"/>
    </xf>
    <xf numFmtId="166" fontId="2" fillId="0" borderId="26" xfId="0" applyNumberFormat="1" applyFont="1" applyFill="1" applyBorder="1" applyAlignment="1">
      <alignment horizontal="center" vertical="top"/>
    </xf>
    <xf numFmtId="49" fontId="2" fillId="0" borderId="86" xfId="0" applyNumberFormat="1" applyFont="1" applyFill="1" applyBorder="1" applyAlignment="1">
      <alignment horizontal="center" vertical="top"/>
    </xf>
    <xf numFmtId="166" fontId="2" fillId="7" borderId="23" xfId="0" applyNumberFormat="1" applyFont="1" applyFill="1" applyBorder="1" applyAlignment="1">
      <alignment horizontal="center" vertical="center"/>
    </xf>
    <xf numFmtId="166" fontId="2" fillId="7" borderId="28" xfId="0" applyNumberFormat="1" applyFont="1" applyFill="1" applyBorder="1" applyAlignment="1">
      <alignment horizontal="center" vertical="top" wrapText="1"/>
    </xf>
    <xf numFmtId="166" fontId="18" fillId="7" borderId="11" xfId="0" applyNumberFormat="1" applyFont="1" applyFill="1" applyBorder="1" applyAlignment="1">
      <alignment horizontal="center" vertical="top"/>
    </xf>
    <xf numFmtId="166" fontId="3" fillId="5" borderId="64" xfId="0" applyNumberFormat="1" applyFont="1" applyFill="1" applyBorder="1" applyAlignment="1">
      <alignment horizontal="center" vertical="top"/>
    </xf>
    <xf numFmtId="166" fontId="3" fillId="5" borderId="28" xfId="0" applyNumberFormat="1" applyFont="1" applyFill="1" applyBorder="1" applyAlignment="1">
      <alignment horizontal="center" vertical="top"/>
    </xf>
    <xf numFmtId="166" fontId="3" fillId="5" borderId="53" xfId="0" applyNumberFormat="1" applyFont="1" applyFill="1" applyBorder="1" applyAlignment="1">
      <alignment horizontal="center" vertical="top"/>
    </xf>
    <xf numFmtId="49" fontId="2" fillId="0" borderId="11" xfId="0" applyNumberFormat="1" applyFont="1" applyFill="1" applyBorder="1" applyAlignment="1">
      <alignment horizontal="center" vertical="top"/>
    </xf>
    <xf numFmtId="3" fontId="2" fillId="0" borderId="0" xfId="0" applyNumberFormat="1" applyFont="1" applyFill="1" applyBorder="1" applyAlignment="1">
      <alignment horizontal="left" vertical="top" wrapText="1"/>
    </xf>
    <xf numFmtId="3" fontId="2" fillId="7" borderId="81" xfId="0" applyNumberFormat="1" applyFont="1" applyFill="1" applyBorder="1" applyAlignment="1">
      <alignment horizontal="center" vertical="top" wrapText="1"/>
    </xf>
    <xf numFmtId="166" fontId="4" fillId="7" borderId="25"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top" wrapText="1"/>
    </xf>
    <xf numFmtId="166" fontId="4" fillId="7" borderId="30"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166" fontId="2" fillId="7" borderId="117" xfId="0" applyNumberFormat="1" applyFont="1" applyFill="1" applyBorder="1" applyAlignment="1">
      <alignment horizontal="center" vertical="top"/>
    </xf>
    <xf numFmtId="166" fontId="2" fillId="7" borderId="102" xfId="0" applyNumberFormat="1" applyFont="1" applyFill="1" applyBorder="1" applyAlignment="1">
      <alignment horizontal="center" vertical="top"/>
    </xf>
    <xf numFmtId="166" fontId="2" fillId="7" borderId="118" xfId="0" applyNumberFormat="1" applyFont="1" applyFill="1" applyBorder="1" applyAlignment="1">
      <alignment horizontal="center" vertical="top"/>
    </xf>
    <xf numFmtId="3" fontId="2" fillId="7" borderId="11" xfId="0" applyNumberFormat="1" applyFont="1" applyFill="1" applyBorder="1" applyAlignment="1">
      <alignment horizontal="center" vertical="top" wrapText="1"/>
    </xf>
    <xf numFmtId="165" fontId="2" fillId="7" borderId="20" xfId="0" applyNumberFormat="1" applyFont="1" applyFill="1" applyBorder="1" applyAlignment="1">
      <alignment horizontal="center" vertical="top"/>
    </xf>
    <xf numFmtId="3" fontId="30" fillId="7" borderId="46" xfId="0" applyNumberFormat="1" applyFont="1" applyFill="1" applyBorder="1" applyAlignment="1">
      <alignment horizontal="center" vertical="center" wrapText="1"/>
    </xf>
    <xf numFmtId="166" fontId="2" fillId="7" borderId="53" xfId="0" applyNumberFormat="1" applyFont="1" applyFill="1" applyBorder="1" applyAlignment="1">
      <alignment horizontal="center" vertical="top" wrapText="1"/>
    </xf>
    <xf numFmtId="166" fontId="3" fillId="9" borderId="7"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0" fontId="8" fillId="7" borderId="7" xfId="0" applyFont="1" applyFill="1" applyBorder="1" applyAlignment="1">
      <alignment horizontal="left" vertical="top" wrapText="1"/>
    </xf>
    <xf numFmtId="166" fontId="2" fillId="0" borderId="29" xfId="0" applyNumberFormat="1" applyFont="1" applyFill="1" applyBorder="1" applyAlignment="1">
      <alignment horizontal="left" vertical="top" wrapText="1"/>
    </xf>
    <xf numFmtId="166" fontId="2" fillId="7" borderId="20" xfId="0" applyNumberFormat="1" applyFont="1" applyFill="1" applyBorder="1" applyAlignment="1">
      <alignment horizontal="center" vertical="center" textRotation="90" wrapText="1"/>
    </xf>
    <xf numFmtId="166" fontId="2" fillId="7" borderId="11" xfId="0" applyNumberFormat="1" applyFont="1" applyFill="1" applyBorder="1" applyAlignment="1">
      <alignment horizontal="center" vertical="center" textRotation="90" wrapText="1"/>
    </xf>
    <xf numFmtId="166" fontId="2" fillId="7" borderId="45" xfId="0" applyNumberFormat="1" applyFont="1" applyFill="1" applyBorder="1" applyAlignment="1">
      <alignment vertical="top" wrapText="1"/>
    </xf>
    <xf numFmtId="166" fontId="8" fillId="7" borderId="18" xfId="0" applyNumberFormat="1" applyFont="1" applyFill="1" applyBorder="1" applyAlignment="1">
      <alignment horizontal="center" vertical="top" wrapText="1"/>
    </xf>
    <xf numFmtId="166" fontId="2" fillId="7" borderId="28" xfId="0" applyNumberFormat="1" applyFont="1" applyFill="1" applyBorder="1" applyAlignment="1">
      <alignment horizontal="center" vertical="center" textRotation="90" wrapText="1"/>
    </xf>
    <xf numFmtId="49" fontId="3" fillId="7" borderId="20" xfId="0" applyNumberFormat="1" applyFont="1" applyFill="1" applyBorder="1" applyAlignment="1">
      <alignment vertical="top"/>
    </xf>
    <xf numFmtId="0" fontId="32" fillId="7" borderId="7" xfId="0" applyFont="1" applyFill="1" applyBorder="1" applyAlignment="1">
      <alignment vertical="top" wrapText="1"/>
    </xf>
    <xf numFmtId="0" fontId="32" fillId="7" borderId="36" xfId="0" applyFont="1" applyFill="1" applyBorder="1" applyAlignment="1">
      <alignment vertical="top" wrapText="1"/>
    </xf>
    <xf numFmtId="0" fontId="2" fillId="0" borderId="47" xfId="0" applyFont="1" applyBorder="1" applyAlignment="1">
      <alignment horizontal="left" vertical="top" wrapText="1"/>
    </xf>
    <xf numFmtId="166" fontId="2" fillId="7" borderId="95" xfId="0" applyNumberFormat="1" applyFont="1" applyFill="1" applyBorder="1" applyAlignment="1">
      <alignment horizontal="center" vertical="top" wrapText="1"/>
    </xf>
    <xf numFmtId="0" fontId="8" fillId="7" borderId="18" xfId="0" applyFont="1" applyFill="1" applyBorder="1" applyAlignment="1">
      <alignment horizontal="center" wrapText="1"/>
    </xf>
    <xf numFmtId="3" fontId="2" fillId="7" borderId="46"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28" xfId="0" applyNumberFormat="1" applyFont="1" applyFill="1" applyBorder="1" applyAlignment="1">
      <alignment horizontal="center" vertical="top" wrapText="1"/>
    </xf>
    <xf numFmtId="166" fontId="3" fillId="2" borderId="48" xfId="0" applyNumberFormat="1" applyFont="1" applyFill="1" applyBorder="1" applyAlignment="1">
      <alignment horizontal="center" vertical="top"/>
    </xf>
    <xf numFmtId="0" fontId="18" fillId="7" borderId="29" xfId="0" applyFont="1" applyFill="1" applyBorder="1" applyAlignment="1">
      <alignment vertical="top" wrapText="1"/>
    </xf>
    <xf numFmtId="3" fontId="2" fillId="7" borderId="48" xfId="0" applyNumberFormat="1" applyFont="1" applyFill="1" applyBorder="1" applyAlignment="1">
      <alignment horizontal="center" vertical="top"/>
    </xf>
    <xf numFmtId="0" fontId="0" fillId="7" borderId="52" xfId="0" applyFill="1" applyBorder="1" applyAlignment="1">
      <alignment vertical="top" wrapText="1"/>
    </xf>
    <xf numFmtId="49" fontId="2" fillId="7" borderId="59" xfId="0" applyNumberFormat="1" applyFont="1" applyFill="1" applyBorder="1" applyAlignment="1">
      <alignment horizontal="center" vertical="top"/>
    </xf>
    <xf numFmtId="49" fontId="2" fillId="7" borderId="80" xfId="0" applyNumberFormat="1" applyFont="1" applyFill="1" applyBorder="1" applyAlignment="1">
      <alignment horizontal="center" vertical="top"/>
    </xf>
    <xf numFmtId="49" fontId="2" fillId="7" borderId="104" xfId="0" applyNumberFormat="1" applyFont="1" applyFill="1" applyBorder="1" applyAlignment="1">
      <alignment horizontal="center" vertical="top"/>
    </xf>
    <xf numFmtId="0" fontId="2" fillId="7" borderId="99" xfId="0" applyFont="1" applyFill="1" applyBorder="1" applyAlignment="1">
      <alignment horizontal="center" vertical="top"/>
    </xf>
    <xf numFmtId="166" fontId="18" fillId="7" borderId="93" xfId="0" applyNumberFormat="1" applyFont="1" applyFill="1" applyBorder="1" applyAlignment="1">
      <alignment vertical="top"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49" fontId="3" fillId="7" borderId="1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6" fontId="11" fillId="7" borderId="20" xfId="0" applyNumberFormat="1" applyFont="1" applyFill="1" applyBorder="1" applyAlignment="1">
      <alignment horizontal="center" vertical="center" wrapText="1"/>
    </xf>
    <xf numFmtId="166" fontId="3" fillId="7" borderId="11"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2" fillId="7" borderId="48" xfId="0" applyNumberFormat="1" applyFont="1" applyFill="1" applyBorder="1" applyAlignment="1">
      <alignment vertical="top" wrapText="1"/>
    </xf>
    <xf numFmtId="166" fontId="3" fillId="7" borderId="48" xfId="0" applyNumberFormat="1" applyFont="1" applyFill="1" applyBorder="1" applyAlignment="1">
      <alignment horizontal="center" vertical="top"/>
    </xf>
    <xf numFmtId="166" fontId="8" fillId="7" borderId="11" xfId="0" applyNumberFormat="1" applyFont="1" applyFill="1" applyBorder="1" applyAlignment="1">
      <alignment horizontal="center" vertical="center" textRotation="90" wrapText="1"/>
    </xf>
    <xf numFmtId="166" fontId="3" fillId="2" borderId="48"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2" fillId="7" borderId="18"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2" fillId="7" borderId="11" xfId="0" applyNumberFormat="1" applyFont="1" applyFill="1" applyBorder="1" applyAlignment="1">
      <alignment horizontal="left" vertical="top" wrapText="1"/>
    </xf>
    <xf numFmtId="166" fontId="2" fillId="7" borderId="46" xfId="0" applyNumberFormat="1" applyFont="1" applyFill="1" applyBorder="1" applyAlignment="1">
      <alignment vertical="top" wrapText="1"/>
    </xf>
    <xf numFmtId="166" fontId="8" fillId="7" borderId="11" xfId="0" applyNumberFormat="1" applyFont="1" applyFill="1" applyBorder="1" applyAlignment="1">
      <alignment horizontal="center" vertical="center" textRotation="90" wrapText="1"/>
    </xf>
    <xf numFmtId="3" fontId="2" fillId="7" borderId="59"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166" fontId="2" fillId="7" borderId="21" xfId="0" applyNumberFormat="1" applyFont="1" applyFill="1" applyBorder="1" applyAlignment="1">
      <alignment horizontal="center" vertical="top" wrapText="1"/>
    </xf>
    <xf numFmtId="0" fontId="26" fillId="7" borderId="77" xfId="0" applyFont="1" applyFill="1" applyBorder="1" applyAlignment="1">
      <alignment vertical="top" wrapText="1"/>
    </xf>
    <xf numFmtId="3" fontId="2" fillId="7" borderId="113" xfId="0" applyNumberFormat="1" applyFont="1" applyFill="1" applyBorder="1" applyAlignment="1">
      <alignment horizontal="center" vertical="center"/>
    </xf>
    <xf numFmtId="3" fontId="2" fillId="7" borderId="78" xfId="0" applyNumberFormat="1" applyFont="1" applyFill="1" applyBorder="1" applyAlignment="1">
      <alignment horizontal="center" vertical="center"/>
    </xf>
    <xf numFmtId="3" fontId="2" fillId="7" borderId="109" xfId="0" applyNumberFormat="1" applyFont="1" applyFill="1" applyBorder="1" applyAlignment="1">
      <alignment vertical="top"/>
    </xf>
    <xf numFmtId="166" fontId="2" fillId="7" borderId="23" xfId="0" applyNumberFormat="1" applyFont="1" applyFill="1" applyBorder="1" applyAlignment="1">
      <alignment horizontal="center" vertical="top"/>
    </xf>
    <xf numFmtId="3" fontId="2" fillId="7" borderId="28" xfId="0" applyNumberFormat="1" applyFont="1" applyFill="1" applyBorder="1" applyAlignment="1">
      <alignment horizontal="center" vertical="center"/>
    </xf>
    <xf numFmtId="3" fontId="2" fillId="7" borderId="89" xfId="0" applyNumberFormat="1" applyFont="1" applyFill="1" applyBorder="1" applyAlignment="1">
      <alignment horizontal="center" vertical="center"/>
    </xf>
    <xf numFmtId="3" fontId="2" fillId="7" borderId="27" xfId="0" applyNumberFormat="1" applyFont="1" applyFill="1" applyBorder="1" applyAlignment="1">
      <alignment vertical="top"/>
    </xf>
    <xf numFmtId="3" fontId="2" fillId="7" borderId="97" xfId="0" applyNumberFormat="1" applyFont="1" applyFill="1" applyBorder="1" applyAlignment="1">
      <alignment horizontal="center" vertical="top"/>
    </xf>
    <xf numFmtId="166" fontId="18" fillId="7" borderId="95" xfId="0" applyNumberFormat="1" applyFont="1" applyFill="1" applyBorder="1" applyAlignment="1">
      <alignment horizontal="center" vertical="top"/>
    </xf>
    <xf numFmtId="166" fontId="18" fillId="7" borderId="79" xfId="0" applyNumberFormat="1" applyFont="1" applyFill="1" applyBorder="1" applyAlignment="1">
      <alignment horizontal="center" vertical="top"/>
    </xf>
    <xf numFmtId="0" fontId="2" fillId="7" borderId="20" xfId="0" applyFont="1" applyFill="1" applyBorder="1" applyAlignment="1">
      <alignment horizontal="right" vertical="top"/>
    </xf>
    <xf numFmtId="166" fontId="2" fillId="7" borderId="0" xfId="0" applyNumberFormat="1" applyFont="1" applyFill="1" applyBorder="1" applyAlignment="1">
      <alignment vertical="top" wrapText="1"/>
    </xf>
    <xf numFmtId="3" fontId="6" fillId="0" borderId="96" xfId="0" applyNumberFormat="1" applyFont="1" applyFill="1" applyBorder="1" applyAlignment="1">
      <alignment horizontal="center" vertical="top"/>
    </xf>
    <xf numFmtId="3" fontId="6" fillId="0" borderId="81" xfId="0" applyNumberFormat="1" applyFont="1" applyFill="1" applyBorder="1" applyAlignment="1">
      <alignment horizontal="center" vertical="top"/>
    </xf>
    <xf numFmtId="166" fontId="2" fillId="7" borderId="117" xfId="0" applyNumberFormat="1" applyFont="1" applyFill="1" applyBorder="1" applyAlignment="1">
      <alignment vertical="top" wrapText="1"/>
    </xf>
    <xf numFmtId="0" fontId="2" fillId="0" borderId="80" xfId="0" applyFont="1" applyBorder="1" applyAlignment="1">
      <alignment vertical="top"/>
    </xf>
    <xf numFmtId="3" fontId="6" fillId="7" borderId="92" xfId="0" applyNumberFormat="1" applyFont="1" applyFill="1" applyBorder="1" applyAlignment="1">
      <alignment horizontal="center" vertical="top"/>
    </xf>
    <xf numFmtId="3" fontId="6" fillId="7" borderId="86" xfId="0" applyNumberFormat="1" applyFont="1" applyFill="1" applyBorder="1" applyAlignment="1">
      <alignment horizontal="center" vertical="top"/>
    </xf>
    <xf numFmtId="166" fontId="8" fillId="7" borderId="47" xfId="0" applyNumberFormat="1" applyFont="1" applyFill="1" applyBorder="1" applyAlignment="1">
      <alignment horizontal="center" vertical="center" textRotation="90" wrapText="1"/>
    </xf>
    <xf numFmtId="166" fontId="2" fillId="7" borderId="62"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7" borderId="28" xfId="0" applyNumberFormat="1" applyFont="1" applyFill="1" applyBorder="1" applyAlignment="1">
      <alignment vertical="top" wrapText="1"/>
    </xf>
    <xf numFmtId="166" fontId="2" fillId="7" borderId="7" xfId="0" applyNumberFormat="1" applyFont="1" applyFill="1" applyBorder="1" applyAlignment="1">
      <alignment horizontal="left" vertical="top" wrapText="1"/>
    </xf>
    <xf numFmtId="166" fontId="2" fillId="7" borderId="48" xfId="0" applyNumberFormat="1" applyFont="1" applyFill="1" applyBorder="1" applyAlignment="1">
      <alignment vertical="top" wrapText="1"/>
    </xf>
    <xf numFmtId="166" fontId="2" fillId="7" borderId="20" xfId="0" applyNumberFormat="1" applyFont="1" applyFill="1" applyBorder="1" applyAlignment="1">
      <alignment horizontal="center" vertical="center" textRotation="90" wrapText="1"/>
    </xf>
    <xf numFmtId="49" fontId="3" fillId="7" borderId="48"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166" fontId="2" fillId="7" borderId="36" xfId="0" applyNumberFormat="1" applyFont="1" applyFill="1" applyBorder="1" applyAlignment="1">
      <alignment horizontal="left" vertical="top" wrapText="1"/>
    </xf>
    <xf numFmtId="166" fontId="3" fillId="8" borderId="11"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2" fillId="0" borderId="18" xfId="0" applyNumberFormat="1" applyFont="1" applyBorder="1" applyAlignment="1">
      <alignment horizontal="center" vertical="top" wrapText="1"/>
    </xf>
    <xf numFmtId="3" fontId="2" fillId="7" borderId="11" xfId="0" applyNumberFormat="1" applyFont="1" applyFill="1" applyBorder="1" applyAlignment="1">
      <alignment horizontal="center" vertical="top"/>
    </xf>
    <xf numFmtId="166" fontId="8" fillId="7" borderId="27" xfId="0" applyNumberFormat="1" applyFont="1" applyFill="1" applyBorder="1" applyAlignment="1">
      <alignment vertical="top" wrapText="1"/>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166" fontId="2" fillId="7" borderId="92" xfId="0" applyNumberFormat="1" applyFont="1" applyFill="1" applyBorder="1" applyAlignment="1">
      <alignment horizontal="center" vertical="top"/>
    </xf>
    <xf numFmtId="166" fontId="2" fillId="7" borderId="86" xfId="0" applyNumberFormat="1" applyFont="1" applyFill="1" applyBorder="1" applyAlignment="1">
      <alignment horizontal="center" vertical="top"/>
    </xf>
    <xf numFmtId="3" fontId="2" fillId="0" borderId="89"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49" fontId="3" fillId="8" borderId="11" xfId="0" applyNumberFormat="1" applyFont="1" applyFill="1" applyBorder="1" applyAlignment="1">
      <alignment horizontal="center" vertical="top"/>
    </xf>
    <xf numFmtId="0" fontId="2" fillId="7" borderId="28" xfId="0" applyFont="1" applyFill="1" applyBorder="1" applyAlignment="1">
      <alignment horizontal="left" vertical="top" wrapText="1"/>
    </xf>
    <xf numFmtId="166" fontId="3" fillId="2"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7" borderId="20" xfId="0" applyNumberFormat="1" applyFont="1" applyFill="1" applyBorder="1" applyAlignment="1">
      <alignment horizontal="left" vertical="top" wrapText="1"/>
    </xf>
    <xf numFmtId="49" fontId="3" fillId="9" borderId="7"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49" fontId="3" fillId="8" borderId="11" xfId="0" applyNumberFormat="1" applyFont="1" applyFill="1" applyBorder="1" applyAlignment="1">
      <alignment horizontal="center" vertical="top"/>
    </xf>
    <xf numFmtId="0" fontId="2" fillId="7" borderId="6" xfId="0" applyFont="1" applyFill="1" applyBorder="1" applyAlignment="1">
      <alignment horizontal="center" vertical="top" wrapText="1"/>
    </xf>
    <xf numFmtId="0" fontId="2" fillId="7" borderId="23" xfId="0" applyFont="1" applyFill="1" applyBorder="1" applyAlignment="1">
      <alignment horizontal="center" vertical="top" wrapText="1"/>
    </xf>
    <xf numFmtId="49" fontId="2" fillId="7" borderId="18" xfId="0" applyNumberFormat="1" applyFont="1" applyFill="1" applyBorder="1" applyAlignment="1">
      <alignment horizontal="center" vertical="center" wrapText="1"/>
    </xf>
    <xf numFmtId="49" fontId="2" fillId="7" borderId="27" xfId="0" applyNumberFormat="1" applyFont="1" applyFill="1" applyBorder="1" applyAlignment="1">
      <alignment horizontal="center" vertical="center" wrapText="1"/>
    </xf>
    <xf numFmtId="166" fontId="2" fillId="7" borderId="103" xfId="0" applyNumberFormat="1" applyFont="1" applyFill="1" applyBorder="1" applyAlignment="1">
      <alignment horizontal="center" vertical="top" wrapText="1"/>
    </xf>
    <xf numFmtId="166" fontId="2" fillId="7" borderId="106" xfId="0" applyNumberFormat="1" applyFont="1" applyFill="1" applyBorder="1" applyAlignment="1">
      <alignment horizontal="center" vertical="top"/>
    </xf>
    <xf numFmtId="0" fontId="22" fillId="7" borderId="101" xfId="0" applyFont="1" applyFill="1" applyBorder="1" applyAlignment="1">
      <alignment vertical="top" wrapText="1"/>
    </xf>
    <xf numFmtId="0" fontId="2" fillId="7" borderId="85" xfId="0" applyFont="1" applyFill="1" applyBorder="1" applyAlignment="1">
      <alignment horizontal="left" vertical="top" wrapText="1"/>
    </xf>
    <xf numFmtId="166" fontId="2" fillId="7" borderId="28" xfId="0" applyNumberFormat="1" applyFont="1" applyFill="1" applyBorder="1" applyAlignment="1">
      <alignment vertical="top" wrapText="1"/>
    </xf>
    <xf numFmtId="166" fontId="3" fillId="7" borderId="28" xfId="0" applyNumberFormat="1" applyFont="1" applyFill="1" applyBorder="1" applyAlignment="1">
      <alignment horizontal="center" vertical="center" textRotation="90"/>
    </xf>
    <xf numFmtId="166" fontId="2" fillId="2" borderId="70" xfId="0" applyNumberFormat="1" applyFont="1" applyFill="1" applyBorder="1" applyAlignment="1">
      <alignment horizontal="center" vertical="top" wrapText="1"/>
    </xf>
    <xf numFmtId="166" fontId="8" fillId="7" borderId="18" xfId="0" applyNumberFormat="1" applyFont="1" applyFill="1" applyBorder="1" applyAlignment="1">
      <alignment horizontal="center" vertical="top" wrapText="1"/>
    </xf>
    <xf numFmtId="166" fontId="3" fillId="2" borderId="70"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20"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3" fillId="9" borderId="9"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49" fontId="3" fillId="9" borderId="5" xfId="0" applyNumberFormat="1" applyFont="1" applyFill="1" applyBorder="1" applyAlignment="1">
      <alignment horizontal="center" vertical="top"/>
    </xf>
    <xf numFmtId="49" fontId="3" fillId="2" borderId="41"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166" fontId="2" fillId="7" borderId="27" xfId="0" applyNumberFormat="1" applyFont="1" applyFill="1" applyBorder="1" applyAlignment="1">
      <alignment horizontal="center" vertical="top" wrapText="1"/>
    </xf>
    <xf numFmtId="166" fontId="3" fillId="7" borderId="35" xfId="0" applyNumberFormat="1" applyFont="1" applyFill="1" applyBorder="1" applyAlignment="1">
      <alignment horizontal="center" vertical="top"/>
    </xf>
    <xf numFmtId="49" fontId="3" fillId="8" borderId="48" xfId="0" applyNumberFormat="1" applyFont="1" applyFill="1" applyBorder="1" applyAlignment="1">
      <alignment horizontal="center" vertical="top"/>
    </xf>
    <xf numFmtId="166" fontId="8" fillId="8" borderId="59" xfId="0" applyNumberFormat="1" applyFont="1" applyFill="1" applyBorder="1" applyAlignment="1">
      <alignment vertical="top" wrapText="1"/>
    </xf>
    <xf numFmtId="166" fontId="4" fillId="7" borderId="13" xfId="0" applyNumberFormat="1" applyFont="1" applyFill="1" applyBorder="1" applyAlignment="1">
      <alignment horizontal="center" vertical="top" wrapText="1"/>
    </xf>
    <xf numFmtId="166" fontId="3" fillId="8" borderId="59" xfId="0" applyNumberFormat="1" applyFont="1" applyFill="1" applyBorder="1" applyAlignment="1">
      <alignment horizontal="center" vertical="top"/>
    </xf>
    <xf numFmtId="166" fontId="3" fillId="8" borderId="6" xfId="0" applyNumberFormat="1" applyFont="1" applyFill="1" applyBorder="1" applyAlignment="1">
      <alignment horizontal="center" vertical="top"/>
    </xf>
    <xf numFmtId="166" fontId="3" fillId="8" borderId="34" xfId="0" applyNumberFormat="1" applyFont="1" applyFill="1" applyBorder="1" applyAlignment="1">
      <alignment horizontal="center" vertical="top"/>
    </xf>
    <xf numFmtId="166" fontId="3" fillId="7" borderId="14" xfId="0" applyNumberFormat="1" applyFont="1" applyFill="1" applyBorder="1" applyAlignment="1">
      <alignment horizontal="center" vertical="top"/>
    </xf>
    <xf numFmtId="166" fontId="2" fillId="3" borderId="73" xfId="0" applyNumberFormat="1" applyFont="1" applyFill="1" applyBorder="1" applyAlignment="1">
      <alignment horizontal="center" vertical="top"/>
    </xf>
    <xf numFmtId="166" fontId="2" fillId="7" borderId="60" xfId="0" applyNumberFormat="1" applyFont="1" applyFill="1" applyBorder="1" applyAlignment="1">
      <alignment horizontal="left" vertical="top" wrapText="1"/>
    </xf>
    <xf numFmtId="49" fontId="2" fillId="7" borderId="73" xfId="0" applyNumberFormat="1" applyFont="1" applyFill="1" applyBorder="1" applyAlignment="1">
      <alignment horizontal="center" vertical="top"/>
    </xf>
    <xf numFmtId="49" fontId="2" fillId="7" borderId="14" xfId="0" applyNumberFormat="1" applyFont="1" applyFill="1" applyBorder="1" applyAlignment="1">
      <alignment horizontal="center" vertical="top"/>
    </xf>
    <xf numFmtId="49" fontId="2" fillId="7" borderId="15" xfId="0" applyNumberFormat="1" applyFont="1" applyFill="1" applyBorder="1" applyAlignment="1">
      <alignment horizontal="center" vertical="top"/>
    </xf>
    <xf numFmtId="166" fontId="3" fillId="7" borderId="13" xfId="0" applyNumberFormat="1" applyFont="1" applyFill="1" applyBorder="1" applyAlignment="1">
      <alignment vertical="top" wrapText="1"/>
    </xf>
    <xf numFmtId="3" fontId="6" fillId="8" borderId="32" xfId="0" applyNumberFormat="1" applyFont="1" applyFill="1" applyBorder="1" applyAlignment="1">
      <alignment horizontal="center" vertical="top" wrapText="1"/>
    </xf>
    <xf numFmtId="3" fontId="6" fillId="8" borderId="33" xfId="0" applyNumberFormat="1" applyFont="1" applyFill="1" applyBorder="1" applyAlignment="1">
      <alignment horizontal="center" vertical="top" wrapText="1"/>
    </xf>
    <xf numFmtId="166" fontId="11" fillId="8" borderId="0" xfId="0" applyNumberFormat="1" applyFont="1" applyFill="1" applyBorder="1" applyAlignment="1">
      <alignment horizontal="center" vertical="center" textRotation="90" wrapText="1"/>
    </xf>
    <xf numFmtId="0" fontId="2" fillId="7" borderId="80" xfId="0" applyFont="1" applyFill="1" applyBorder="1" applyAlignment="1">
      <alignment vertical="top" wrapText="1"/>
    </xf>
    <xf numFmtId="166" fontId="2" fillId="7" borderId="23"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3" borderId="28" xfId="0" applyNumberFormat="1" applyFont="1" applyFill="1" applyBorder="1" applyAlignment="1">
      <alignment horizontal="center" vertical="top" wrapText="1"/>
    </xf>
    <xf numFmtId="3" fontId="2" fillId="7" borderId="18"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166" fontId="2" fillId="7" borderId="101" xfId="0" applyNumberFormat="1" applyFont="1" applyFill="1" applyBorder="1" applyAlignment="1">
      <alignment vertical="top" wrapText="1"/>
    </xf>
    <xf numFmtId="3" fontId="2" fillId="7" borderId="21" xfId="0" applyNumberFormat="1" applyFont="1" applyFill="1" applyBorder="1" applyAlignment="1">
      <alignment horizontal="center" vertical="top"/>
    </xf>
    <xf numFmtId="166" fontId="2" fillId="7" borderId="97" xfId="0" applyNumberFormat="1" applyFont="1" applyFill="1" applyBorder="1" applyAlignment="1">
      <alignment horizontal="center" vertical="top" wrapText="1"/>
    </xf>
    <xf numFmtId="3" fontId="2" fillId="0" borderId="18"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49" fontId="2" fillId="7" borderId="106" xfId="0" applyNumberFormat="1" applyFont="1" applyFill="1" applyBorder="1" applyAlignment="1">
      <alignment horizontal="center" vertical="top"/>
    </xf>
    <xf numFmtId="49" fontId="2" fillId="0" borderId="111" xfId="0" applyNumberFormat="1" applyFont="1" applyFill="1" applyBorder="1" applyAlignment="1">
      <alignment horizontal="center" vertical="top"/>
    </xf>
    <xf numFmtId="49" fontId="2" fillId="0" borderId="97"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0" fontId="8" fillId="7" borderId="7" xfId="0" applyFont="1" applyFill="1" applyBorder="1" applyAlignment="1">
      <alignment horizontal="left" vertical="top" wrapText="1"/>
    </xf>
    <xf numFmtId="49" fontId="3" fillId="7" borderId="11" xfId="0" applyNumberFormat="1" applyFont="1" applyFill="1" applyBorder="1" applyAlignment="1">
      <alignment horizontal="center" vertical="top"/>
    </xf>
    <xf numFmtId="3" fontId="2" fillId="7" borderId="28" xfId="0" applyNumberFormat="1" applyFont="1" applyFill="1" applyBorder="1" applyAlignment="1">
      <alignment horizontal="center" vertical="top" wrapText="1"/>
    </xf>
    <xf numFmtId="3" fontId="2" fillId="7" borderId="18"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0" fontId="8" fillId="7" borderId="29" xfId="0" applyFont="1" applyFill="1" applyBorder="1" applyAlignment="1">
      <alignment horizontal="left" vertical="top" wrapText="1"/>
    </xf>
    <xf numFmtId="166" fontId="3" fillId="8" borderId="11"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49" fontId="2" fillId="0" borderId="20" xfId="0" applyNumberFormat="1" applyFont="1" applyFill="1" applyBorder="1" applyAlignment="1">
      <alignment horizontal="center" vertical="top"/>
    </xf>
    <xf numFmtId="49" fontId="2" fillId="0" borderId="21" xfId="0" applyNumberFormat="1" applyFont="1" applyFill="1" applyBorder="1" applyAlignment="1">
      <alignment horizontal="center" vertical="top"/>
    </xf>
    <xf numFmtId="49" fontId="2" fillId="0" borderId="0" xfId="0" applyNumberFormat="1" applyFont="1" applyFill="1" applyBorder="1" applyAlignment="1">
      <alignment horizontal="center" vertical="top"/>
    </xf>
    <xf numFmtId="49" fontId="2" fillId="0" borderId="18" xfId="0" applyNumberFormat="1" applyFont="1" applyFill="1" applyBorder="1" applyAlignment="1">
      <alignment horizontal="center" vertical="top"/>
    </xf>
    <xf numFmtId="0" fontId="0" fillId="7" borderId="48" xfId="0" applyFill="1" applyBorder="1" applyAlignment="1">
      <alignment vertical="top" wrapText="1"/>
    </xf>
    <xf numFmtId="49" fontId="3" fillId="7" borderId="28" xfId="0" applyNumberFormat="1" applyFont="1" applyFill="1" applyBorder="1" applyAlignment="1">
      <alignment horizontal="center" vertical="top"/>
    </xf>
    <xf numFmtId="166" fontId="3" fillId="7" borderId="28" xfId="0" applyNumberFormat="1" applyFont="1" applyFill="1" applyBorder="1" applyAlignment="1">
      <alignment horizontal="center" vertical="top" wrapText="1"/>
    </xf>
    <xf numFmtId="166" fontId="3" fillId="7" borderId="20" xfId="0" applyNumberFormat="1" applyFont="1" applyFill="1" applyBorder="1" applyAlignment="1">
      <alignment horizontal="center" vertical="top" wrapText="1"/>
    </xf>
    <xf numFmtId="0" fontId="8" fillId="7" borderId="27" xfId="0" applyFont="1" applyFill="1" applyBorder="1" applyAlignment="1">
      <alignment horizontal="center" wrapText="1"/>
    </xf>
    <xf numFmtId="166" fontId="3" fillId="7" borderId="59" xfId="0" applyNumberFormat="1" applyFont="1" applyFill="1" applyBorder="1" applyAlignment="1">
      <alignment horizontal="center" vertical="top" wrapText="1"/>
    </xf>
    <xf numFmtId="3" fontId="2" fillId="7" borderId="89" xfId="0" applyNumberFormat="1" applyFont="1" applyFill="1" applyBorder="1" applyAlignment="1">
      <alignment horizontal="center" vertical="top"/>
    </xf>
    <xf numFmtId="166" fontId="3" fillId="7" borderId="20" xfId="0" applyNumberFormat="1" applyFont="1" applyFill="1" applyBorder="1" applyAlignment="1">
      <alignment horizontal="center" vertical="top" wrapText="1"/>
    </xf>
    <xf numFmtId="3" fontId="2" fillId="7" borderId="20" xfId="0" applyNumberFormat="1" applyFont="1" applyFill="1" applyBorder="1" applyAlignment="1">
      <alignment horizontal="center" vertical="top"/>
    </xf>
    <xf numFmtId="166" fontId="2" fillId="7" borderId="36" xfId="0" applyNumberFormat="1" applyFont="1" applyFill="1" applyBorder="1" applyAlignment="1">
      <alignment horizontal="left" vertical="top" wrapText="1"/>
    </xf>
    <xf numFmtId="3" fontId="2" fillId="7" borderId="59"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49" fontId="2" fillId="0" borderId="59"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2" fillId="7" borderId="7" xfId="0" applyNumberFormat="1" applyFont="1" applyFill="1" applyBorder="1" applyAlignment="1">
      <alignment horizontal="left" vertical="top" wrapText="1"/>
    </xf>
    <xf numFmtId="49" fontId="3" fillId="9" borderId="7"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2" fillId="7" borderId="47" xfId="0" applyNumberFormat="1" applyFont="1" applyFill="1" applyBorder="1" applyAlignment="1">
      <alignment vertical="top" wrapText="1"/>
    </xf>
    <xf numFmtId="166" fontId="2" fillId="7" borderId="36" xfId="0" applyNumberFormat="1" applyFont="1" applyFill="1" applyBorder="1" applyAlignment="1">
      <alignment horizontal="left" vertical="top" wrapText="1"/>
    </xf>
    <xf numFmtId="0" fontId="2" fillId="7" borderId="36" xfId="0" applyFont="1" applyFill="1" applyBorder="1" applyAlignment="1">
      <alignment vertical="top" wrapText="1"/>
    </xf>
    <xf numFmtId="3" fontId="2"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3" fontId="2" fillId="7" borderId="59"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2" fillId="7" borderId="101" xfId="0" applyNumberFormat="1" applyFont="1" applyFill="1" applyBorder="1" applyAlignment="1">
      <alignment vertical="top" wrapText="1"/>
    </xf>
    <xf numFmtId="3" fontId="2" fillId="7" borderId="21"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3" fillId="7" borderId="35" xfId="0" applyNumberFormat="1" applyFont="1" applyFill="1" applyBorder="1" applyAlignment="1">
      <alignment horizontal="center" vertical="top"/>
    </xf>
    <xf numFmtId="49" fontId="3" fillId="8" borderId="11" xfId="0" applyNumberFormat="1" applyFont="1" applyFill="1" applyBorder="1" applyAlignment="1">
      <alignment horizontal="center" vertical="top"/>
    </xf>
    <xf numFmtId="166" fontId="2" fillId="7" borderId="8" xfId="0" applyNumberFormat="1" applyFont="1" applyFill="1" applyBorder="1" applyAlignment="1">
      <alignment horizontal="center" vertical="top" wrapText="1"/>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166" fontId="2" fillId="7" borderId="79" xfId="0" applyNumberFormat="1" applyFont="1" applyFill="1" applyBorder="1" applyAlignment="1">
      <alignment horizontal="left" vertical="top" wrapText="1"/>
    </xf>
    <xf numFmtId="3" fontId="2" fillId="7" borderId="48"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wrapText="1"/>
    </xf>
    <xf numFmtId="3" fontId="2" fillId="7" borderId="46" xfId="0" applyNumberFormat="1" applyFont="1" applyFill="1" applyBorder="1" applyAlignment="1">
      <alignment horizontal="center" vertical="top" wrapText="1"/>
    </xf>
    <xf numFmtId="166" fontId="3" fillId="9" borderId="7"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5" fontId="2" fillId="0" borderId="22" xfId="0" applyNumberFormat="1" applyFont="1" applyBorder="1" applyAlignment="1">
      <alignment horizontal="center"/>
    </xf>
    <xf numFmtId="3" fontId="2" fillId="7" borderId="102" xfId="0" applyNumberFormat="1" applyFont="1" applyFill="1" applyBorder="1" applyAlignment="1">
      <alignment horizontal="center" vertical="top" wrapText="1"/>
    </xf>
    <xf numFmtId="3" fontId="2" fillId="7" borderId="106" xfId="0" applyNumberFormat="1" applyFont="1" applyFill="1" applyBorder="1" applyAlignment="1">
      <alignment horizontal="center" vertical="top" wrapText="1"/>
    </xf>
    <xf numFmtId="3" fontId="2" fillId="7" borderId="105" xfId="0" applyNumberFormat="1" applyFont="1" applyFill="1" applyBorder="1" applyAlignment="1">
      <alignment horizontal="center" vertical="top" wrapText="1"/>
    </xf>
    <xf numFmtId="166" fontId="2" fillId="7" borderId="23" xfId="0" applyNumberFormat="1" applyFont="1" applyFill="1" applyBorder="1" applyAlignment="1">
      <alignment horizontal="right" vertical="top" wrapText="1"/>
    </xf>
    <xf numFmtId="0" fontId="8" fillId="7" borderId="18" xfId="0" applyFont="1" applyFill="1" applyBorder="1" applyAlignment="1">
      <alignment horizontal="center" vertical="top" wrapText="1"/>
    </xf>
    <xf numFmtId="0" fontId="8" fillId="0" borderId="18" xfId="0" applyFont="1" applyBorder="1" applyAlignment="1">
      <alignment horizontal="center" vertical="top" wrapText="1"/>
    </xf>
    <xf numFmtId="166" fontId="2" fillId="7" borderId="88" xfId="0" applyNumberFormat="1" applyFont="1" applyFill="1" applyBorder="1" applyAlignment="1">
      <alignment horizontal="left" vertical="top" wrapText="1"/>
    </xf>
    <xf numFmtId="3" fontId="6" fillId="7" borderId="90" xfId="0" applyNumberFormat="1" applyFont="1" applyFill="1" applyBorder="1" applyAlignment="1">
      <alignment horizontal="center" vertical="center" wrapText="1"/>
    </xf>
    <xf numFmtId="3" fontId="6" fillId="7" borderId="97" xfId="0" applyNumberFormat="1" applyFont="1" applyFill="1" applyBorder="1" applyAlignment="1">
      <alignment horizontal="center" vertical="center" wrapText="1"/>
    </xf>
    <xf numFmtId="3" fontId="2" fillId="7" borderId="106" xfId="0" applyNumberFormat="1" applyFont="1" applyFill="1" applyBorder="1" applyAlignment="1">
      <alignment horizontal="center" vertical="top"/>
    </xf>
    <xf numFmtId="166" fontId="18" fillId="7" borderId="43" xfId="0" applyNumberFormat="1" applyFont="1" applyFill="1" applyBorder="1" applyAlignment="1">
      <alignment horizontal="center" vertical="top"/>
    </xf>
    <xf numFmtId="166" fontId="2" fillId="0" borderId="22" xfId="0" applyNumberFormat="1" applyFont="1" applyBorder="1" applyAlignment="1">
      <alignment horizontal="center" vertical="top" wrapText="1"/>
    </xf>
    <xf numFmtId="166" fontId="3" fillId="8" borderId="22" xfId="0" applyNumberFormat="1" applyFont="1" applyFill="1" applyBorder="1" applyAlignment="1">
      <alignment horizontal="center" vertical="top" wrapText="1"/>
    </xf>
    <xf numFmtId="166" fontId="3" fillId="5" borderId="10" xfId="0" applyNumberFormat="1" applyFont="1" applyFill="1" applyBorder="1" applyAlignment="1">
      <alignment horizontal="center" vertical="top" wrapText="1"/>
    </xf>
    <xf numFmtId="49" fontId="3" fillId="7"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8" xfId="0" applyNumberFormat="1" applyFont="1" applyFill="1" applyBorder="1" applyAlignment="1">
      <alignment horizontal="center" vertical="top" wrapText="1"/>
    </xf>
    <xf numFmtId="166" fontId="2" fillId="7" borderId="23" xfId="0" applyNumberFormat="1" applyFont="1" applyFill="1" applyBorder="1" applyAlignment="1">
      <alignment horizontal="center" vertical="top" wrapText="1"/>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0" fontId="2" fillId="7" borderId="8" xfId="0" applyFont="1" applyFill="1" applyBorder="1" applyAlignment="1">
      <alignment horizontal="center" vertical="top"/>
    </xf>
    <xf numFmtId="0" fontId="2" fillId="7" borderId="23" xfId="0" applyFont="1" applyFill="1" applyBorder="1" applyAlignment="1">
      <alignment horizontal="center" vertical="top"/>
    </xf>
    <xf numFmtId="3" fontId="18" fillId="7" borderId="35"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2" fillId="7" borderId="48" xfId="0" applyNumberFormat="1" applyFont="1" applyFill="1" applyBorder="1" applyAlignment="1">
      <alignment vertical="top" wrapText="1"/>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2" fillId="7" borderId="18"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3" fontId="2" fillId="0" borderId="106" xfId="0" applyNumberFormat="1" applyFont="1" applyFill="1" applyBorder="1" applyAlignment="1">
      <alignment horizontal="center" vertical="top"/>
    </xf>
    <xf numFmtId="3" fontId="2" fillId="0" borderId="107" xfId="0" applyNumberFormat="1" applyFont="1" applyFill="1" applyBorder="1" applyAlignment="1">
      <alignment horizontal="center" vertical="top"/>
    </xf>
    <xf numFmtId="3" fontId="2" fillId="0" borderId="105"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3" borderId="11" xfId="0" applyNumberFormat="1" applyFont="1" applyFill="1" applyBorder="1" applyAlignment="1">
      <alignment horizontal="center" vertical="top" wrapText="1"/>
    </xf>
    <xf numFmtId="166" fontId="3" fillId="9" borderId="34"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8" fillId="7" borderId="18" xfId="0" applyNumberFormat="1" applyFont="1" applyFill="1" applyBorder="1" applyAlignment="1">
      <alignment vertical="top" wrapText="1"/>
    </xf>
    <xf numFmtId="166" fontId="3" fillId="7" borderId="35" xfId="0" applyNumberFormat="1" applyFont="1" applyFill="1" applyBorder="1" applyAlignment="1">
      <alignment horizontal="center" vertical="top"/>
    </xf>
    <xf numFmtId="49" fontId="2" fillId="7" borderId="89"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3" fontId="2" fillId="7" borderId="46"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0" borderId="0" xfId="0" applyNumberFormat="1" applyFont="1" applyAlignment="1">
      <alignment horizontal="left" vertical="top"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35" xfId="0" applyNumberFormat="1" applyFont="1" applyFill="1" applyBorder="1" applyAlignment="1">
      <alignment horizontal="left" vertical="top" wrapText="1"/>
    </xf>
    <xf numFmtId="0" fontId="2" fillId="7" borderId="101" xfId="0" applyFont="1" applyFill="1" applyBorder="1" applyAlignment="1">
      <alignment horizontal="left" vertical="top" wrapText="1"/>
    </xf>
    <xf numFmtId="166" fontId="3" fillId="9" borderId="34"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166" fontId="3" fillId="3"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166" fontId="2" fillId="7" borderId="7" xfId="0" applyNumberFormat="1" applyFont="1" applyFill="1" applyBorder="1" applyAlignment="1">
      <alignment vertical="top" wrapText="1"/>
    </xf>
    <xf numFmtId="166" fontId="2" fillId="7" borderId="48" xfId="0" applyNumberFormat="1" applyFont="1" applyFill="1" applyBorder="1" applyAlignment="1">
      <alignment vertical="top" wrapText="1"/>
    </xf>
    <xf numFmtId="166" fontId="3" fillId="7" borderId="20" xfId="0" applyNumberFormat="1" applyFont="1" applyFill="1" applyBorder="1" applyAlignment="1">
      <alignment horizontal="center" vertical="top" wrapText="1"/>
    </xf>
    <xf numFmtId="49" fontId="3" fillId="9" borderId="5"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3" fillId="7" borderId="41" xfId="0" applyNumberFormat="1" applyFont="1" applyFill="1" applyBorder="1" applyAlignment="1">
      <alignment horizontal="center" vertical="top"/>
    </xf>
    <xf numFmtId="166" fontId="8" fillId="7" borderId="11" xfId="0" applyNumberFormat="1" applyFont="1" applyFill="1" applyBorder="1" applyAlignment="1">
      <alignment horizontal="center" vertical="center" textRotation="90" wrapText="1"/>
    </xf>
    <xf numFmtId="166" fontId="2" fillId="2" borderId="70" xfId="0" applyNumberFormat="1" applyFont="1" applyFill="1" applyBorder="1" applyAlignment="1">
      <alignment horizontal="center" vertical="top" wrapText="1"/>
    </xf>
    <xf numFmtId="166" fontId="2" fillId="2" borderId="71" xfId="0" applyNumberFormat="1" applyFont="1" applyFill="1" applyBorder="1" applyAlignment="1">
      <alignment horizontal="center" vertical="top" wrapText="1"/>
    </xf>
    <xf numFmtId="49" fontId="3" fillId="7" borderId="48"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0" fontId="0" fillId="7" borderId="52" xfId="0" applyFill="1" applyBorder="1" applyAlignment="1">
      <alignment vertical="top" wrapText="1"/>
    </xf>
    <xf numFmtId="166" fontId="2" fillId="7" borderId="36" xfId="0" applyNumberFormat="1" applyFont="1" applyFill="1" applyBorder="1" applyAlignment="1">
      <alignment horizontal="left" vertical="top" wrapText="1"/>
    </xf>
    <xf numFmtId="0" fontId="2" fillId="7" borderId="36" xfId="0" applyFont="1" applyFill="1" applyBorder="1" applyAlignment="1">
      <alignment vertical="top" wrapText="1"/>
    </xf>
    <xf numFmtId="3" fontId="2" fillId="0" borderId="18" xfId="0" applyNumberFormat="1" applyFont="1" applyFill="1" applyBorder="1" applyAlignment="1">
      <alignment horizontal="center" vertical="top"/>
    </xf>
    <xf numFmtId="166" fontId="3" fillId="3" borderId="28" xfId="0" applyNumberFormat="1" applyFont="1" applyFill="1" applyBorder="1" applyAlignment="1">
      <alignment horizontal="center" vertical="top" wrapText="1"/>
    </xf>
    <xf numFmtId="166" fontId="3" fillId="3" borderId="46" xfId="0" applyNumberFormat="1" applyFont="1" applyFill="1" applyBorder="1" applyAlignment="1">
      <alignment horizontal="center" vertical="top" wrapText="1"/>
    </xf>
    <xf numFmtId="3" fontId="2"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3" fontId="2" fillId="7" borderId="59"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2" fillId="7" borderId="45" xfId="0" applyNumberFormat="1" applyFont="1" applyFill="1" applyBorder="1" applyAlignment="1">
      <alignment vertical="top" wrapText="1"/>
    </xf>
    <xf numFmtId="3" fontId="2" fillId="7" borderId="48" xfId="0" applyNumberFormat="1" applyFont="1" applyFill="1" applyBorder="1" applyAlignment="1">
      <alignment horizontal="center" vertical="top"/>
    </xf>
    <xf numFmtId="166" fontId="14" fillId="7" borderId="11" xfId="0" applyNumberFormat="1" applyFont="1" applyFill="1" applyBorder="1" applyAlignment="1">
      <alignment horizontal="center" vertical="center" textRotation="90" wrapText="1"/>
    </xf>
    <xf numFmtId="166" fontId="2" fillId="7" borderId="101" xfId="0" applyNumberFormat="1" applyFont="1" applyFill="1" applyBorder="1" applyAlignment="1">
      <alignment vertical="top" wrapText="1"/>
    </xf>
    <xf numFmtId="0" fontId="8" fillId="7" borderId="29" xfId="0" applyFont="1" applyFill="1" applyBorder="1" applyAlignment="1">
      <alignment horizontal="left" vertical="top" wrapText="1"/>
    </xf>
    <xf numFmtId="0" fontId="2" fillId="7" borderId="7" xfId="0" applyFont="1" applyFill="1" applyBorder="1" applyAlignment="1">
      <alignment vertical="top" wrapText="1"/>
    </xf>
    <xf numFmtId="166" fontId="3" fillId="7" borderId="20"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0" fontId="18" fillId="7" borderId="29" xfId="0" applyFont="1" applyFill="1" applyBorder="1" applyAlignment="1">
      <alignment vertical="top" wrapText="1"/>
    </xf>
    <xf numFmtId="166" fontId="3" fillId="7" borderId="35" xfId="0" applyNumberFormat="1" applyFont="1" applyFill="1" applyBorder="1" applyAlignment="1">
      <alignment horizontal="center" vertical="top"/>
    </xf>
    <xf numFmtId="0" fontId="2" fillId="7" borderId="36" xfId="0"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166" fontId="3" fillId="0" borderId="48" xfId="0" applyNumberFormat="1" applyFont="1" applyBorder="1" applyAlignment="1">
      <alignment horizontal="center" vertical="top"/>
    </xf>
    <xf numFmtId="166" fontId="2" fillId="2" borderId="32" xfId="0" applyNumberFormat="1" applyFont="1" applyFill="1" applyBorder="1" applyAlignment="1">
      <alignment horizontal="center" vertical="top" wrapText="1"/>
    </xf>
    <xf numFmtId="166" fontId="2" fillId="7" borderId="28" xfId="0" applyNumberFormat="1" applyFont="1" applyFill="1" applyBorder="1" applyAlignment="1">
      <alignment horizontal="center" vertical="center" textRotation="90" wrapText="1"/>
    </xf>
    <xf numFmtId="3" fontId="2" fillId="7" borderId="21" xfId="0" applyNumberFormat="1" applyFont="1" applyFill="1" applyBorder="1" applyAlignment="1">
      <alignment horizontal="center" vertical="top"/>
    </xf>
    <xf numFmtId="166" fontId="3" fillId="7" borderId="25" xfId="0" applyNumberFormat="1" applyFont="1" applyFill="1" applyBorder="1" applyAlignment="1">
      <alignment horizontal="center" vertical="top"/>
    </xf>
    <xf numFmtId="3" fontId="2" fillId="7" borderId="46" xfId="0" applyNumberFormat="1" applyFont="1" applyFill="1" applyBorder="1" applyAlignment="1">
      <alignment horizontal="center" vertical="top" wrapText="1"/>
    </xf>
    <xf numFmtId="166" fontId="2" fillId="7" borderId="79" xfId="0" applyNumberFormat="1" applyFont="1" applyFill="1" applyBorder="1" applyAlignment="1">
      <alignment horizontal="left" vertical="top" wrapText="1"/>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wrapText="1"/>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2" fillId="7" borderId="11" xfId="0" applyNumberFormat="1" applyFont="1" applyFill="1" applyBorder="1" applyAlignment="1">
      <alignment horizontal="left" vertical="top" wrapText="1"/>
    </xf>
    <xf numFmtId="166" fontId="2" fillId="7" borderId="36" xfId="0" applyNumberFormat="1" applyFont="1" applyFill="1" applyBorder="1" applyAlignment="1">
      <alignment horizontal="left" vertical="top" wrapText="1"/>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166" fontId="3" fillId="9" borderId="7" xfId="0" applyNumberFormat="1" applyFont="1" applyFill="1" applyBorder="1" applyAlignment="1">
      <alignment horizontal="center" vertical="top"/>
    </xf>
    <xf numFmtId="166" fontId="2" fillId="7" borderId="28" xfId="0" applyNumberFormat="1" applyFont="1" applyFill="1" applyBorder="1" applyAlignment="1">
      <alignment horizontal="left" vertical="top" wrapText="1"/>
    </xf>
    <xf numFmtId="49" fontId="3" fillId="7" borderId="48" xfId="0" applyNumberFormat="1" applyFont="1" applyFill="1" applyBorder="1" applyAlignment="1">
      <alignment horizontal="center" vertical="top"/>
    </xf>
    <xf numFmtId="0" fontId="0" fillId="7" borderId="28" xfId="0" applyFill="1" applyBorder="1" applyAlignment="1">
      <alignment vertical="top" wrapText="1"/>
    </xf>
    <xf numFmtId="166" fontId="2" fillId="7" borderId="46" xfId="0" applyNumberFormat="1" applyFont="1" applyFill="1" applyBorder="1" applyAlignment="1">
      <alignment vertical="top" wrapText="1"/>
    </xf>
    <xf numFmtId="166" fontId="2" fillId="7" borderId="20" xfId="0" applyNumberFormat="1" applyFont="1" applyFill="1" applyBorder="1" applyAlignment="1">
      <alignment horizontal="center" vertical="center" textRotation="90" wrapText="1"/>
    </xf>
    <xf numFmtId="166" fontId="2" fillId="7" borderId="48" xfId="0" applyNumberFormat="1" applyFont="1" applyFill="1" applyBorder="1" applyAlignment="1">
      <alignment vertical="top" wrapText="1"/>
    </xf>
    <xf numFmtId="166" fontId="2" fillId="7" borderId="7" xfId="0" applyNumberFormat="1" applyFont="1" applyFill="1" applyBorder="1" applyAlignment="1">
      <alignment horizontal="left" vertical="top" wrapText="1"/>
    </xf>
    <xf numFmtId="3" fontId="2" fillId="0" borderId="20"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8" fillId="7" borderId="29" xfId="0" applyNumberFormat="1" applyFont="1" applyFill="1" applyBorder="1" applyAlignment="1">
      <alignment vertical="top" wrapText="1"/>
    </xf>
    <xf numFmtId="166" fontId="2" fillId="7" borderId="20" xfId="0" applyNumberFormat="1" applyFont="1" applyFill="1" applyBorder="1" applyAlignment="1">
      <alignment horizontal="left" vertical="top" wrapText="1"/>
    </xf>
    <xf numFmtId="3" fontId="2" fillId="0" borderId="21"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18" xfId="0" applyNumberFormat="1" applyFont="1" applyFill="1" applyBorder="1" applyAlignment="1">
      <alignment horizontal="center" vertical="top"/>
    </xf>
    <xf numFmtId="166" fontId="3" fillId="3" borderId="11" xfId="0" applyNumberFormat="1" applyFont="1" applyFill="1" applyBorder="1" applyAlignment="1">
      <alignment horizontal="center" vertical="top" wrapText="1"/>
    </xf>
    <xf numFmtId="166" fontId="3" fillId="9" borderId="34" xfId="0" applyNumberFormat="1" applyFont="1" applyFill="1" applyBorder="1" applyAlignment="1">
      <alignment horizontal="center" vertical="top"/>
    </xf>
    <xf numFmtId="0" fontId="2" fillId="7" borderId="28" xfId="0" applyFont="1" applyFill="1" applyBorder="1" applyAlignment="1">
      <alignment horizontal="left" vertical="top" wrapText="1"/>
    </xf>
    <xf numFmtId="166" fontId="2" fillId="7" borderId="36" xfId="0" applyNumberFormat="1" applyFont="1" applyFill="1" applyBorder="1" applyAlignment="1">
      <alignment vertical="top" wrapText="1"/>
    </xf>
    <xf numFmtId="3" fontId="2" fillId="7" borderId="46"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2" fillId="7" borderId="47" xfId="0" applyNumberFormat="1" applyFont="1" applyFill="1" applyBorder="1" applyAlignment="1">
      <alignment horizontal="left" vertical="top" wrapText="1"/>
    </xf>
    <xf numFmtId="3" fontId="2" fillId="7" borderId="59" xfId="0" applyNumberFormat="1" applyFont="1" applyFill="1" applyBorder="1" applyAlignment="1">
      <alignment horizontal="center" vertical="top"/>
    </xf>
    <xf numFmtId="0" fontId="2" fillId="7" borderId="36" xfId="0" applyFont="1" applyFill="1" applyBorder="1" applyAlignment="1">
      <alignment vertical="top" wrapText="1"/>
    </xf>
    <xf numFmtId="3" fontId="2" fillId="0" borderId="18" xfId="0" applyNumberFormat="1" applyFont="1" applyFill="1" applyBorder="1" applyAlignment="1">
      <alignment horizontal="center" vertical="top"/>
    </xf>
    <xf numFmtId="166" fontId="3" fillId="7" borderId="25" xfId="0" applyNumberFormat="1" applyFont="1" applyFill="1" applyBorder="1" applyAlignment="1">
      <alignment horizontal="center" vertical="top"/>
    </xf>
    <xf numFmtId="3" fontId="2" fillId="7" borderId="46" xfId="0" applyNumberFormat="1" applyFont="1" applyFill="1" applyBorder="1" applyAlignment="1">
      <alignment horizontal="center" vertical="top" wrapText="1"/>
    </xf>
    <xf numFmtId="166" fontId="2" fillId="7" borderId="79" xfId="0" applyNumberFormat="1" applyFont="1" applyFill="1" applyBorder="1" applyAlignment="1">
      <alignment horizontal="left" vertical="top" wrapText="1"/>
    </xf>
    <xf numFmtId="166" fontId="2" fillId="7" borderId="34" xfId="0" applyNumberFormat="1" applyFont="1" applyFill="1" applyBorder="1" applyAlignment="1">
      <alignment vertical="top" wrapText="1"/>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166" fontId="2" fillId="7" borderId="28" xfId="0" applyNumberFormat="1" applyFont="1" applyFill="1" applyBorder="1" applyAlignment="1">
      <alignment horizontal="center" vertical="center" textRotation="90" wrapText="1"/>
    </xf>
    <xf numFmtId="166" fontId="2" fillId="7" borderId="29" xfId="0" applyNumberFormat="1" applyFont="1" applyFill="1" applyBorder="1" applyAlignment="1">
      <alignment horizontal="left" vertical="top" wrapText="1"/>
    </xf>
    <xf numFmtId="3" fontId="2" fillId="0" borderId="51" xfId="0" applyNumberFormat="1" applyFont="1" applyFill="1" applyBorder="1" applyAlignment="1">
      <alignment horizontal="left" vertical="top" wrapText="1"/>
    </xf>
    <xf numFmtId="0" fontId="0" fillId="0" borderId="51" xfId="0" applyFill="1" applyBorder="1" applyAlignment="1">
      <alignment horizontal="left" vertical="top" wrapText="1"/>
    </xf>
    <xf numFmtId="166" fontId="3" fillId="7" borderId="35" xfId="0" applyNumberFormat="1" applyFont="1" applyFill="1" applyBorder="1" applyAlignment="1">
      <alignment horizontal="center" vertical="top"/>
    </xf>
    <xf numFmtId="0" fontId="2" fillId="7" borderId="7" xfId="0" applyFont="1" applyFill="1" applyBorder="1" applyAlignment="1">
      <alignment vertical="top" wrapText="1"/>
    </xf>
    <xf numFmtId="3" fontId="2" fillId="7" borderId="48" xfId="0" applyNumberFormat="1" applyFont="1" applyFill="1" applyBorder="1" applyAlignment="1">
      <alignment horizontal="center" vertical="top"/>
    </xf>
    <xf numFmtId="3" fontId="2" fillId="0" borderId="104" xfId="0" applyNumberFormat="1" applyFont="1" applyFill="1" applyBorder="1" applyAlignment="1">
      <alignment horizontal="center" vertical="top"/>
    </xf>
    <xf numFmtId="3" fontId="2" fillId="0" borderId="96" xfId="0" applyNumberFormat="1" applyFont="1" applyFill="1" applyBorder="1" applyAlignment="1">
      <alignment horizontal="center" vertical="top"/>
    </xf>
    <xf numFmtId="0" fontId="2" fillId="7" borderId="28" xfId="0" applyFont="1" applyFill="1" applyBorder="1" applyAlignment="1">
      <alignment horizontal="center" vertical="top"/>
    </xf>
    <xf numFmtId="0" fontId="2" fillId="7" borderId="35" xfId="0" applyFont="1" applyFill="1" applyBorder="1" applyAlignment="1">
      <alignment horizontal="center" vertical="top"/>
    </xf>
    <xf numFmtId="0" fontId="2" fillId="0" borderId="34" xfId="0" applyFont="1" applyBorder="1" applyAlignment="1">
      <alignment vertical="top"/>
    </xf>
    <xf numFmtId="0" fontId="4" fillId="7" borderId="11" xfId="0" applyFont="1" applyFill="1" applyBorder="1" applyAlignment="1">
      <alignment horizontal="center" vertical="center" textRotation="90" wrapText="1"/>
    </xf>
    <xf numFmtId="166" fontId="7" fillId="7" borderId="48" xfId="0" applyNumberFormat="1" applyFont="1" applyFill="1" applyBorder="1" applyAlignment="1">
      <alignment horizontal="left" vertical="top" wrapText="1"/>
    </xf>
    <xf numFmtId="166" fontId="2" fillId="3" borderId="5" xfId="0" applyNumberFormat="1" applyFont="1" applyFill="1" applyBorder="1" applyAlignment="1">
      <alignment vertical="top" wrapText="1"/>
    </xf>
    <xf numFmtId="0" fontId="2" fillId="7" borderId="44" xfId="0" applyFont="1" applyFill="1" applyBorder="1" applyAlignment="1">
      <alignment horizontal="center" vertical="center"/>
    </xf>
    <xf numFmtId="166" fontId="2" fillId="7" borderId="44" xfId="0" applyNumberFormat="1" applyFont="1" applyFill="1" applyBorder="1" applyAlignment="1">
      <alignment vertical="top"/>
    </xf>
    <xf numFmtId="166" fontId="2" fillId="7" borderId="8" xfId="0" applyNumberFormat="1" applyFont="1" applyFill="1" applyBorder="1" applyAlignment="1">
      <alignment vertical="top"/>
    </xf>
    <xf numFmtId="166" fontId="2" fillId="7" borderId="7" xfId="0" applyNumberFormat="1" applyFont="1" applyFill="1" applyBorder="1" applyAlignment="1">
      <alignment vertical="top"/>
    </xf>
    <xf numFmtId="166" fontId="2" fillId="7" borderId="25" xfId="0" applyNumberFormat="1" applyFont="1" applyFill="1" applyBorder="1" applyAlignment="1">
      <alignment vertical="top"/>
    </xf>
    <xf numFmtId="166" fontId="2" fillId="7" borderId="51" xfId="0" applyNumberFormat="1" applyFont="1" applyFill="1" applyBorder="1" applyAlignment="1">
      <alignment vertical="top"/>
    </xf>
    <xf numFmtId="166" fontId="2" fillId="7" borderId="26" xfId="0" applyNumberFormat="1" applyFont="1" applyFill="1" applyBorder="1" applyAlignment="1">
      <alignment vertical="top"/>
    </xf>
    <xf numFmtId="166" fontId="2" fillId="7" borderId="27" xfId="0" applyNumberFormat="1" applyFont="1" applyFill="1" applyBorder="1" applyAlignment="1">
      <alignment vertical="top"/>
    </xf>
    <xf numFmtId="166" fontId="2" fillId="0" borderId="6" xfId="0" applyNumberFormat="1" applyFont="1" applyBorder="1" applyAlignment="1">
      <alignment horizontal="center" vertical="top"/>
    </xf>
    <xf numFmtId="166" fontId="2" fillId="0" borderId="34" xfId="0" applyNumberFormat="1" applyFont="1" applyBorder="1" applyAlignment="1">
      <alignment horizontal="center" vertical="top"/>
    </xf>
    <xf numFmtId="3" fontId="2" fillId="0" borderId="18" xfId="0" applyNumberFormat="1" applyFont="1" applyFill="1" applyBorder="1" applyAlignment="1">
      <alignment horizontal="center" vertical="top"/>
    </xf>
    <xf numFmtId="166" fontId="2" fillId="7" borderId="7" xfId="0" applyNumberFormat="1" applyFont="1" applyFill="1" applyBorder="1" applyAlignment="1">
      <alignment vertical="top" wrapText="1"/>
    </xf>
    <xf numFmtId="3" fontId="2" fillId="7" borderId="18"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3" fontId="2" fillId="7" borderId="48" xfId="0" applyNumberFormat="1" applyFont="1" applyFill="1" applyBorder="1" applyAlignment="1">
      <alignment horizontal="center" vertical="top"/>
    </xf>
    <xf numFmtId="166" fontId="2" fillId="7" borderId="79" xfId="0" applyNumberFormat="1" applyFont="1" applyFill="1" applyBorder="1" applyAlignment="1">
      <alignment horizontal="left" vertical="top" wrapText="1"/>
    </xf>
    <xf numFmtId="166" fontId="2" fillId="7" borderId="98" xfId="0" applyNumberFormat="1" applyFont="1" applyFill="1" applyBorder="1" applyAlignment="1">
      <alignment vertical="top" wrapText="1"/>
    </xf>
    <xf numFmtId="166" fontId="3" fillId="3" borderId="1" xfId="0" applyNumberFormat="1" applyFont="1" applyFill="1" applyBorder="1" applyAlignment="1">
      <alignment horizontal="center" vertical="top" wrapText="1"/>
    </xf>
    <xf numFmtId="3" fontId="2" fillId="0" borderId="27" xfId="0" applyNumberFormat="1" applyFont="1" applyFill="1" applyBorder="1" applyAlignment="1">
      <alignment horizontal="center" vertical="top" wrapText="1"/>
    </xf>
    <xf numFmtId="166" fontId="2" fillId="3" borderId="30" xfId="0" applyNumberFormat="1" applyFont="1" applyFill="1" applyBorder="1" applyAlignment="1">
      <alignment horizontal="center" vertical="top" wrapText="1"/>
    </xf>
    <xf numFmtId="166" fontId="2" fillId="3" borderId="11" xfId="0" applyNumberFormat="1" applyFont="1" applyFill="1" applyBorder="1" applyAlignment="1">
      <alignment horizontal="center" vertical="top" wrapText="1"/>
    </xf>
    <xf numFmtId="166" fontId="8" fillId="7" borderId="7" xfId="0" applyNumberFormat="1" applyFont="1" applyFill="1" applyBorder="1" applyAlignment="1">
      <alignment vertical="top" wrapText="1"/>
    </xf>
    <xf numFmtId="0" fontId="0" fillId="0" borderId="11" xfId="0" applyBorder="1" applyAlignment="1">
      <alignment wrapText="1"/>
    </xf>
    <xf numFmtId="0" fontId="0" fillId="7" borderId="11" xfId="0" applyFill="1" applyBorder="1" applyAlignment="1">
      <alignment wrapText="1"/>
    </xf>
    <xf numFmtId="0" fontId="2" fillId="7" borderId="79" xfId="0" applyFont="1" applyFill="1" applyBorder="1" applyAlignment="1">
      <alignment vertical="top" wrapText="1"/>
    </xf>
    <xf numFmtId="0" fontId="2" fillId="7" borderId="88" xfId="0" applyFont="1" applyFill="1" applyBorder="1" applyAlignment="1">
      <alignment vertical="top" wrapText="1"/>
    </xf>
    <xf numFmtId="3" fontId="2" fillId="0" borderId="97" xfId="0" applyNumberFormat="1" applyFont="1" applyFill="1" applyBorder="1" applyAlignment="1">
      <alignment horizontal="center" vertical="top"/>
    </xf>
    <xf numFmtId="49" fontId="3" fillId="7" borderId="0" xfId="0" applyNumberFormat="1" applyFont="1" applyFill="1" applyBorder="1" applyAlignment="1">
      <alignment horizontal="center" vertical="top"/>
    </xf>
    <xf numFmtId="0" fontId="8" fillId="7" borderId="30" xfId="0" applyFont="1" applyFill="1" applyBorder="1" applyAlignment="1">
      <alignment vertical="top" wrapText="1"/>
    </xf>
    <xf numFmtId="0" fontId="0" fillId="0" borderId="30" xfId="0" applyBorder="1" applyAlignment="1">
      <alignment horizontal="center" vertical="center" wrapText="1"/>
    </xf>
    <xf numFmtId="166" fontId="13" fillId="7" borderId="64" xfId="0" applyNumberFormat="1" applyFont="1" applyFill="1" applyBorder="1" applyAlignment="1">
      <alignment horizontal="center" vertical="top"/>
    </xf>
    <xf numFmtId="0" fontId="2" fillId="7" borderId="85" xfId="0" applyFont="1" applyFill="1" applyBorder="1" applyAlignment="1">
      <alignment vertical="top" wrapText="1"/>
    </xf>
    <xf numFmtId="3" fontId="2" fillId="7" borderId="11" xfId="0" applyNumberFormat="1" applyFont="1" applyFill="1" applyBorder="1" applyAlignment="1">
      <alignment horizontal="center" vertical="center"/>
    </xf>
    <xf numFmtId="3" fontId="2" fillId="7" borderId="18" xfId="0" applyNumberFormat="1" applyFont="1" applyFill="1" applyBorder="1" applyAlignment="1">
      <alignment vertical="top"/>
    </xf>
    <xf numFmtId="3" fontId="2" fillId="7" borderId="18"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0" fontId="2" fillId="7" borderId="18" xfId="0" applyNumberFormat="1" applyFont="1" applyFill="1" applyBorder="1" applyAlignment="1">
      <alignment horizontal="center" vertical="top" wrapText="1"/>
    </xf>
    <xf numFmtId="166" fontId="2" fillId="7" borderId="101" xfId="0" applyNumberFormat="1" applyFont="1" applyFill="1" applyBorder="1" applyAlignment="1">
      <alignment horizontal="left" vertical="top" wrapText="1"/>
    </xf>
    <xf numFmtId="166" fontId="2" fillId="7" borderId="11" xfId="0" applyNumberFormat="1" applyFont="1" applyFill="1" applyBorder="1" applyAlignment="1">
      <alignment horizontal="center" vertical="center" textRotation="90" wrapText="1"/>
    </xf>
    <xf numFmtId="49" fontId="3" fillId="7" borderId="48" xfId="0" applyNumberFormat="1" applyFont="1" applyFill="1" applyBorder="1" applyAlignment="1">
      <alignment horizontal="center" vertical="top"/>
    </xf>
    <xf numFmtId="166" fontId="2" fillId="7" borderId="11" xfId="0" applyNumberFormat="1" applyFont="1" applyFill="1" applyBorder="1" applyAlignment="1">
      <alignment vertical="top" wrapText="1"/>
    </xf>
    <xf numFmtId="166" fontId="2" fillId="7" borderId="28" xfId="0" applyNumberFormat="1" applyFont="1" applyFill="1" applyBorder="1" applyAlignment="1">
      <alignment vertical="top" wrapText="1"/>
    </xf>
    <xf numFmtId="49" fontId="3" fillId="7" borderId="35"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xf>
    <xf numFmtId="166" fontId="2" fillId="7" borderId="7"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166" fontId="2" fillId="7" borderId="28" xfId="0" applyNumberFormat="1" applyFont="1" applyFill="1" applyBorder="1" applyAlignment="1">
      <alignment horizontal="center" vertical="center" textRotation="90" wrapText="1"/>
    </xf>
    <xf numFmtId="166" fontId="2" fillId="0" borderId="7" xfId="0" applyNumberFormat="1" applyFont="1" applyFill="1" applyBorder="1" applyAlignment="1">
      <alignment horizontal="left" vertical="top" wrapText="1"/>
    </xf>
    <xf numFmtId="0" fontId="2" fillId="7" borderId="85" xfId="0" applyFont="1" applyFill="1" applyBorder="1" applyAlignment="1">
      <alignment vertical="top"/>
    </xf>
    <xf numFmtId="166" fontId="2" fillId="7" borderId="102" xfId="0" applyNumberFormat="1" applyFont="1" applyFill="1" applyBorder="1" applyAlignment="1">
      <alignment horizontal="center" vertical="center" textRotation="90" wrapText="1"/>
    </xf>
    <xf numFmtId="49" fontId="3" fillId="7" borderId="107" xfId="0" applyNumberFormat="1" applyFont="1" applyFill="1" applyBorder="1" applyAlignment="1">
      <alignment horizontal="center" vertical="top"/>
    </xf>
    <xf numFmtId="166" fontId="2" fillId="7" borderId="105" xfId="0" applyNumberFormat="1" applyFont="1" applyFill="1" applyBorder="1" applyAlignment="1">
      <alignment horizontal="center" vertical="top"/>
    </xf>
    <xf numFmtId="166" fontId="3" fillId="7" borderId="113" xfId="0" applyNumberFormat="1" applyFont="1" applyFill="1" applyBorder="1" applyAlignment="1">
      <alignment vertical="top"/>
    </xf>
    <xf numFmtId="166" fontId="2" fillId="7" borderId="80" xfId="0" applyNumberFormat="1" applyFont="1" applyFill="1" applyBorder="1" applyAlignment="1">
      <alignment horizontal="center" vertical="center" textRotation="90" wrapText="1"/>
    </xf>
    <xf numFmtId="49" fontId="3" fillId="7" borderId="96" xfId="0" applyNumberFormat="1" applyFont="1" applyFill="1" applyBorder="1" applyAlignment="1">
      <alignment horizontal="center" vertical="top"/>
    </xf>
    <xf numFmtId="166" fontId="2" fillId="7" borderId="78" xfId="0" applyNumberFormat="1" applyFont="1" applyFill="1" applyBorder="1" applyAlignment="1">
      <alignment horizontal="center" vertical="top"/>
    </xf>
    <xf numFmtId="166" fontId="2" fillId="7" borderId="110" xfId="0" applyNumberFormat="1" applyFont="1" applyFill="1" applyBorder="1" applyAlignment="1">
      <alignment horizontal="center" vertical="top"/>
    </xf>
    <xf numFmtId="166" fontId="2" fillId="7" borderId="109"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8" fillId="7" borderId="7" xfId="0" applyNumberFormat="1" applyFont="1" applyFill="1" applyBorder="1" applyAlignment="1">
      <alignment vertical="top" wrapText="1"/>
    </xf>
    <xf numFmtId="3" fontId="2" fillId="0" borderId="18" xfId="0" applyNumberFormat="1" applyFont="1" applyFill="1" applyBorder="1" applyAlignment="1">
      <alignment horizontal="center" vertical="top"/>
    </xf>
    <xf numFmtId="3" fontId="2" fillId="7" borderId="20" xfId="0" applyNumberFormat="1" applyFont="1" applyFill="1" applyBorder="1" applyAlignment="1">
      <alignment horizontal="center" vertical="top" wrapText="1"/>
    </xf>
    <xf numFmtId="166" fontId="2" fillId="7" borderId="48" xfId="0" applyNumberFormat="1" applyFont="1" applyFill="1" applyBorder="1" applyAlignment="1">
      <alignment vertical="top" wrapText="1"/>
    </xf>
    <xf numFmtId="166" fontId="3" fillId="9" borderId="7"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45" xfId="0" applyNumberFormat="1" applyFont="1" applyFill="1" applyBorder="1" applyAlignment="1">
      <alignment vertical="top" wrapText="1"/>
    </xf>
    <xf numFmtId="166" fontId="3" fillId="2" borderId="48" xfId="0" applyNumberFormat="1" applyFont="1" applyFill="1" applyBorder="1" applyAlignment="1">
      <alignment horizontal="center" vertical="top"/>
    </xf>
    <xf numFmtId="166" fontId="2" fillId="7" borderId="29" xfId="0" applyNumberFormat="1" applyFont="1" applyFill="1" applyBorder="1" applyAlignment="1">
      <alignment horizontal="left" vertical="top" wrapText="1"/>
    </xf>
    <xf numFmtId="166" fontId="2" fillId="7" borderId="18" xfId="0" applyNumberFormat="1" applyFont="1" applyFill="1" applyBorder="1" applyAlignment="1">
      <alignment horizontal="center" vertical="top" wrapText="1"/>
    </xf>
    <xf numFmtId="3" fontId="2" fillId="7" borderId="4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2" fillId="7" borderId="45" xfId="0" applyNumberFormat="1" applyFont="1" applyFill="1" applyBorder="1" applyAlignment="1">
      <alignment vertical="top" wrapText="1"/>
    </xf>
    <xf numFmtId="3" fontId="2" fillId="7" borderId="20" xfId="0" applyNumberFormat="1" applyFont="1" applyFill="1" applyBorder="1" applyAlignment="1">
      <alignment horizontal="center" vertical="top" wrapText="1"/>
    </xf>
    <xf numFmtId="166" fontId="2" fillId="7" borderId="101" xfId="0" applyNumberFormat="1" applyFont="1" applyFill="1" applyBorder="1" applyAlignment="1">
      <alignment horizontal="left" vertical="top" wrapText="1"/>
    </xf>
    <xf numFmtId="0" fontId="2" fillId="7" borderId="36" xfId="0" applyFont="1" applyFill="1" applyBorder="1" applyAlignment="1">
      <alignment vertical="top" wrapText="1"/>
    </xf>
    <xf numFmtId="3" fontId="2" fillId="7" borderId="11" xfId="0" applyNumberFormat="1" applyFont="1" applyFill="1" applyBorder="1" applyAlignment="1">
      <alignment horizontal="center" vertical="top" wrapText="1"/>
    </xf>
    <xf numFmtId="166" fontId="2" fillId="7" borderId="7"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166" fontId="2" fillId="7" borderId="79" xfId="0" applyNumberFormat="1" applyFont="1" applyFill="1" applyBorder="1" applyAlignment="1">
      <alignment horizontal="left" vertical="top" wrapText="1"/>
    </xf>
    <xf numFmtId="3" fontId="2" fillId="7" borderId="21" xfId="0" applyNumberFormat="1" applyFont="1" applyFill="1" applyBorder="1" applyAlignment="1">
      <alignment horizontal="center" vertical="top" wrapText="1"/>
    </xf>
    <xf numFmtId="3" fontId="28" fillId="7" borderId="0" xfId="0" applyNumberFormat="1" applyFont="1" applyFill="1" applyAlignment="1">
      <alignment horizontal="left" vertical="top" wrapText="1"/>
    </xf>
    <xf numFmtId="166" fontId="2" fillId="7" borderId="36" xfId="0" applyNumberFormat="1" applyFont="1" applyFill="1" applyBorder="1" applyAlignment="1">
      <alignment vertical="top" wrapText="1"/>
    </xf>
    <xf numFmtId="0" fontId="2" fillId="7" borderId="36" xfId="0" applyFont="1" applyFill="1" applyBorder="1" applyAlignment="1">
      <alignment vertical="top" wrapText="1"/>
    </xf>
    <xf numFmtId="3" fontId="2" fillId="0" borderId="20" xfId="0" applyNumberFormat="1" applyFont="1" applyFill="1" applyBorder="1" applyAlignment="1">
      <alignment horizontal="center" vertical="top"/>
    </xf>
    <xf numFmtId="3" fontId="2" fillId="0" borderId="18" xfId="0" applyNumberFormat="1" applyFont="1" applyFill="1" applyBorder="1" applyAlignment="1">
      <alignment horizontal="center" vertical="top"/>
    </xf>
    <xf numFmtId="166" fontId="2" fillId="7" borderId="47" xfId="0" applyNumberFormat="1" applyFont="1" applyFill="1" applyBorder="1" applyAlignment="1">
      <alignment horizontal="left" vertical="top" wrapText="1"/>
    </xf>
    <xf numFmtId="166" fontId="3" fillId="7" borderId="11" xfId="0" applyNumberFormat="1" applyFont="1" applyFill="1" applyBorder="1" applyAlignment="1">
      <alignment horizontal="center" vertical="top" wrapText="1"/>
    </xf>
    <xf numFmtId="166" fontId="3" fillId="7" borderId="18" xfId="0" applyNumberFormat="1" applyFont="1" applyFill="1" applyBorder="1" applyAlignment="1">
      <alignment horizontal="center" vertical="top"/>
    </xf>
    <xf numFmtId="166" fontId="2" fillId="7" borderId="101" xfId="0" applyNumberFormat="1" applyFont="1" applyFill="1" applyBorder="1" applyAlignment="1">
      <alignment horizontal="left" vertical="top" wrapText="1"/>
    </xf>
    <xf numFmtId="166" fontId="3" fillId="3" borderId="11" xfId="0" applyNumberFormat="1" applyFont="1" applyFill="1" applyBorder="1" applyAlignment="1">
      <alignment horizontal="center" vertical="top" wrapText="1"/>
    </xf>
    <xf numFmtId="166" fontId="3" fillId="3" borderId="48" xfId="0" applyNumberFormat="1" applyFont="1" applyFill="1" applyBorder="1" applyAlignment="1">
      <alignment horizontal="center" vertical="top"/>
    </xf>
    <xf numFmtId="166" fontId="2" fillId="7" borderId="20" xfId="0" applyNumberFormat="1" applyFont="1" applyFill="1" applyBorder="1" applyAlignment="1">
      <alignment horizontal="left" vertical="top" wrapText="1"/>
    </xf>
    <xf numFmtId="166" fontId="2" fillId="7" borderId="35" xfId="0" applyNumberFormat="1" applyFont="1" applyFill="1" applyBorder="1" applyAlignment="1">
      <alignment horizontal="left" vertical="top" wrapText="1"/>
    </xf>
    <xf numFmtId="166" fontId="3" fillId="3" borderId="28" xfId="0" applyNumberFormat="1" applyFont="1" applyFill="1" applyBorder="1" applyAlignment="1">
      <alignment horizontal="center" vertical="top" wrapText="1"/>
    </xf>
    <xf numFmtId="166" fontId="3" fillId="3" borderId="46" xfId="0" applyNumberFormat="1" applyFont="1" applyFill="1" applyBorder="1" applyAlignment="1">
      <alignment horizontal="center" vertical="top" wrapText="1"/>
    </xf>
    <xf numFmtId="166" fontId="2" fillId="7" borderId="11" xfId="0" applyNumberFormat="1" applyFont="1" applyFill="1" applyBorder="1" applyAlignment="1">
      <alignment horizontal="left" vertical="top" wrapText="1"/>
    </xf>
    <xf numFmtId="3" fontId="2" fillId="0" borderId="46" xfId="0" applyNumberFormat="1" applyFont="1" applyFill="1" applyBorder="1" applyAlignment="1">
      <alignment horizontal="center" vertical="top"/>
    </xf>
    <xf numFmtId="3" fontId="2" fillId="7" borderId="59" xfId="0" applyNumberFormat="1" applyFont="1" applyFill="1" applyBorder="1" applyAlignment="1">
      <alignment horizontal="center" vertical="top"/>
    </xf>
    <xf numFmtId="166" fontId="2" fillId="2" borderId="70" xfId="0" applyNumberFormat="1" applyFont="1" applyFill="1" applyBorder="1" applyAlignment="1">
      <alignment horizontal="center" vertical="top" wrapText="1"/>
    </xf>
    <xf numFmtId="166" fontId="2" fillId="2" borderId="71" xfId="0" applyNumberFormat="1" applyFont="1" applyFill="1" applyBorder="1" applyAlignment="1">
      <alignment horizontal="center" vertical="top" wrapText="1"/>
    </xf>
    <xf numFmtId="166" fontId="2" fillId="7" borderId="48" xfId="0" applyNumberFormat="1" applyFont="1" applyFill="1" applyBorder="1" applyAlignment="1">
      <alignment vertical="top" wrapText="1"/>
    </xf>
    <xf numFmtId="166" fontId="2" fillId="7" borderId="7" xfId="0" applyNumberFormat="1" applyFont="1" applyFill="1" applyBorder="1" applyAlignment="1">
      <alignment vertical="top"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166" fontId="2" fillId="7" borderId="28" xfId="0" applyNumberFormat="1" applyFont="1" applyFill="1" applyBorder="1" applyAlignment="1">
      <alignment horizontal="left" vertical="top" wrapText="1"/>
    </xf>
    <xf numFmtId="49" fontId="3" fillId="7" borderId="48"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2" fillId="7" borderId="11" xfId="0" applyNumberFormat="1" applyFont="1" applyFill="1" applyBorder="1" applyAlignment="1">
      <alignment vertical="top" wrapText="1"/>
    </xf>
    <xf numFmtId="166" fontId="2" fillId="7" borderId="46" xfId="0" applyNumberFormat="1" applyFont="1" applyFill="1" applyBorder="1" applyAlignment="1">
      <alignment vertical="top" wrapText="1"/>
    </xf>
    <xf numFmtId="166" fontId="2" fillId="7" borderId="20" xfId="0" applyNumberFormat="1" applyFont="1" applyFill="1" applyBorder="1" applyAlignment="1">
      <alignment horizontal="center" vertical="center" textRotation="90" wrapText="1"/>
    </xf>
    <xf numFmtId="3" fontId="2" fillId="7" borderId="18" xfId="0" applyNumberFormat="1" applyFont="1" applyFill="1" applyBorder="1" applyAlignment="1">
      <alignment horizontal="center" vertical="top"/>
    </xf>
    <xf numFmtId="166" fontId="2" fillId="7" borderId="47" xfId="0" applyNumberFormat="1" applyFont="1" applyFill="1" applyBorder="1" applyAlignment="1">
      <alignment vertical="top" wrapText="1"/>
    </xf>
    <xf numFmtId="166" fontId="3" fillId="9" borderId="5"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166" fontId="3" fillId="7" borderId="4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8" fillId="7" borderId="11" xfId="0" applyNumberFormat="1" applyFont="1" applyFill="1" applyBorder="1" applyAlignment="1">
      <alignment horizontal="center" vertical="center" textRotation="90" wrapText="1"/>
    </xf>
    <xf numFmtId="166" fontId="2" fillId="7" borderId="45" xfId="0" applyNumberFormat="1" applyFont="1" applyFill="1" applyBorder="1" applyAlignment="1">
      <alignment vertical="top" wrapText="1"/>
    </xf>
    <xf numFmtId="3" fontId="2" fillId="7" borderId="46"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49" fontId="3" fillId="9" borderId="5" xfId="0" applyNumberFormat="1" applyFont="1" applyFill="1" applyBorder="1" applyAlignment="1">
      <alignment horizontal="center" vertical="top"/>
    </xf>
    <xf numFmtId="49" fontId="3" fillId="2" borderId="41"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2" fillId="7" borderId="28" xfId="0" applyNumberFormat="1" applyFont="1" applyFill="1" applyBorder="1" applyAlignment="1">
      <alignment vertical="top" wrapText="1"/>
    </xf>
    <xf numFmtId="166" fontId="3" fillId="7" borderId="20"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166" fontId="3" fillId="9" borderId="34" xfId="0" applyNumberFormat="1" applyFont="1" applyFill="1" applyBorder="1" applyAlignment="1">
      <alignment horizontal="center" vertical="top"/>
    </xf>
    <xf numFmtId="49" fontId="3" fillId="7" borderId="35" xfId="0" applyNumberFormat="1" applyFont="1" applyFill="1" applyBorder="1" applyAlignment="1">
      <alignment horizontal="center" vertical="top"/>
    </xf>
    <xf numFmtId="49" fontId="3" fillId="7" borderId="18"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xf>
    <xf numFmtId="166" fontId="3" fillId="0" borderId="48" xfId="0" applyNumberFormat="1" applyFont="1" applyBorder="1" applyAlignment="1">
      <alignment horizontal="center" vertical="top"/>
    </xf>
    <xf numFmtId="0" fontId="4" fillId="7" borderId="11" xfId="0" applyFont="1" applyFill="1" applyBorder="1" applyAlignment="1">
      <alignment horizontal="center" vertical="center" textRotation="90" wrapText="1"/>
    </xf>
    <xf numFmtId="166" fontId="2" fillId="7" borderId="7" xfId="0" applyNumberFormat="1" applyFont="1" applyFill="1" applyBorder="1" applyAlignment="1">
      <alignment horizontal="left" vertical="top" wrapText="1"/>
    </xf>
    <xf numFmtId="166" fontId="2" fillId="2" borderId="32" xfId="0" applyNumberFormat="1" applyFont="1" applyFill="1" applyBorder="1" applyAlignment="1">
      <alignment horizontal="center" vertical="top" wrapText="1"/>
    </xf>
    <xf numFmtId="166" fontId="2" fillId="7" borderId="36"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166" fontId="2" fillId="7" borderId="117" xfId="0" applyNumberFormat="1" applyFont="1" applyFill="1" applyBorder="1" applyAlignment="1">
      <alignment vertical="top" wrapText="1"/>
    </xf>
    <xf numFmtId="0" fontId="2" fillId="7" borderId="28" xfId="0" applyFont="1" applyFill="1" applyBorder="1" applyAlignment="1">
      <alignment horizontal="left" vertical="top" wrapText="1"/>
    </xf>
    <xf numFmtId="166" fontId="8" fillId="7" borderId="7" xfId="0" applyNumberFormat="1" applyFont="1" applyFill="1" applyBorder="1" applyAlignment="1">
      <alignment vertical="top" wrapText="1"/>
    </xf>
    <xf numFmtId="0" fontId="0" fillId="0" borderId="11" xfId="0" applyBorder="1" applyAlignment="1">
      <alignment wrapText="1"/>
    </xf>
    <xf numFmtId="3" fontId="2" fillId="7" borderId="11" xfId="0" applyNumberFormat="1" applyFont="1" applyFill="1" applyBorder="1" applyAlignment="1">
      <alignment horizontal="center" vertical="top" wrapText="1"/>
    </xf>
    <xf numFmtId="166" fontId="3" fillId="7" borderId="20"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0" fontId="2" fillId="7" borderId="36" xfId="0" applyFont="1" applyFill="1" applyBorder="1" applyAlignment="1">
      <alignment horizontal="left" vertical="top" wrapText="1"/>
    </xf>
    <xf numFmtId="3" fontId="2" fillId="7" borderId="48" xfId="0" applyNumberFormat="1" applyFont="1" applyFill="1" applyBorder="1" applyAlignment="1">
      <alignment horizontal="center" vertical="top"/>
    </xf>
    <xf numFmtId="166" fontId="14" fillId="7" borderId="11" xfId="0" applyNumberFormat="1" applyFont="1" applyFill="1" applyBorder="1" applyAlignment="1">
      <alignment horizontal="center" vertical="center" textRotation="90" wrapText="1"/>
    </xf>
    <xf numFmtId="166" fontId="2" fillId="7" borderId="101" xfId="0" applyNumberFormat="1" applyFont="1" applyFill="1" applyBorder="1" applyAlignment="1">
      <alignment vertical="top" wrapText="1"/>
    </xf>
    <xf numFmtId="0" fontId="2" fillId="7" borderId="7" xfId="0" applyFont="1" applyFill="1" applyBorder="1" applyAlignment="1">
      <alignment vertical="top" wrapText="1"/>
    </xf>
    <xf numFmtId="166" fontId="3" fillId="7" borderId="35" xfId="0" applyNumberFormat="1" applyFont="1" applyFill="1" applyBorder="1" applyAlignment="1">
      <alignment horizontal="center" vertical="top"/>
    </xf>
    <xf numFmtId="0" fontId="18" fillId="7" borderId="29" xfId="0" applyFont="1" applyFill="1" applyBorder="1" applyAlignment="1">
      <alignment vertical="top" wrapText="1"/>
    </xf>
    <xf numFmtId="3" fontId="2" fillId="0" borderId="51" xfId="0" applyNumberFormat="1" applyFont="1" applyFill="1" applyBorder="1" applyAlignment="1">
      <alignment horizontal="left" vertical="top" wrapText="1"/>
    </xf>
    <xf numFmtId="0" fontId="0" fillId="0" borderId="51" xfId="0" applyFill="1" applyBorder="1" applyAlignment="1">
      <alignment horizontal="left" vertical="top" wrapText="1"/>
    </xf>
    <xf numFmtId="166" fontId="2" fillId="7" borderId="28" xfId="0" applyNumberFormat="1" applyFont="1" applyFill="1" applyBorder="1" applyAlignment="1">
      <alignment horizontal="center" vertical="center" textRotation="90" wrapText="1"/>
    </xf>
    <xf numFmtId="166" fontId="8" fillId="7" borderId="29" xfId="0" applyNumberFormat="1" applyFont="1" applyFill="1" applyBorder="1" applyAlignment="1">
      <alignment vertical="top" wrapText="1"/>
    </xf>
    <xf numFmtId="166" fontId="3" fillId="7" borderId="25" xfId="0" applyNumberFormat="1" applyFont="1" applyFill="1" applyBorder="1" applyAlignment="1">
      <alignment horizontal="center" vertical="top"/>
    </xf>
    <xf numFmtId="3" fontId="2" fillId="7" borderId="46" xfId="0" applyNumberFormat="1" applyFont="1" applyFill="1" applyBorder="1" applyAlignment="1">
      <alignment horizontal="center" vertical="top" wrapText="1"/>
    </xf>
    <xf numFmtId="166" fontId="2" fillId="7" borderId="79" xfId="0" applyNumberFormat="1" applyFont="1" applyFill="1" applyBorder="1" applyAlignment="1">
      <alignment horizontal="left" vertical="top" wrapText="1"/>
    </xf>
    <xf numFmtId="3" fontId="2" fillId="7" borderId="96" xfId="0" applyNumberFormat="1" applyFont="1" applyFill="1" applyBorder="1" applyAlignment="1">
      <alignment horizontal="center" vertical="top" wrapText="1"/>
    </xf>
    <xf numFmtId="3" fontId="2" fillId="7" borderId="11" xfId="0" applyNumberFormat="1" applyFont="1" applyFill="1" applyBorder="1" applyAlignment="1">
      <alignment horizontal="center" vertical="top"/>
    </xf>
    <xf numFmtId="166" fontId="18" fillId="7" borderId="34" xfId="0" applyNumberFormat="1" applyFont="1" applyFill="1" applyBorder="1" applyAlignment="1">
      <alignment horizontal="center" vertical="top"/>
    </xf>
    <xf numFmtId="166" fontId="18" fillId="7" borderId="99" xfId="0" applyNumberFormat="1" applyFont="1" applyFill="1" applyBorder="1" applyAlignment="1">
      <alignment horizontal="center" vertical="top"/>
    </xf>
    <xf numFmtId="3" fontId="29" fillId="7" borderId="18" xfId="0" applyNumberFormat="1" applyFont="1" applyFill="1" applyBorder="1" applyAlignment="1">
      <alignment horizontal="center" vertical="top"/>
    </xf>
    <xf numFmtId="0" fontId="2" fillId="0" borderId="0" xfId="0" applyNumberFormat="1" applyFont="1" applyAlignment="1">
      <alignment vertical="top"/>
    </xf>
    <xf numFmtId="0" fontId="29" fillId="0" borderId="0" xfId="0" applyFont="1" applyAlignment="1">
      <alignment horizontal="right" vertical="top"/>
    </xf>
    <xf numFmtId="0" fontId="2" fillId="10" borderId="64" xfId="0" applyFont="1" applyFill="1" applyBorder="1" applyAlignment="1">
      <alignment horizontal="center" vertical="center"/>
    </xf>
    <xf numFmtId="166" fontId="3" fillId="3" borderId="64" xfId="0" applyNumberFormat="1" applyFont="1" applyFill="1" applyBorder="1" applyAlignment="1">
      <alignment horizontal="center" vertical="top"/>
    </xf>
    <xf numFmtId="166" fontId="2" fillId="0" borderId="68" xfId="0" applyNumberFormat="1" applyFont="1" applyBorder="1" applyAlignment="1">
      <alignment horizontal="center" vertical="top"/>
    </xf>
    <xf numFmtId="166" fontId="2" fillId="0" borderId="69" xfId="0" applyNumberFormat="1" applyFont="1" applyBorder="1" applyAlignment="1">
      <alignment horizontal="center" vertical="top"/>
    </xf>
    <xf numFmtId="166" fontId="3" fillId="2" borderId="71" xfId="0" applyNumberFormat="1" applyFont="1" applyFill="1" applyBorder="1" applyAlignment="1">
      <alignment horizontal="center" vertical="top"/>
    </xf>
    <xf numFmtId="166" fontId="2" fillId="0" borderId="13" xfId="0" applyNumberFormat="1" applyFont="1" applyBorder="1" applyAlignment="1">
      <alignment horizontal="center" vertical="top"/>
    </xf>
    <xf numFmtId="0" fontId="2" fillId="7" borderId="46" xfId="0" applyFont="1" applyFill="1" applyBorder="1" applyAlignment="1">
      <alignment vertical="top"/>
    </xf>
    <xf numFmtId="3" fontId="2" fillId="7" borderId="92" xfId="0" applyNumberFormat="1" applyFont="1" applyFill="1" applyBorder="1" applyAlignment="1">
      <alignment horizontal="center" vertical="top" wrapText="1"/>
    </xf>
    <xf numFmtId="3" fontId="22" fillId="7" borderId="46" xfId="0" applyNumberFormat="1" applyFont="1" applyFill="1" applyBorder="1" applyAlignment="1">
      <alignment horizontal="center" vertical="top"/>
    </xf>
    <xf numFmtId="3" fontId="2" fillId="0" borderId="41" xfId="0" applyNumberFormat="1" applyFont="1" applyFill="1" applyBorder="1" applyAlignment="1">
      <alignment horizontal="center" vertical="top"/>
    </xf>
    <xf numFmtId="3" fontId="2" fillId="3" borderId="46" xfId="0" applyNumberFormat="1" applyFont="1" applyFill="1" applyBorder="1" applyAlignment="1">
      <alignment horizontal="center" vertical="top" wrapText="1"/>
    </xf>
    <xf numFmtId="3" fontId="2" fillId="0" borderId="37" xfId="0" applyNumberFormat="1" applyFont="1" applyFill="1" applyBorder="1" applyAlignment="1">
      <alignment horizontal="center" vertical="top"/>
    </xf>
    <xf numFmtId="3" fontId="22" fillId="7" borderId="48" xfId="1" applyNumberFormat="1" applyFont="1" applyFill="1" applyBorder="1" applyAlignment="1">
      <alignment horizontal="center" vertical="top" wrapText="1"/>
    </xf>
    <xf numFmtId="3" fontId="2" fillId="0" borderId="18" xfId="0" applyNumberFormat="1" applyFont="1" applyFill="1" applyBorder="1" applyAlignment="1">
      <alignment horizontal="center" vertical="top" wrapText="1"/>
    </xf>
    <xf numFmtId="166" fontId="2" fillId="0" borderId="43" xfId="0" applyNumberFormat="1" applyFont="1" applyBorder="1" applyAlignment="1">
      <alignment horizontal="center" vertical="top"/>
    </xf>
    <xf numFmtId="166" fontId="2" fillId="7" borderId="38" xfId="0" applyNumberFormat="1" applyFont="1" applyFill="1" applyBorder="1" applyAlignment="1">
      <alignment vertical="top"/>
    </xf>
    <xf numFmtId="166" fontId="2" fillId="7" borderId="69" xfId="0" applyNumberFormat="1" applyFont="1" applyFill="1" applyBorder="1" applyAlignment="1">
      <alignment horizontal="center" vertical="top"/>
    </xf>
    <xf numFmtId="166" fontId="2" fillId="0" borderId="11" xfId="0" applyNumberFormat="1" applyFont="1" applyBorder="1" applyAlignment="1">
      <alignment horizontal="center" vertical="top"/>
    </xf>
    <xf numFmtId="166" fontId="2" fillId="0" borderId="0" xfId="0" applyNumberFormat="1" applyFont="1" applyBorder="1" applyAlignment="1">
      <alignment horizontal="center" vertical="top"/>
    </xf>
    <xf numFmtId="166" fontId="2" fillId="3" borderId="13" xfId="0" applyNumberFormat="1" applyFont="1" applyFill="1" applyBorder="1" applyAlignment="1">
      <alignment horizontal="center" vertical="top"/>
    </xf>
    <xf numFmtId="166" fontId="2" fillId="3" borderId="69" xfId="0" applyNumberFormat="1" applyFont="1" applyFill="1" applyBorder="1" applyAlignment="1">
      <alignment horizontal="center" vertical="top"/>
    </xf>
    <xf numFmtId="166" fontId="18" fillId="7" borderId="47" xfId="0" applyNumberFormat="1" applyFont="1" applyFill="1" applyBorder="1" applyAlignment="1">
      <alignment horizontal="center" vertical="top"/>
    </xf>
    <xf numFmtId="166" fontId="18" fillId="7" borderId="93" xfId="0" applyNumberFormat="1" applyFont="1" applyFill="1" applyBorder="1" applyAlignment="1">
      <alignment horizontal="center" vertical="top"/>
    </xf>
    <xf numFmtId="166" fontId="2" fillId="7" borderId="119" xfId="0" applyNumberFormat="1" applyFont="1" applyFill="1" applyBorder="1" applyAlignment="1">
      <alignment horizontal="center" vertical="top"/>
    </xf>
    <xf numFmtId="166" fontId="3" fillId="2" borderId="52" xfId="0" applyNumberFormat="1" applyFont="1" applyFill="1" applyBorder="1" applyAlignment="1">
      <alignment horizontal="center" vertical="top"/>
    </xf>
    <xf numFmtId="166" fontId="18" fillId="7" borderId="80" xfId="0" applyNumberFormat="1" applyFont="1" applyFill="1" applyBorder="1" applyAlignment="1">
      <alignment horizontal="center" vertical="top"/>
    </xf>
    <xf numFmtId="166" fontId="18" fillId="7" borderId="100" xfId="0" applyNumberFormat="1" applyFont="1" applyFill="1" applyBorder="1" applyAlignment="1">
      <alignment horizontal="center" vertical="top"/>
    </xf>
    <xf numFmtId="166" fontId="3" fillId="7" borderId="53" xfId="0" applyNumberFormat="1" applyFont="1" applyFill="1" applyBorder="1" applyAlignment="1">
      <alignment horizontal="center" vertical="top"/>
    </xf>
    <xf numFmtId="166" fontId="13" fillId="0" borderId="53" xfId="0" applyNumberFormat="1" applyFont="1" applyBorder="1" applyAlignment="1">
      <alignment horizontal="center" vertical="top"/>
    </xf>
    <xf numFmtId="166" fontId="13" fillId="0" borderId="64" xfId="0" applyNumberFormat="1" applyFont="1" applyBorder="1" applyAlignment="1">
      <alignment horizontal="center" vertical="top"/>
    </xf>
    <xf numFmtId="166" fontId="13" fillId="0" borderId="28" xfId="0" applyNumberFormat="1" applyFont="1" applyBorder="1" applyAlignment="1">
      <alignment horizontal="center" vertical="top"/>
    </xf>
    <xf numFmtId="166" fontId="2" fillId="7" borderId="35" xfId="0" applyNumberFormat="1" applyFont="1" applyFill="1" applyBorder="1" applyAlignment="1">
      <alignment vertical="top"/>
    </xf>
    <xf numFmtId="166" fontId="2" fillId="0" borderId="92" xfId="0" applyNumberFormat="1" applyFont="1" applyFill="1" applyBorder="1" applyAlignment="1">
      <alignment horizontal="center" vertical="top"/>
    </xf>
    <xf numFmtId="0" fontId="2" fillId="7" borderId="18" xfId="0" applyFont="1" applyFill="1" applyBorder="1" applyAlignment="1">
      <alignment horizontal="right" vertical="center"/>
    </xf>
    <xf numFmtId="0" fontId="22" fillId="0" borderId="5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71" xfId="0" applyFont="1" applyBorder="1" applyAlignment="1">
      <alignment horizontal="center" vertical="center" wrapText="1"/>
    </xf>
    <xf numFmtId="0" fontId="2" fillId="0" borderId="68" xfId="0" applyFont="1" applyBorder="1" applyAlignment="1">
      <alignment horizontal="center" vertical="center" wrapText="1"/>
    </xf>
    <xf numFmtId="166" fontId="2" fillId="7" borderId="113" xfId="0" applyNumberFormat="1" applyFont="1" applyFill="1" applyBorder="1" applyAlignment="1">
      <alignment horizontal="center" vertical="top"/>
    </xf>
    <xf numFmtId="166" fontId="2" fillId="7" borderId="107" xfId="0" applyNumberFormat="1" applyFont="1" applyFill="1" applyBorder="1" applyAlignment="1">
      <alignment horizontal="center" vertical="top"/>
    </xf>
    <xf numFmtId="3" fontId="2" fillId="7" borderId="90" xfId="0" applyNumberFormat="1" applyFont="1" applyFill="1" applyBorder="1" applyAlignment="1">
      <alignment horizontal="center" vertical="top"/>
    </xf>
    <xf numFmtId="3" fontId="2" fillId="7" borderId="113" xfId="0" applyNumberFormat="1" applyFont="1" applyFill="1" applyBorder="1" applyAlignment="1">
      <alignment vertical="top"/>
    </xf>
    <xf numFmtId="3" fontId="2" fillId="7" borderId="48" xfId="0" applyNumberFormat="1" applyFont="1" applyFill="1" applyBorder="1" applyAlignment="1">
      <alignment vertical="top"/>
    </xf>
    <xf numFmtId="166" fontId="6" fillId="7" borderId="56" xfId="0" applyNumberFormat="1" applyFont="1" applyFill="1" applyBorder="1" applyAlignment="1">
      <alignment horizontal="center" vertical="top" wrapText="1"/>
    </xf>
    <xf numFmtId="166" fontId="2" fillId="7" borderId="53" xfId="0" applyNumberFormat="1" applyFont="1" applyFill="1" applyBorder="1" applyAlignment="1">
      <alignment horizontal="center" vertical="center"/>
    </xf>
    <xf numFmtId="166" fontId="3" fillId="2" borderId="33" xfId="0" applyNumberFormat="1" applyFont="1" applyFill="1" applyBorder="1" applyAlignment="1">
      <alignment horizontal="center" vertical="top"/>
    </xf>
    <xf numFmtId="166" fontId="3" fillId="9" borderId="33" xfId="0" applyNumberFormat="1" applyFont="1" applyFill="1" applyBorder="1" applyAlignment="1">
      <alignment horizontal="center" vertical="top"/>
    </xf>
    <xf numFmtId="166" fontId="3" fillId="5" borderId="71" xfId="0" applyNumberFormat="1" applyFont="1" applyFill="1" applyBorder="1" applyAlignment="1">
      <alignment horizontal="center" vertical="top"/>
    </xf>
    <xf numFmtId="166" fontId="2" fillId="7" borderId="64" xfId="0" applyNumberFormat="1" applyFont="1" applyFill="1" applyBorder="1" applyAlignment="1">
      <alignment horizontal="center" vertical="center"/>
    </xf>
    <xf numFmtId="166" fontId="2" fillId="7" borderId="28" xfId="0" applyNumberFormat="1" applyFont="1" applyFill="1" applyBorder="1" applyAlignment="1">
      <alignment horizontal="center" vertical="center"/>
    </xf>
    <xf numFmtId="166" fontId="2" fillId="8" borderId="64" xfId="0" applyNumberFormat="1" applyFont="1" applyFill="1" applyBorder="1" applyAlignment="1">
      <alignment horizontal="center" vertical="top"/>
    </xf>
    <xf numFmtId="166" fontId="3" fillId="4" borderId="72" xfId="0" applyNumberFormat="1" applyFont="1" applyFill="1" applyBorder="1" applyAlignment="1">
      <alignment horizontal="center" vertical="top"/>
    </xf>
    <xf numFmtId="166" fontId="3" fillId="5" borderId="73" xfId="0" applyNumberFormat="1" applyFont="1" applyFill="1" applyBorder="1" applyAlignment="1">
      <alignment horizontal="center" vertical="top" wrapText="1"/>
    </xf>
    <xf numFmtId="166" fontId="3" fillId="8" borderId="62" xfId="0" applyNumberFormat="1" applyFont="1" applyFill="1" applyBorder="1" applyAlignment="1">
      <alignment horizontal="center" vertical="top" wrapText="1"/>
    </xf>
    <xf numFmtId="166" fontId="2" fillId="8" borderId="53" xfId="0" applyNumberFormat="1" applyFont="1" applyFill="1" applyBorder="1" applyAlignment="1">
      <alignment horizontal="center" vertical="top"/>
    </xf>
    <xf numFmtId="166" fontId="2" fillId="0" borderId="62" xfId="0" applyNumberFormat="1" applyFont="1" applyBorder="1" applyAlignment="1">
      <alignment horizontal="center" vertical="top" wrapText="1"/>
    </xf>
    <xf numFmtId="166" fontId="3" fillId="4" borderId="33" xfId="0" applyNumberFormat="1" applyFont="1" applyFill="1" applyBorder="1" applyAlignment="1">
      <alignment horizontal="center" vertical="top"/>
    </xf>
    <xf numFmtId="166" fontId="3" fillId="5" borderId="69" xfId="0" applyNumberFormat="1" applyFont="1" applyFill="1" applyBorder="1" applyAlignment="1">
      <alignment horizontal="center" vertical="top" wrapText="1"/>
    </xf>
    <xf numFmtId="166" fontId="3" fillId="8" borderId="42" xfId="0" applyNumberFormat="1" applyFont="1" applyFill="1" applyBorder="1" applyAlignment="1">
      <alignment horizontal="center" vertical="top" wrapText="1"/>
    </xf>
    <xf numFmtId="166" fontId="2" fillId="0" borderId="42" xfId="0" applyNumberFormat="1" applyFont="1" applyBorder="1" applyAlignment="1">
      <alignment horizontal="center" vertical="top" wrapText="1"/>
    </xf>
    <xf numFmtId="166" fontId="3" fillId="5" borderId="13" xfId="0" applyNumberFormat="1" applyFont="1" applyFill="1" applyBorder="1" applyAlignment="1">
      <alignment horizontal="center" vertical="top" wrapText="1"/>
    </xf>
    <xf numFmtId="166" fontId="2" fillId="8" borderId="28" xfId="0" applyNumberFormat="1" applyFont="1" applyFill="1" applyBorder="1" applyAlignment="1">
      <alignment horizontal="center" vertical="top"/>
    </xf>
    <xf numFmtId="166" fontId="2" fillId="0" borderId="1" xfId="0" applyNumberFormat="1" applyFont="1" applyBorder="1" applyAlignment="1">
      <alignment horizontal="center" vertical="top" wrapText="1"/>
    </xf>
    <xf numFmtId="166" fontId="3" fillId="4" borderId="30"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101" xfId="0" applyNumberFormat="1" applyFont="1" applyFill="1" applyBorder="1" applyAlignment="1">
      <alignment horizontal="left" vertical="top"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0" fontId="0" fillId="7" borderId="11" xfId="0" applyFill="1" applyBorder="1" applyAlignment="1">
      <alignment vertical="top" wrapText="1"/>
    </xf>
    <xf numFmtId="166" fontId="2" fillId="7" borderId="29" xfId="0" applyNumberFormat="1" applyFont="1" applyFill="1" applyBorder="1" applyAlignment="1">
      <alignment horizontal="left" vertical="top" wrapText="1"/>
    </xf>
    <xf numFmtId="166" fontId="2" fillId="7" borderId="79" xfId="0" applyNumberFormat="1" applyFont="1" applyFill="1" applyBorder="1" applyAlignment="1">
      <alignment horizontal="left" vertical="top" wrapText="1"/>
    </xf>
    <xf numFmtId="166" fontId="2" fillId="7" borderId="28" xfId="0" applyNumberFormat="1" applyFont="1" applyFill="1" applyBorder="1" applyAlignment="1">
      <alignment horizontal="center" vertical="center" textRotation="90" wrapText="1"/>
    </xf>
    <xf numFmtId="0" fontId="0" fillId="7" borderId="28" xfId="0" applyFill="1" applyBorder="1" applyAlignment="1">
      <alignment vertical="top" wrapText="1"/>
    </xf>
    <xf numFmtId="49" fontId="2" fillId="7" borderId="86" xfId="0" applyNumberFormat="1" applyFont="1" applyFill="1" applyBorder="1" applyAlignment="1">
      <alignment horizontal="center" vertical="top"/>
    </xf>
    <xf numFmtId="166" fontId="2" fillId="7" borderId="29" xfId="0" applyNumberFormat="1" applyFont="1" applyFill="1" applyBorder="1" applyAlignment="1">
      <alignment horizontal="left" vertical="top" wrapText="1"/>
    </xf>
    <xf numFmtId="166" fontId="3" fillId="9" borderId="7"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3" borderId="28" xfId="0" applyNumberFormat="1" applyFont="1" applyFill="1" applyBorder="1" applyAlignment="1">
      <alignment horizontal="center" vertical="top" wrapText="1"/>
    </xf>
    <xf numFmtId="166" fontId="2" fillId="7" borderId="34" xfId="0" applyNumberFormat="1" applyFont="1" applyFill="1" applyBorder="1" applyAlignment="1">
      <alignment vertical="top" wrapText="1"/>
    </xf>
    <xf numFmtId="0" fontId="0" fillId="7" borderId="29" xfId="0" applyFill="1" applyBorder="1" applyAlignment="1">
      <alignment vertical="top" wrapText="1"/>
    </xf>
    <xf numFmtId="166" fontId="2" fillId="7" borderId="29" xfId="0" applyNumberFormat="1" applyFont="1" applyFill="1" applyBorder="1" applyAlignment="1">
      <alignment horizontal="left" vertical="top" wrapText="1"/>
    </xf>
    <xf numFmtId="49" fontId="3" fillId="7" borderId="48" xfId="0" applyNumberFormat="1" applyFont="1" applyFill="1" applyBorder="1" applyAlignment="1">
      <alignment horizontal="center" vertical="top"/>
    </xf>
    <xf numFmtId="166" fontId="2" fillId="7" borderId="79" xfId="0" applyNumberFormat="1" applyFont="1" applyFill="1" applyBorder="1" applyAlignment="1">
      <alignment horizontal="left" vertical="top" wrapText="1"/>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166" fontId="2" fillId="7" borderId="35" xfId="0" applyNumberFormat="1" applyFont="1" applyFill="1" applyBorder="1" applyAlignment="1">
      <alignment vertical="top" wrapText="1"/>
    </xf>
    <xf numFmtId="3" fontId="2" fillId="7" borderId="18"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2" fillId="3" borderId="99" xfId="0" applyNumberFormat="1" applyFont="1" applyFill="1" applyBorder="1" applyAlignment="1">
      <alignment horizontal="center" vertical="top"/>
    </xf>
    <xf numFmtId="166" fontId="2" fillId="3" borderId="64" xfId="0" applyNumberFormat="1" applyFont="1" applyFill="1" applyBorder="1" applyAlignment="1">
      <alignment horizontal="center" vertical="top"/>
    </xf>
    <xf numFmtId="166" fontId="2" fillId="7" borderId="10" xfId="0" applyNumberFormat="1" applyFont="1" applyFill="1" applyBorder="1" applyAlignment="1">
      <alignment vertical="top"/>
    </xf>
    <xf numFmtId="166" fontId="2" fillId="0" borderId="8" xfId="0" applyNumberFormat="1" applyFont="1" applyBorder="1" applyAlignment="1">
      <alignment vertical="top"/>
    </xf>
    <xf numFmtId="166" fontId="13" fillId="7" borderId="7" xfId="0" applyNumberFormat="1" applyFont="1" applyFill="1" applyBorder="1" applyAlignment="1">
      <alignment horizontal="center" vertical="top"/>
    </xf>
    <xf numFmtId="166" fontId="2" fillId="7" borderId="49" xfId="0" applyNumberFormat="1" applyFont="1" applyFill="1" applyBorder="1" applyAlignment="1">
      <alignment vertical="top" wrapText="1"/>
    </xf>
    <xf numFmtId="166" fontId="2" fillId="7" borderId="64" xfId="0" applyNumberFormat="1" applyFont="1" applyFill="1" applyBorder="1" applyAlignment="1">
      <alignment vertical="top" wrapText="1"/>
    </xf>
    <xf numFmtId="166" fontId="2" fillId="7" borderId="17" xfId="0" applyNumberFormat="1" applyFont="1" applyFill="1" applyBorder="1" applyAlignment="1">
      <alignment horizontal="center" vertical="top" wrapText="1"/>
    </xf>
    <xf numFmtId="0" fontId="0" fillId="7" borderId="35" xfId="0" applyFill="1" applyBorder="1" applyAlignment="1">
      <alignment vertical="top" wrapText="1"/>
    </xf>
    <xf numFmtId="166" fontId="13" fillId="7" borderId="0"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2" fillId="7" borderId="11" xfId="0" applyNumberFormat="1" applyFont="1" applyFill="1" applyBorder="1" applyAlignment="1">
      <alignment horizontal="left" vertical="top" wrapText="1"/>
    </xf>
    <xf numFmtId="166" fontId="3" fillId="9" borderId="7"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166" fontId="2" fillId="7" borderId="36"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166" fontId="3" fillId="7" borderId="48" xfId="0" applyNumberFormat="1" applyFont="1" applyFill="1" applyBorder="1" applyAlignment="1">
      <alignment horizontal="center" vertical="top"/>
    </xf>
    <xf numFmtId="166" fontId="2" fillId="7" borderId="117" xfId="0" applyNumberFormat="1" applyFont="1" applyFill="1" applyBorder="1" applyAlignment="1">
      <alignment vertical="top" wrapText="1"/>
    </xf>
    <xf numFmtId="166" fontId="2" fillId="7" borderId="34" xfId="0" applyNumberFormat="1" applyFont="1" applyFill="1" applyBorder="1" applyAlignment="1">
      <alignment vertical="top" wrapText="1"/>
    </xf>
    <xf numFmtId="166" fontId="2" fillId="7" borderId="36" xfId="0" applyNumberFormat="1" applyFont="1" applyFill="1" applyBorder="1" applyAlignment="1">
      <alignment vertical="top" wrapText="1"/>
    </xf>
    <xf numFmtId="166" fontId="2" fillId="7" borderId="7" xfId="0" applyNumberFormat="1" applyFont="1" applyFill="1" applyBorder="1" applyAlignment="1">
      <alignment vertical="top" wrapText="1"/>
    </xf>
    <xf numFmtId="166" fontId="3" fillId="2" borderId="48" xfId="0" applyNumberFormat="1" applyFont="1" applyFill="1" applyBorder="1" applyAlignment="1">
      <alignment horizontal="center" vertical="top"/>
    </xf>
    <xf numFmtId="3" fontId="2" fillId="7" borderId="20" xfId="0" applyNumberFormat="1" applyFont="1" applyFill="1" applyBorder="1" applyAlignment="1">
      <alignment horizontal="center" vertical="top" wrapText="1"/>
    </xf>
    <xf numFmtId="3" fontId="2" fillId="7" borderId="11"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xf>
    <xf numFmtId="0" fontId="2" fillId="7" borderId="36" xfId="0" applyFont="1" applyFill="1" applyBorder="1" applyAlignment="1">
      <alignment vertical="top" wrapText="1"/>
    </xf>
    <xf numFmtId="166" fontId="2" fillId="7" borderId="18" xfId="0" applyNumberFormat="1" applyFont="1" applyFill="1" applyBorder="1" applyAlignment="1">
      <alignment horizontal="center" vertical="top" wrapText="1"/>
    </xf>
    <xf numFmtId="0" fontId="8" fillId="7" borderId="29" xfId="0" applyFont="1" applyFill="1" applyBorder="1" applyAlignment="1">
      <alignment horizontal="left" vertical="top" wrapText="1"/>
    </xf>
    <xf numFmtId="0" fontId="2" fillId="7" borderId="7" xfId="0" applyFont="1" applyFill="1" applyBorder="1" applyAlignment="1">
      <alignment vertical="top" wrapText="1"/>
    </xf>
    <xf numFmtId="3" fontId="2" fillId="7" borderId="28" xfId="0" applyNumberFormat="1" applyFont="1" applyFill="1" applyBorder="1" applyAlignment="1">
      <alignment horizontal="center" vertical="top" wrapText="1"/>
    </xf>
    <xf numFmtId="166" fontId="2" fillId="7" borderId="49" xfId="0" applyNumberFormat="1" applyFont="1" applyFill="1" applyBorder="1" applyAlignment="1">
      <alignment vertical="top" wrapText="1"/>
    </xf>
    <xf numFmtId="166" fontId="3" fillId="8" borderId="11"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3" fontId="2" fillId="7" borderId="11" xfId="0" applyNumberFormat="1" applyFont="1" applyFill="1" applyBorder="1" applyAlignment="1">
      <alignment horizontal="center" vertical="top" wrapText="1"/>
    </xf>
    <xf numFmtId="166" fontId="13" fillId="7" borderId="8" xfId="0" applyNumberFormat="1" applyFont="1" applyFill="1" applyBorder="1" applyAlignment="1">
      <alignment horizontal="center" vertical="top" wrapText="1"/>
    </xf>
    <xf numFmtId="166" fontId="13" fillId="7" borderId="59" xfId="0" applyNumberFormat="1" applyFont="1" applyFill="1" applyBorder="1" applyAlignment="1">
      <alignment horizontal="center" vertical="top"/>
    </xf>
    <xf numFmtId="49" fontId="2" fillId="7" borderId="85" xfId="0" applyNumberFormat="1" applyFont="1" applyFill="1" applyBorder="1" applyAlignment="1">
      <alignment horizontal="center" vertical="top" wrapText="1"/>
    </xf>
    <xf numFmtId="49" fontId="2" fillId="7" borderId="94" xfId="0" applyNumberFormat="1" applyFont="1" applyFill="1" applyBorder="1" applyAlignment="1">
      <alignment horizontal="center" vertical="top" wrapText="1"/>
    </xf>
    <xf numFmtId="49" fontId="2" fillId="7" borderId="86" xfId="0" applyNumberFormat="1" applyFont="1" applyFill="1" applyBorder="1" applyAlignment="1">
      <alignment horizontal="center" vertical="top" wrapText="1"/>
    </xf>
    <xf numFmtId="166" fontId="13" fillId="7" borderId="50" xfId="0" applyNumberFormat="1" applyFont="1" applyFill="1" applyBorder="1" applyAlignment="1">
      <alignment horizontal="center" vertical="top"/>
    </xf>
    <xf numFmtId="166" fontId="27" fillId="8" borderId="61" xfId="0" applyNumberFormat="1" applyFont="1" applyFill="1" applyBorder="1" applyAlignment="1">
      <alignment horizontal="center" vertical="top"/>
    </xf>
    <xf numFmtId="0" fontId="35" fillId="0" borderId="18" xfId="0" applyFont="1" applyFill="1" applyBorder="1" applyAlignment="1">
      <alignment horizontal="left" vertical="top" wrapText="1"/>
    </xf>
    <xf numFmtId="166" fontId="13" fillId="7" borderId="64" xfId="0" applyNumberFormat="1" applyFont="1" applyFill="1" applyBorder="1" applyAlignment="1">
      <alignment horizontal="center" vertical="top" wrapText="1"/>
    </xf>
    <xf numFmtId="166" fontId="13" fillId="7" borderId="102" xfId="0" applyNumberFormat="1" applyFont="1" applyFill="1" applyBorder="1" applyAlignment="1">
      <alignment horizontal="center" vertical="top"/>
    </xf>
    <xf numFmtId="166" fontId="13" fillId="7" borderId="118" xfId="0" applyNumberFormat="1" applyFont="1" applyFill="1" applyBorder="1" applyAlignment="1">
      <alignment horizontal="center" vertical="top"/>
    </xf>
    <xf numFmtId="166" fontId="13" fillId="7" borderId="106" xfId="0" applyNumberFormat="1" applyFont="1" applyFill="1" applyBorder="1" applyAlignment="1">
      <alignment horizontal="center" vertical="top"/>
    </xf>
    <xf numFmtId="166" fontId="2" fillId="7" borderId="9" xfId="0" applyNumberFormat="1" applyFont="1" applyFill="1" applyBorder="1" applyAlignment="1">
      <alignment vertical="top" wrapText="1"/>
    </xf>
    <xf numFmtId="166" fontId="13" fillId="7" borderId="6" xfId="0" applyNumberFormat="1" applyFont="1" applyFill="1" applyBorder="1" applyAlignment="1">
      <alignment horizontal="center" vertical="center"/>
    </xf>
    <xf numFmtId="0" fontId="2" fillId="0" borderId="7" xfId="0" applyFont="1" applyBorder="1" applyAlignment="1">
      <alignment horizontal="left" vertical="top" wrapText="1"/>
    </xf>
    <xf numFmtId="3" fontId="6" fillId="7" borderId="0" xfId="0" applyNumberFormat="1" applyFont="1" applyFill="1" applyBorder="1" applyAlignment="1">
      <alignment horizontal="center" vertical="top"/>
    </xf>
    <xf numFmtId="3" fontId="13" fillId="7" borderId="48" xfId="0" applyNumberFormat="1" applyFont="1" applyFill="1" applyBorder="1" applyAlignment="1">
      <alignment horizontal="center" vertical="top"/>
    </xf>
    <xf numFmtId="3" fontId="30" fillId="7" borderId="48" xfId="0" applyNumberFormat="1" applyFont="1" applyFill="1" applyBorder="1" applyAlignment="1">
      <alignment horizontal="center" vertical="top"/>
    </xf>
    <xf numFmtId="166" fontId="13" fillId="7" borderId="79" xfId="0" applyNumberFormat="1" applyFont="1" applyFill="1" applyBorder="1" applyAlignment="1">
      <alignment horizontal="center" vertical="top"/>
    </xf>
    <xf numFmtId="166" fontId="13" fillId="7" borderId="101" xfId="0" applyNumberFormat="1" applyFont="1" applyFill="1" applyBorder="1" applyAlignment="1">
      <alignment horizontal="center" vertical="top"/>
    </xf>
    <xf numFmtId="166" fontId="13" fillId="7" borderId="47" xfId="0" applyNumberFormat="1" applyFont="1" applyFill="1" applyBorder="1" applyAlignment="1">
      <alignment horizontal="center" vertical="top"/>
    </xf>
    <xf numFmtId="49" fontId="13" fillId="7" borderId="11" xfId="0" applyNumberFormat="1" applyFont="1" applyFill="1" applyBorder="1" applyAlignment="1">
      <alignment horizontal="center" vertical="top"/>
    </xf>
    <xf numFmtId="49" fontId="13" fillId="7" borderId="11" xfId="0" applyNumberFormat="1" applyFont="1" applyFill="1" applyBorder="1" applyAlignment="1">
      <alignment horizontal="center" vertical="top" wrapText="1"/>
    </xf>
    <xf numFmtId="166" fontId="2" fillId="7" borderId="46" xfId="0" applyNumberFormat="1" applyFont="1" applyFill="1" applyBorder="1" applyAlignment="1">
      <alignment horizontal="center" vertical="top"/>
    </xf>
    <xf numFmtId="49" fontId="13" fillId="7" borderId="80" xfId="0" applyNumberFormat="1" applyFont="1" applyFill="1" applyBorder="1" applyAlignment="1">
      <alignment horizontal="center" vertical="top" wrapText="1"/>
    </xf>
    <xf numFmtId="49" fontId="13" fillId="7" borderId="80" xfId="0" applyNumberFormat="1" applyFont="1" applyFill="1" applyBorder="1" applyAlignment="1">
      <alignment horizontal="center" vertical="top"/>
    </xf>
    <xf numFmtId="49" fontId="36" fillId="7" borderId="102" xfId="0" applyNumberFormat="1" applyFont="1" applyFill="1" applyBorder="1" applyAlignment="1">
      <alignment horizontal="center" vertical="top"/>
    </xf>
    <xf numFmtId="49" fontId="36" fillId="7" borderId="80" xfId="0" applyNumberFormat="1" applyFont="1" applyFill="1" applyBorder="1" applyAlignment="1">
      <alignment horizontal="center" vertical="top"/>
    </xf>
    <xf numFmtId="49" fontId="13" fillId="7" borderId="106" xfId="0" applyNumberFormat="1" applyFont="1" applyFill="1" applyBorder="1" applyAlignment="1">
      <alignment horizontal="center" vertical="top"/>
    </xf>
    <xf numFmtId="49" fontId="13" fillId="7" borderId="104" xfId="0" applyNumberFormat="1" applyFont="1" applyFill="1" applyBorder="1" applyAlignment="1">
      <alignment horizontal="center" vertical="top"/>
    </xf>
    <xf numFmtId="49" fontId="13" fillId="7" borderId="102" xfId="0" applyNumberFormat="1" applyFont="1" applyFill="1" applyBorder="1" applyAlignment="1">
      <alignment horizontal="center" vertical="top"/>
    </xf>
    <xf numFmtId="166" fontId="13" fillId="7" borderId="103" xfId="0" applyNumberFormat="1" applyFont="1" applyFill="1" applyBorder="1" applyAlignment="1">
      <alignment horizontal="center" vertical="top"/>
    </xf>
    <xf numFmtId="3" fontId="13" fillId="7" borderId="11" xfId="0" applyNumberFormat="1" applyFont="1" applyFill="1" applyBorder="1" applyAlignment="1">
      <alignment horizontal="center" vertical="top" wrapText="1"/>
    </xf>
    <xf numFmtId="3" fontId="13" fillId="7" borderId="18" xfId="0" applyNumberFormat="1" applyFont="1" applyFill="1" applyBorder="1" applyAlignment="1">
      <alignment horizontal="center" vertical="top" wrapText="1"/>
    </xf>
    <xf numFmtId="3" fontId="13" fillId="7" borderId="102" xfId="0" applyNumberFormat="1" applyFont="1" applyFill="1" applyBorder="1" applyAlignment="1">
      <alignment horizontal="center" vertical="top"/>
    </xf>
    <xf numFmtId="3" fontId="36" fillId="7" borderId="102" xfId="0" applyNumberFormat="1" applyFont="1" applyFill="1" applyBorder="1" applyAlignment="1">
      <alignment horizontal="center" vertical="top"/>
    </xf>
    <xf numFmtId="3" fontId="36" fillId="7" borderId="107" xfId="0" applyNumberFormat="1" applyFont="1" applyFill="1" applyBorder="1" applyAlignment="1">
      <alignment horizontal="center" vertical="top"/>
    </xf>
    <xf numFmtId="3" fontId="13" fillId="7" borderId="48" xfId="0" applyNumberFormat="1" applyFont="1" applyFill="1" applyBorder="1" applyAlignment="1">
      <alignment horizontal="center" vertical="top" wrapText="1"/>
    </xf>
    <xf numFmtId="0" fontId="22" fillId="7" borderId="88" xfId="0" applyFont="1" applyFill="1" applyBorder="1" applyAlignment="1">
      <alignment vertical="top" wrapText="1"/>
    </xf>
    <xf numFmtId="166" fontId="3" fillId="0" borderId="0" xfId="0" applyNumberFormat="1" applyFont="1" applyFill="1" applyBorder="1" applyAlignment="1">
      <alignment horizontal="center" vertical="top"/>
    </xf>
    <xf numFmtId="166" fontId="3" fillId="0" borderId="0" xfId="0" applyNumberFormat="1" applyFont="1" applyFill="1" applyBorder="1" applyAlignment="1">
      <alignment horizontal="right" vertical="top"/>
    </xf>
    <xf numFmtId="166" fontId="3" fillId="9" borderId="7"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2" fillId="7" borderId="48" xfId="0" applyNumberFormat="1" applyFont="1" applyFill="1" applyBorder="1" applyAlignment="1">
      <alignment vertical="top" wrapText="1"/>
    </xf>
    <xf numFmtId="166" fontId="2" fillId="7" borderId="7" xfId="0" applyNumberFormat="1" applyFont="1" applyFill="1" applyBorder="1" applyAlignment="1">
      <alignment horizontal="left" vertical="top" wrapText="1"/>
    </xf>
    <xf numFmtId="166" fontId="3" fillId="7" borderId="11" xfId="0" applyNumberFormat="1" applyFont="1" applyFill="1" applyBorder="1" applyAlignment="1">
      <alignment horizontal="center" vertical="top" wrapText="1"/>
    </xf>
    <xf numFmtId="166" fontId="3" fillId="2" borderId="4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11" xfId="0" applyNumberFormat="1" applyFont="1" applyFill="1" applyBorder="1" applyAlignment="1">
      <alignment vertical="top" wrapText="1"/>
    </xf>
    <xf numFmtId="166" fontId="2" fillId="7" borderId="101" xfId="0" applyNumberFormat="1" applyFont="1" applyFill="1" applyBorder="1" applyAlignment="1">
      <alignment horizontal="left" vertical="top" wrapText="1"/>
    </xf>
    <xf numFmtId="166" fontId="3" fillId="7" borderId="1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49" fontId="3" fillId="9" borderId="5" xfId="0" applyNumberFormat="1" applyFont="1" applyFill="1" applyBorder="1" applyAlignment="1">
      <alignment horizontal="center" vertical="top"/>
    </xf>
    <xf numFmtId="49" fontId="3" fillId="2" borderId="41"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49" fontId="3" fillId="2" borderId="56"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166" fontId="3" fillId="7" borderId="56"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49" fontId="3" fillId="7" borderId="48"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7" borderId="35" xfId="0" applyNumberFormat="1" applyFont="1" applyFill="1" applyBorder="1" applyAlignment="1">
      <alignment horizontal="center" vertical="top"/>
    </xf>
    <xf numFmtId="166" fontId="13" fillId="7" borderId="95" xfId="0" applyNumberFormat="1" applyFont="1" applyFill="1" applyBorder="1" applyAlignment="1">
      <alignment horizontal="center" vertical="top"/>
    </xf>
    <xf numFmtId="3" fontId="13" fillId="7" borderId="107" xfId="0" applyNumberFormat="1" applyFont="1" applyFill="1" applyBorder="1" applyAlignment="1">
      <alignment horizontal="center" vertical="top"/>
    </xf>
    <xf numFmtId="166" fontId="13" fillId="0" borderId="11" xfId="0" applyNumberFormat="1" applyFont="1" applyFill="1" applyBorder="1" applyAlignment="1">
      <alignment horizontal="center" vertical="top"/>
    </xf>
    <xf numFmtId="166" fontId="13" fillId="0" borderId="48" xfId="0" applyNumberFormat="1" applyFont="1" applyFill="1" applyBorder="1" applyAlignment="1">
      <alignment horizontal="center" vertical="top"/>
    </xf>
    <xf numFmtId="166" fontId="13" fillId="0" borderId="18" xfId="0" applyNumberFormat="1" applyFont="1" applyFill="1" applyBorder="1" applyAlignment="1">
      <alignment horizontal="center" vertical="top"/>
    </xf>
    <xf numFmtId="166" fontId="2" fillId="7" borderId="96" xfId="0" applyNumberFormat="1" applyFont="1" applyFill="1" applyBorder="1" applyAlignment="1">
      <alignment vertical="top" wrapText="1"/>
    </xf>
    <xf numFmtId="166" fontId="2" fillId="7" borderId="102" xfId="0" applyNumberFormat="1" applyFont="1" applyFill="1" applyBorder="1" applyAlignment="1">
      <alignment vertical="top" wrapText="1"/>
    </xf>
    <xf numFmtId="166" fontId="2" fillId="0" borderId="80" xfId="0" applyNumberFormat="1" applyFont="1" applyFill="1" applyBorder="1" applyAlignment="1">
      <alignment horizontal="center" vertical="top"/>
    </xf>
    <xf numFmtId="166" fontId="2" fillId="0" borderId="96" xfId="0" applyNumberFormat="1" applyFont="1" applyFill="1" applyBorder="1" applyAlignment="1">
      <alignment horizontal="center" vertical="top"/>
    </xf>
    <xf numFmtId="166" fontId="2" fillId="7" borderId="120" xfId="0" applyNumberFormat="1" applyFont="1" applyFill="1" applyBorder="1" applyAlignment="1">
      <alignment horizontal="center" vertical="top"/>
    </xf>
    <xf numFmtId="166" fontId="2" fillId="7" borderId="80" xfId="0" applyNumberFormat="1" applyFont="1" applyFill="1" applyBorder="1" applyAlignment="1">
      <alignment horizontal="center" vertical="top"/>
    </xf>
    <xf numFmtId="166" fontId="2" fillId="7" borderId="100" xfId="0" applyNumberFormat="1" applyFont="1" applyFill="1" applyBorder="1" applyAlignment="1">
      <alignment horizontal="center" vertical="top"/>
    </xf>
    <xf numFmtId="166" fontId="2" fillId="7" borderId="93" xfId="0" applyNumberFormat="1" applyFont="1" applyFill="1" applyBorder="1" applyAlignment="1">
      <alignment horizontal="center" vertical="top"/>
    </xf>
    <xf numFmtId="166" fontId="13" fillId="7" borderId="107" xfId="0" applyNumberFormat="1" applyFont="1" applyFill="1" applyBorder="1" applyAlignment="1">
      <alignment horizontal="center" vertical="top"/>
    </xf>
    <xf numFmtId="166" fontId="2" fillId="7" borderId="85" xfId="0" applyNumberFormat="1" applyFont="1" applyFill="1" applyBorder="1" applyAlignment="1">
      <alignment horizontal="center" vertical="top"/>
    </xf>
    <xf numFmtId="166" fontId="2" fillId="7" borderId="121" xfId="0" applyNumberFormat="1" applyFont="1" applyFill="1" applyBorder="1" applyAlignment="1">
      <alignment horizontal="center" vertical="top"/>
    </xf>
    <xf numFmtId="166" fontId="2" fillId="7" borderId="122" xfId="0" applyNumberFormat="1" applyFont="1" applyFill="1" applyBorder="1" applyAlignment="1">
      <alignment horizontal="center" vertical="top"/>
    </xf>
    <xf numFmtId="166" fontId="13" fillId="0" borderId="80" xfId="0" applyNumberFormat="1" applyFont="1" applyFill="1" applyBorder="1" applyAlignment="1">
      <alignment horizontal="center" vertical="top"/>
    </xf>
    <xf numFmtId="166" fontId="13" fillId="0" borderId="96" xfId="0" applyNumberFormat="1" applyFont="1" applyFill="1" applyBorder="1" applyAlignment="1">
      <alignment horizontal="center" vertical="top"/>
    </xf>
    <xf numFmtId="166" fontId="13" fillId="7" borderId="81" xfId="0" applyNumberFormat="1" applyFont="1" applyFill="1" applyBorder="1" applyAlignment="1">
      <alignment horizontal="center" vertical="top"/>
    </xf>
    <xf numFmtId="166" fontId="2" fillId="7" borderId="86" xfId="0" applyNumberFormat="1" applyFont="1" applyFill="1" applyBorder="1" applyAlignment="1">
      <alignment horizontal="left" vertical="top" wrapText="1"/>
    </xf>
    <xf numFmtId="166" fontId="2" fillId="7" borderId="102" xfId="0" applyNumberFormat="1" applyFont="1" applyFill="1" applyBorder="1" applyAlignment="1">
      <alignment horizontal="left" vertical="top" wrapText="1"/>
    </xf>
    <xf numFmtId="166" fontId="2" fillId="8" borderId="33" xfId="0" applyNumberFormat="1" applyFont="1" applyFill="1" applyBorder="1" applyAlignment="1">
      <alignment horizontal="center" vertical="top"/>
    </xf>
    <xf numFmtId="166" fontId="27" fillId="8" borderId="2" xfId="0" applyNumberFormat="1" applyFont="1" applyFill="1" applyBorder="1" applyAlignment="1">
      <alignment horizontal="center" vertical="top"/>
    </xf>
    <xf numFmtId="49" fontId="3" fillId="9" borderId="72" xfId="0" applyNumberFormat="1" applyFont="1" applyFill="1" applyBorder="1" applyAlignment="1">
      <alignment horizontal="center" vertical="top"/>
    </xf>
    <xf numFmtId="49" fontId="3" fillId="7" borderId="56" xfId="0" applyNumberFormat="1" applyFont="1" applyFill="1" applyBorder="1" applyAlignment="1">
      <alignment horizontal="center" vertical="top"/>
    </xf>
    <xf numFmtId="49" fontId="2" fillId="7" borderId="97" xfId="0" applyNumberFormat="1" applyFont="1" applyFill="1" applyBorder="1" applyAlignment="1">
      <alignment horizontal="left" vertical="top" wrapText="1"/>
    </xf>
    <xf numFmtId="166" fontId="3" fillId="7" borderId="48"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3" fontId="2" fillId="7" borderId="11" xfId="0" applyNumberFormat="1" applyFont="1" applyFill="1" applyBorder="1" applyAlignment="1">
      <alignment horizontal="center" vertical="top" wrapText="1"/>
    </xf>
    <xf numFmtId="166" fontId="2" fillId="7" borderId="7"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3" fontId="2" fillId="7" borderId="1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49" fontId="2" fillId="7" borderId="92"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center" wrapText="1"/>
    </xf>
    <xf numFmtId="49" fontId="36" fillId="7" borderId="11" xfId="0" applyNumberFormat="1" applyFont="1" applyFill="1" applyBorder="1" applyAlignment="1">
      <alignment horizontal="center" vertical="top" wrapText="1"/>
    </xf>
    <xf numFmtId="3" fontId="13" fillId="7" borderId="0" xfId="0" applyNumberFormat="1" applyFont="1" applyFill="1" applyBorder="1" applyAlignment="1">
      <alignment horizontal="center" vertical="top" wrapText="1"/>
    </xf>
    <xf numFmtId="0" fontId="2" fillId="10" borderId="64" xfId="0" applyFont="1" applyFill="1" applyBorder="1" applyAlignment="1">
      <alignment horizontal="center" vertical="top" wrapText="1"/>
    </xf>
    <xf numFmtId="166" fontId="3" fillId="0" borderId="0" xfId="0" applyNumberFormat="1" applyFont="1" applyAlignment="1">
      <alignment vertical="top"/>
    </xf>
    <xf numFmtId="166" fontId="2" fillId="8" borderId="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166" fontId="3" fillId="7" borderId="48" xfId="0" applyNumberFormat="1" applyFont="1" applyFill="1" applyBorder="1" applyAlignment="1">
      <alignment horizontal="center" vertical="top"/>
    </xf>
    <xf numFmtId="3" fontId="2" fillId="0" borderId="46"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0" fontId="2" fillId="7" borderId="7" xfId="0" applyFont="1" applyFill="1" applyBorder="1" applyAlignment="1">
      <alignment vertical="top" wrapText="1"/>
    </xf>
    <xf numFmtId="166" fontId="2" fillId="7" borderId="18" xfId="0" applyNumberFormat="1" applyFont="1" applyFill="1" applyBorder="1" applyAlignment="1">
      <alignment horizontal="center" vertical="center" wrapText="1"/>
    </xf>
    <xf numFmtId="3" fontId="2" fillId="7" borderId="48"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2" fillId="7" borderId="101" xfId="0" applyNumberFormat="1" applyFont="1" applyFill="1" applyBorder="1" applyAlignment="1">
      <alignment horizontal="center" vertical="top"/>
    </xf>
    <xf numFmtId="49" fontId="2" fillId="7" borderId="11" xfId="0" applyNumberFormat="1" applyFont="1" applyFill="1" applyBorder="1" applyAlignment="1">
      <alignment horizontal="center" vertical="top" wrapText="1"/>
    </xf>
    <xf numFmtId="0" fontId="13" fillId="7" borderId="7" xfId="0" applyFont="1" applyFill="1" applyBorder="1" applyAlignment="1">
      <alignment vertical="top" wrapText="1"/>
    </xf>
    <xf numFmtId="0" fontId="13" fillId="7" borderId="29" xfId="0" applyFont="1" applyFill="1" applyBorder="1" applyAlignment="1">
      <alignment vertical="top" wrapText="1"/>
    </xf>
    <xf numFmtId="0" fontId="37" fillId="0" borderId="0" xfId="0" applyFont="1" applyAlignment="1">
      <alignment vertical="center"/>
    </xf>
    <xf numFmtId="49" fontId="2" fillId="0" borderId="27" xfId="0" applyNumberFormat="1" applyFont="1" applyFill="1" applyBorder="1" applyAlignment="1">
      <alignment horizontal="center" vertical="top"/>
    </xf>
    <xf numFmtId="166" fontId="13" fillId="7" borderId="29" xfId="0" applyNumberFormat="1" applyFont="1" applyFill="1" applyBorder="1" applyAlignment="1">
      <alignment horizontal="left" vertical="top" wrapText="1"/>
    </xf>
    <xf numFmtId="49" fontId="13" fillId="7" borderId="28" xfId="0" applyNumberFormat="1" applyFont="1" applyFill="1" applyBorder="1" applyAlignment="1">
      <alignment horizontal="center" vertical="top"/>
    </xf>
    <xf numFmtId="49" fontId="13" fillId="0" borderId="75" xfId="0" applyNumberFormat="1" applyFont="1" applyFill="1" applyBorder="1" applyAlignment="1">
      <alignment horizontal="center" vertical="top"/>
    </xf>
    <xf numFmtId="49" fontId="2" fillId="0" borderId="104" xfId="0" applyNumberFormat="1" applyFont="1" applyFill="1" applyBorder="1" applyAlignment="1">
      <alignment horizontal="center" vertical="top"/>
    </xf>
    <xf numFmtId="49" fontId="2" fillId="0" borderId="96" xfId="0" applyNumberFormat="1" applyFont="1" applyFill="1" applyBorder="1" applyAlignment="1">
      <alignment horizontal="center" vertical="top"/>
    </xf>
    <xf numFmtId="166" fontId="13" fillId="7" borderId="84" xfId="0" applyNumberFormat="1" applyFont="1" applyFill="1" applyBorder="1" applyAlignment="1">
      <alignment horizontal="left" vertical="top" wrapText="1"/>
    </xf>
    <xf numFmtId="49" fontId="13" fillId="7" borderId="85" xfId="0" applyNumberFormat="1" applyFont="1" applyFill="1" applyBorder="1" applyAlignment="1">
      <alignment horizontal="center" vertical="top"/>
    </xf>
    <xf numFmtId="49" fontId="2" fillId="7" borderId="94" xfId="0" applyNumberFormat="1" applyFont="1" applyFill="1" applyBorder="1" applyAlignment="1">
      <alignment horizontal="center" vertical="top"/>
    </xf>
    <xf numFmtId="166" fontId="13" fillId="7" borderId="85" xfId="0" applyNumberFormat="1" applyFont="1" applyFill="1" applyBorder="1" applyAlignment="1">
      <alignment horizontal="center" vertical="top"/>
    </xf>
    <xf numFmtId="166" fontId="13" fillId="7" borderId="122" xfId="0" applyNumberFormat="1" applyFont="1" applyFill="1" applyBorder="1" applyAlignment="1">
      <alignment horizontal="center" vertical="top"/>
    </xf>
    <xf numFmtId="49" fontId="2" fillId="0" borderId="81" xfId="0" applyNumberFormat="1" applyFont="1" applyFill="1" applyBorder="1" applyAlignment="1">
      <alignment horizontal="center" vertical="top"/>
    </xf>
    <xf numFmtId="166" fontId="2" fillId="0" borderId="0" xfId="0" applyNumberFormat="1" applyFont="1" applyFill="1" applyAlignment="1">
      <alignment horizontal="center" vertical="top"/>
    </xf>
    <xf numFmtId="3" fontId="13" fillId="0" borderId="48" xfId="0" applyNumberFormat="1" applyFont="1" applyFill="1" applyBorder="1" applyAlignment="1">
      <alignment horizontal="center" vertical="top"/>
    </xf>
    <xf numFmtId="3" fontId="13" fillId="0" borderId="46" xfId="0" applyNumberFormat="1" applyFont="1" applyFill="1" applyBorder="1" applyAlignment="1">
      <alignment horizontal="center" vertical="top"/>
    </xf>
    <xf numFmtId="49" fontId="13" fillId="7" borderId="48" xfId="0" applyNumberFormat="1" applyFont="1" applyFill="1" applyBorder="1" applyAlignment="1">
      <alignment horizontal="center" vertical="top"/>
    </xf>
    <xf numFmtId="49" fontId="13" fillId="0" borderId="46"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166" fontId="2" fillId="7" borderId="7" xfId="0" applyNumberFormat="1" applyFont="1" applyFill="1" applyBorder="1" applyAlignment="1">
      <alignment vertical="top" wrapText="1"/>
    </xf>
    <xf numFmtId="3" fontId="2" fillId="7" borderId="11"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0" fontId="18" fillId="7" borderId="29" xfId="0" applyFont="1" applyFill="1" applyBorder="1" applyAlignment="1">
      <alignment vertical="top" wrapText="1"/>
    </xf>
    <xf numFmtId="166" fontId="27" fillId="0" borderId="0" xfId="0" applyNumberFormat="1" applyFont="1" applyFill="1" applyBorder="1" applyAlignment="1">
      <alignment horizontal="center" vertical="top"/>
    </xf>
    <xf numFmtId="166" fontId="27" fillId="0" borderId="6" xfId="0" applyNumberFormat="1" applyFont="1" applyFill="1" applyBorder="1" applyAlignment="1">
      <alignment horizontal="center" vertical="top"/>
    </xf>
    <xf numFmtId="166" fontId="2" fillId="0" borderId="34" xfId="0" applyNumberFormat="1" applyFont="1" applyBorder="1" applyAlignment="1">
      <alignment vertical="top"/>
    </xf>
    <xf numFmtId="0" fontId="2" fillId="0" borderId="0" xfId="0" applyFont="1" applyBorder="1" applyAlignment="1">
      <alignment horizontal="right" vertical="top"/>
    </xf>
    <xf numFmtId="166" fontId="2" fillId="0" borderId="0" xfId="0" applyNumberFormat="1" applyFont="1" applyFill="1" applyBorder="1" applyAlignment="1">
      <alignment vertical="top"/>
    </xf>
    <xf numFmtId="166" fontId="2" fillId="8" borderId="24"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0" fontId="2" fillId="7" borderId="101" xfId="0" applyFont="1" applyFill="1" applyBorder="1" applyAlignment="1">
      <alignment vertical="top" wrapText="1"/>
    </xf>
    <xf numFmtId="3" fontId="2" fillId="0" borderId="18"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8" fillId="7" borderId="29" xfId="0" applyNumberFormat="1" applyFont="1" applyFill="1" applyBorder="1" applyAlignment="1">
      <alignment vertical="top" wrapText="1"/>
    </xf>
    <xf numFmtId="3" fontId="2" fillId="7" borderId="46"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0" fontId="2" fillId="7" borderId="7" xfId="0" applyFont="1" applyFill="1" applyBorder="1" applyAlignment="1">
      <alignment vertical="top" wrapText="1"/>
    </xf>
    <xf numFmtId="3" fontId="13" fillId="0" borderId="21" xfId="0" applyNumberFormat="1" applyFont="1" applyFill="1" applyBorder="1" applyAlignment="1">
      <alignment horizontal="center" vertical="top"/>
    </xf>
    <xf numFmtId="49" fontId="13" fillId="7" borderId="18" xfId="0" applyNumberFormat="1" applyFont="1" applyFill="1" applyBorder="1" applyAlignment="1">
      <alignment horizontal="center" vertical="top"/>
    </xf>
    <xf numFmtId="49" fontId="13" fillId="7" borderId="21" xfId="0" applyNumberFormat="1" applyFont="1" applyFill="1" applyBorder="1" applyAlignment="1">
      <alignment horizontal="center" vertical="top"/>
    </xf>
    <xf numFmtId="0" fontId="13" fillId="7" borderId="0" xfId="0" applyFont="1" applyFill="1" applyBorder="1" applyAlignment="1">
      <alignment vertical="top"/>
    </xf>
    <xf numFmtId="0" fontId="36" fillId="7" borderId="7" xfId="0" applyFont="1" applyFill="1" applyBorder="1" applyAlignment="1">
      <alignment vertical="top" wrapText="1"/>
    </xf>
    <xf numFmtId="3" fontId="36" fillId="7" borderId="48" xfId="0" applyNumberFormat="1" applyFont="1" applyFill="1" applyBorder="1" applyAlignment="1">
      <alignment horizontal="center" vertical="top" wrapText="1"/>
    </xf>
    <xf numFmtId="166" fontId="3" fillId="9" borderId="7"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13" fillId="11" borderId="8" xfId="0" applyNumberFormat="1" applyFont="1" applyFill="1" applyBorder="1" applyAlignment="1">
      <alignment horizontal="center" vertical="top"/>
    </xf>
    <xf numFmtId="0" fontId="2" fillId="0" borderId="0" xfId="0" applyFont="1" applyAlignment="1">
      <alignment horizontal="center" vertical="center"/>
    </xf>
    <xf numFmtId="166" fontId="7" fillId="3" borderId="25" xfId="0" applyNumberFormat="1" applyFont="1" applyFill="1" applyBorder="1" applyAlignment="1">
      <alignment horizontal="left" vertical="top" wrapText="1"/>
    </xf>
    <xf numFmtId="166" fontId="7" fillId="3" borderId="11" xfId="0" applyNumberFormat="1" applyFont="1" applyFill="1" applyBorder="1" applyAlignment="1">
      <alignment horizontal="left" vertical="top" wrapText="1"/>
    </xf>
    <xf numFmtId="166" fontId="7" fillId="3" borderId="28" xfId="0" applyNumberFormat="1" applyFont="1" applyFill="1" applyBorder="1" applyAlignment="1">
      <alignment horizontal="left" vertical="top" wrapText="1"/>
    </xf>
    <xf numFmtId="166" fontId="3" fillId="7" borderId="25" xfId="0" applyNumberFormat="1" applyFont="1" applyFill="1" applyBorder="1" applyAlignment="1">
      <alignment horizontal="left" vertical="top" wrapText="1"/>
    </xf>
    <xf numFmtId="166" fontId="3" fillId="7" borderId="11" xfId="0" applyNumberFormat="1" applyFont="1" applyFill="1" applyBorder="1" applyAlignment="1">
      <alignment horizontal="left" vertical="top" wrapText="1"/>
    </xf>
    <xf numFmtId="166" fontId="3" fillId="7" borderId="28" xfId="0" applyNumberFormat="1" applyFont="1" applyFill="1" applyBorder="1" applyAlignment="1">
      <alignment horizontal="left" vertical="top" wrapText="1"/>
    </xf>
    <xf numFmtId="0" fontId="2" fillId="0" borderId="39" xfId="0" applyFont="1" applyBorder="1" applyAlignment="1">
      <alignment horizontal="center" vertical="center" textRotation="90" wrapText="1"/>
    </xf>
    <xf numFmtId="0" fontId="2" fillId="0" borderId="6" xfId="0" applyFont="1" applyBorder="1" applyAlignment="1">
      <alignment horizontal="center" vertical="center" textRotation="90" wrapText="1"/>
    </xf>
    <xf numFmtId="0" fontId="2" fillId="0" borderId="66" xfId="0" applyFont="1" applyBorder="1" applyAlignment="1">
      <alignment horizontal="center" vertical="center" textRotation="90" wrapText="1"/>
    </xf>
    <xf numFmtId="0" fontId="3" fillId="0" borderId="68" xfId="0" applyFont="1" applyBorder="1" applyAlignment="1">
      <alignment horizontal="center" vertical="center"/>
    </xf>
    <xf numFmtId="0" fontId="3" fillId="0" borderId="73" xfId="0" applyFont="1" applyBorder="1" applyAlignment="1">
      <alignment horizontal="center" vertical="center"/>
    </xf>
    <xf numFmtId="0" fontId="3" fillId="0" borderId="69" xfId="0" applyFont="1" applyBorder="1" applyAlignment="1">
      <alignment horizontal="center" vertical="center"/>
    </xf>
    <xf numFmtId="0" fontId="2" fillId="0" borderId="3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62" xfId="0" applyFont="1" applyBorder="1" applyAlignment="1">
      <alignment horizontal="center" vertical="center"/>
    </xf>
    <xf numFmtId="0" fontId="2" fillId="0" borderId="42" xfId="0" applyFont="1" applyBorder="1" applyAlignment="1">
      <alignment horizontal="center" vertical="center"/>
    </xf>
    <xf numFmtId="49" fontId="5" fillId="6" borderId="68" xfId="0" applyNumberFormat="1" applyFont="1" applyFill="1" applyBorder="1" applyAlignment="1">
      <alignment horizontal="left" vertical="top" wrapText="1"/>
    </xf>
    <xf numFmtId="49" fontId="5" fillId="6" borderId="73" xfId="0" applyNumberFormat="1" applyFont="1" applyFill="1" applyBorder="1" applyAlignment="1">
      <alignment horizontal="left" vertical="top" wrapText="1"/>
    </xf>
    <xf numFmtId="49" fontId="5" fillId="6" borderId="69" xfId="0" applyNumberFormat="1" applyFont="1" applyFill="1" applyBorder="1" applyAlignment="1">
      <alignment horizontal="left" vertical="top" wrapText="1"/>
    </xf>
    <xf numFmtId="3" fontId="2" fillId="0" borderId="41" xfId="0" applyNumberFormat="1" applyFont="1" applyBorder="1" applyAlignment="1">
      <alignment horizontal="center" vertical="center" textRotation="90" shrinkToFit="1"/>
    </xf>
    <xf numFmtId="3" fontId="2" fillId="0" borderId="48" xfId="0" applyNumberFormat="1" applyFont="1" applyBorder="1" applyAlignment="1">
      <alignment horizontal="center" vertical="center" textRotation="90" shrinkToFit="1"/>
    </xf>
    <xf numFmtId="3" fontId="2" fillId="0" borderId="56" xfId="0" applyNumberFormat="1" applyFont="1" applyBorder="1" applyAlignment="1">
      <alignment horizontal="center" vertical="center" textRotation="90" shrinkToFit="1"/>
    </xf>
    <xf numFmtId="3" fontId="2" fillId="0" borderId="41" xfId="0" applyNumberFormat="1" applyFont="1" applyBorder="1" applyAlignment="1">
      <alignment horizontal="center" vertical="center" textRotation="90" wrapText="1"/>
    </xf>
    <xf numFmtId="3" fontId="2" fillId="0" borderId="48" xfId="0" applyNumberFormat="1" applyFont="1" applyBorder="1" applyAlignment="1">
      <alignment horizontal="center" vertical="center" textRotation="90" wrapText="1"/>
    </xf>
    <xf numFmtId="3" fontId="2" fillId="0" borderId="56" xfId="0" applyNumberFormat="1" applyFont="1" applyBorder="1" applyAlignment="1">
      <alignment horizontal="center" vertical="center" textRotation="90" wrapText="1"/>
    </xf>
    <xf numFmtId="3" fontId="2" fillId="0" borderId="39" xfId="0" applyNumberFormat="1" applyFont="1" applyBorder="1" applyAlignment="1">
      <alignment horizontal="center" vertical="center" textRotation="90" wrapText="1" shrinkToFit="1"/>
    </xf>
    <xf numFmtId="3" fontId="2" fillId="0" borderId="6" xfId="0" applyNumberFormat="1" applyFont="1" applyBorder="1" applyAlignment="1">
      <alignment horizontal="center" vertical="center" textRotation="90" wrapText="1" shrinkToFit="1"/>
    </xf>
    <xf numFmtId="3" fontId="2" fillId="0" borderId="66" xfId="0" applyNumberFormat="1" applyFont="1" applyBorder="1" applyAlignment="1">
      <alignment horizontal="center" vertical="center" textRotation="90" wrapText="1" shrinkToFit="1"/>
    </xf>
    <xf numFmtId="3" fontId="2" fillId="0" borderId="5" xfId="0" applyNumberFormat="1" applyFont="1" applyBorder="1" applyAlignment="1">
      <alignment horizontal="center" vertical="center" textRotation="90" shrinkToFit="1"/>
    </xf>
    <xf numFmtId="3" fontId="2" fillId="0" borderId="7" xfId="0" applyNumberFormat="1" applyFont="1" applyBorder="1" applyAlignment="1">
      <alignment horizontal="center" vertical="center" textRotation="90" shrinkToFit="1"/>
    </xf>
    <xf numFmtId="3" fontId="2" fillId="0" borderId="9" xfId="0" applyNumberFormat="1" applyFont="1" applyBorder="1" applyAlignment="1">
      <alignment horizontal="center" vertical="center" textRotation="90" shrinkToFit="1"/>
    </xf>
    <xf numFmtId="3" fontId="2" fillId="0" borderId="25" xfId="0" applyNumberFormat="1" applyFont="1" applyBorder="1" applyAlignment="1">
      <alignment horizontal="center" vertical="center" textRotation="90" shrinkToFit="1"/>
    </xf>
    <xf numFmtId="3" fontId="2" fillId="0" borderId="11" xfId="0" applyNumberFormat="1" applyFont="1" applyBorder="1" applyAlignment="1">
      <alignment horizontal="center" vertical="center" textRotation="90" shrinkToFit="1"/>
    </xf>
    <xf numFmtId="3" fontId="2" fillId="0" borderId="30" xfId="0" applyNumberFormat="1" applyFont="1" applyBorder="1" applyAlignment="1">
      <alignment horizontal="center" vertical="center" textRotation="90" shrinkToFit="1"/>
    </xf>
    <xf numFmtId="3" fontId="2" fillId="0" borderId="41" xfId="0" applyNumberFormat="1" applyFont="1" applyBorder="1" applyAlignment="1">
      <alignment horizontal="center" vertical="center" shrinkToFit="1"/>
    </xf>
    <xf numFmtId="3" fontId="2" fillId="0" borderId="48" xfId="0" applyNumberFormat="1" applyFont="1" applyBorder="1" applyAlignment="1">
      <alignment horizontal="center" vertical="center" shrinkToFit="1"/>
    </xf>
    <xf numFmtId="3" fontId="2" fillId="0" borderId="56" xfId="0" applyNumberFormat="1" applyFont="1" applyBorder="1" applyAlignment="1">
      <alignment horizontal="center" vertical="center" shrinkToFit="1"/>
    </xf>
    <xf numFmtId="166" fontId="3" fillId="7" borderId="48" xfId="0" applyNumberFormat="1" applyFont="1" applyFill="1" applyBorder="1" applyAlignment="1">
      <alignment horizontal="center" vertical="top"/>
    </xf>
    <xf numFmtId="166" fontId="2" fillId="7" borderId="36" xfId="0" applyNumberFormat="1" applyFont="1" applyFill="1" applyBorder="1" applyAlignment="1">
      <alignment horizontal="left" vertical="top" wrapText="1"/>
    </xf>
    <xf numFmtId="0" fontId="0" fillId="0" borderId="7" xfId="0" applyBorder="1" applyAlignment="1">
      <alignment horizontal="left" vertical="top" wrapText="1"/>
    </xf>
    <xf numFmtId="166" fontId="3" fillId="7" borderId="20" xfId="0" applyNumberFormat="1" applyFont="1" applyFill="1" applyBorder="1" applyAlignment="1">
      <alignment horizontal="center" vertical="center" textRotation="90" wrapText="1"/>
    </xf>
    <xf numFmtId="0" fontId="0" fillId="7" borderId="28" xfId="0" applyFill="1" applyBorder="1" applyAlignment="1">
      <alignment horizontal="center" vertical="center" textRotation="90" wrapText="1"/>
    </xf>
    <xf numFmtId="0" fontId="5" fillId="5" borderId="67" xfId="0" applyFont="1" applyFill="1" applyBorder="1" applyAlignment="1">
      <alignment horizontal="left" vertical="top" wrapText="1"/>
    </xf>
    <xf numFmtId="0" fontId="5" fillId="5" borderId="62" xfId="0" applyFont="1" applyFill="1" applyBorder="1" applyAlignment="1">
      <alignment horizontal="left" vertical="top" wrapText="1"/>
    </xf>
    <xf numFmtId="0" fontId="5" fillId="5" borderId="42" xfId="0" applyFont="1" applyFill="1" applyBorder="1" applyAlignment="1">
      <alignment horizontal="left" vertical="top" wrapText="1"/>
    </xf>
    <xf numFmtId="0" fontId="3" fillId="9" borderId="37" xfId="0" applyFont="1" applyFill="1" applyBorder="1" applyAlignment="1">
      <alignment horizontal="left" vertical="top"/>
    </xf>
    <xf numFmtId="0" fontId="3" fillId="9" borderId="62" xfId="0" applyFont="1" applyFill="1" applyBorder="1" applyAlignment="1">
      <alignment horizontal="left" vertical="top"/>
    </xf>
    <xf numFmtId="0" fontId="3" fillId="9" borderId="42" xfId="0" applyFont="1" applyFill="1" applyBorder="1" applyAlignment="1">
      <alignment horizontal="left" vertical="top"/>
    </xf>
    <xf numFmtId="0" fontId="3" fillId="2" borderId="37" xfId="0" applyFont="1" applyFill="1" applyBorder="1" applyAlignment="1">
      <alignment horizontal="left" vertical="top" wrapText="1"/>
    </xf>
    <xf numFmtId="0" fontId="3" fillId="2" borderId="62" xfId="0" applyFont="1" applyFill="1" applyBorder="1" applyAlignment="1">
      <alignment horizontal="left" vertical="top" wrapText="1"/>
    </xf>
    <xf numFmtId="0" fontId="3" fillId="2" borderId="42" xfId="0" applyFont="1" applyFill="1" applyBorder="1" applyAlignment="1">
      <alignment horizontal="left" vertical="top" wrapText="1"/>
    </xf>
    <xf numFmtId="166" fontId="2" fillId="7" borderId="20" xfId="0" applyNumberFormat="1" applyFont="1" applyFill="1" applyBorder="1" applyAlignment="1">
      <alignment vertical="top" wrapText="1"/>
    </xf>
    <xf numFmtId="166" fontId="2" fillId="7" borderId="11" xfId="0" applyNumberFormat="1" applyFont="1" applyFill="1" applyBorder="1" applyAlignment="1">
      <alignment vertical="top" wrapText="1"/>
    </xf>
    <xf numFmtId="166" fontId="2" fillId="7" borderId="36" xfId="0" applyNumberFormat="1" applyFont="1" applyFill="1" applyBorder="1" applyAlignment="1">
      <alignment vertical="top" wrapText="1"/>
    </xf>
    <xf numFmtId="0" fontId="8" fillId="0" borderId="79" xfId="0" applyFont="1" applyBorder="1" applyAlignment="1">
      <alignment vertical="top" wrapText="1"/>
    </xf>
    <xf numFmtId="166" fontId="6" fillId="7" borderId="20" xfId="0" applyNumberFormat="1" applyFont="1" applyFill="1" applyBorder="1" applyAlignment="1">
      <alignment horizontal="center" vertical="center" textRotation="90" wrapText="1"/>
    </xf>
    <xf numFmtId="0" fontId="0" fillId="0" borderId="11" xfId="0" applyBorder="1" applyAlignment="1">
      <alignment textRotation="90" wrapText="1"/>
    </xf>
    <xf numFmtId="166" fontId="3" fillId="7" borderId="11" xfId="0" applyNumberFormat="1" applyFont="1" applyFill="1" applyBorder="1" applyAlignment="1">
      <alignment horizontal="center" vertical="center" textRotation="90" wrapText="1"/>
    </xf>
    <xf numFmtId="166" fontId="2" fillId="7" borderId="101" xfId="0" applyNumberFormat="1" applyFont="1" applyFill="1" applyBorder="1" applyAlignment="1">
      <alignment horizontal="left" vertical="top" wrapText="1"/>
    </xf>
    <xf numFmtId="0" fontId="0" fillId="0" borderId="29" xfId="0" applyBorder="1" applyAlignment="1">
      <alignment horizontal="left" vertical="top"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2" fillId="7" borderId="20" xfId="0" applyNumberFormat="1" applyFont="1" applyFill="1" applyBorder="1" applyAlignment="1">
      <alignment horizontal="left" vertical="top" wrapText="1"/>
    </xf>
    <xf numFmtId="166" fontId="2" fillId="7" borderId="28" xfId="0" applyNumberFormat="1" applyFont="1" applyFill="1" applyBorder="1" applyAlignment="1">
      <alignment horizontal="left" vertical="top" wrapText="1"/>
    </xf>
    <xf numFmtId="0" fontId="2" fillId="7" borderId="20" xfId="0" applyFont="1" applyFill="1" applyBorder="1" applyAlignment="1">
      <alignment horizontal="left" vertical="top" wrapText="1"/>
    </xf>
    <xf numFmtId="0" fontId="2" fillId="7" borderId="11" xfId="0" applyFont="1" applyFill="1" applyBorder="1" applyAlignment="1">
      <alignment horizontal="left" vertical="top" wrapText="1"/>
    </xf>
    <xf numFmtId="0" fontId="8" fillId="7" borderId="11" xfId="0" applyFont="1" applyFill="1" applyBorder="1" applyAlignment="1">
      <alignment horizontal="left" vertical="top" wrapText="1"/>
    </xf>
    <xf numFmtId="166" fontId="3" fillId="7" borderId="18" xfId="0" applyNumberFormat="1" applyFont="1" applyFill="1" applyBorder="1" applyAlignment="1">
      <alignment horizontal="center" vertical="top"/>
    </xf>
    <xf numFmtId="166" fontId="2" fillId="7" borderId="46" xfId="0" applyNumberFormat="1" applyFont="1" applyFill="1" applyBorder="1" applyAlignment="1">
      <alignment horizontal="left" vertical="top" wrapText="1"/>
    </xf>
    <xf numFmtId="166" fontId="2" fillId="7" borderId="48" xfId="0" applyNumberFormat="1" applyFont="1" applyFill="1" applyBorder="1" applyAlignment="1">
      <alignment horizontal="left" vertical="top" wrapText="1"/>
    </xf>
    <xf numFmtId="166" fontId="2" fillId="7" borderId="35" xfId="0" applyNumberFormat="1" applyFont="1" applyFill="1" applyBorder="1" applyAlignment="1">
      <alignment horizontal="left" vertical="top" wrapText="1"/>
    </xf>
    <xf numFmtId="0" fontId="2" fillId="7" borderId="36" xfId="0" applyFont="1" applyFill="1" applyBorder="1" applyAlignment="1">
      <alignment horizontal="left" vertical="top" wrapText="1"/>
    </xf>
    <xf numFmtId="0" fontId="8" fillId="7" borderId="7" xfId="0" applyFont="1" applyFill="1" applyBorder="1" applyAlignment="1">
      <alignment horizontal="left" vertical="top" wrapText="1"/>
    </xf>
    <xf numFmtId="166" fontId="3" fillId="7" borderId="20" xfId="0" applyNumberFormat="1" applyFont="1" applyFill="1" applyBorder="1" applyAlignment="1">
      <alignment horizontal="center" vertical="top" textRotation="90" wrapText="1"/>
    </xf>
    <xf numFmtId="0" fontId="0" fillId="7" borderId="28" xfId="0" applyFont="1" applyFill="1" applyBorder="1" applyAlignment="1">
      <alignment horizontal="center" vertical="top" textRotation="90" wrapText="1"/>
    </xf>
    <xf numFmtId="166" fontId="2" fillId="7" borderId="28" xfId="0" applyNumberFormat="1" applyFont="1" applyFill="1" applyBorder="1" applyAlignment="1">
      <alignment vertical="top" wrapText="1"/>
    </xf>
    <xf numFmtId="0" fontId="2" fillId="7" borderId="7" xfId="0" applyFont="1" applyFill="1" applyBorder="1" applyAlignment="1">
      <alignment horizontal="left" vertical="top" wrapText="1"/>
    </xf>
    <xf numFmtId="0" fontId="0" fillId="0" borderId="79" xfId="0" applyBorder="1" applyAlignment="1">
      <alignment horizontal="left" vertical="top" wrapText="1"/>
    </xf>
    <xf numFmtId="166" fontId="3" fillId="9" borderId="34" xfId="0" applyNumberFormat="1" applyFont="1" applyFill="1" applyBorder="1" applyAlignment="1">
      <alignment horizontal="center" vertical="top"/>
    </xf>
    <xf numFmtId="166" fontId="4" fillId="0" borderId="25" xfId="0" applyNumberFormat="1" applyFont="1" applyFill="1" applyBorder="1" applyAlignment="1">
      <alignment horizontal="center" vertical="center" textRotation="90" wrapText="1" shrinkToFit="1"/>
    </xf>
    <xf numFmtId="0" fontId="0" fillId="0" borderId="11" xfId="0" applyBorder="1" applyAlignment="1">
      <alignment horizontal="center" vertical="center" textRotation="90" wrapText="1" shrinkToFit="1"/>
    </xf>
    <xf numFmtId="0" fontId="0" fillId="0" borderId="28" xfId="0" applyBorder="1" applyAlignment="1">
      <alignment horizontal="center" vertical="center" textRotation="90" wrapText="1" shrinkToFit="1"/>
    </xf>
    <xf numFmtId="0" fontId="0" fillId="0" borderId="11" xfId="0" applyBorder="1" applyAlignment="1">
      <alignment horizontal="left" vertical="top" wrapText="1"/>
    </xf>
    <xf numFmtId="0" fontId="0" fillId="0" borderId="28" xfId="0" applyBorder="1" applyAlignment="1">
      <alignment horizontal="left" vertical="top" wrapText="1"/>
    </xf>
    <xf numFmtId="166" fontId="3" fillId="2" borderId="48" xfId="0" applyNumberFormat="1" applyFont="1" applyFill="1" applyBorder="1" applyAlignment="1">
      <alignment horizontal="center" vertical="top"/>
    </xf>
    <xf numFmtId="0" fontId="0" fillId="7" borderId="11" xfId="0" applyFill="1" applyBorder="1" applyAlignment="1">
      <alignment horizontal="left" vertical="top" wrapText="1"/>
    </xf>
    <xf numFmtId="166" fontId="3" fillId="7" borderId="20"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166" fontId="3" fillId="3" borderId="20" xfId="0" applyNumberFormat="1" applyFont="1" applyFill="1" applyBorder="1" applyAlignment="1">
      <alignment horizontal="center" vertical="top" wrapText="1"/>
    </xf>
    <xf numFmtId="166" fontId="3" fillId="3" borderId="28" xfId="0" applyNumberFormat="1" applyFont="1" applyFill="1" applyBorder="1" applyAlignment="1">
      <alignment horizontal="center" vertical="top" wrapText="1"/>
    </xf>
    <xf numFmtId="166" fontId="3" fillId="3" borderId="48" xfId="0" applyNumberFormat="1" applyFont="1" applyFill="1" applyBorder="1" applyAlignment="1">
      <alignment horizontal="center" vertical="top"/>
    </xf>
    <xf numFmtId="166" fontId="3" fillId="3" borderId="11" xfId="0" applyNumberFormat="1" applyFont="1" applyFill="1" applyBorder="1" applyAlignment="1">
      <alignment horizontal="center" vertical="top" wrapText="1"/>
    </xf>
    <xf numFmtId="166" fontId="7" fillId="7" borderId="25" xfId="0" applyNumberFormat="1" applyFont="1" applyFill="1" applyBorder="1" applyAlignment="1">
      <alignment horizontal="left" vertical="top" wrapText="1"/>
    </xf>
    <xf numFmtId="166" fontId="4" fillId="7" borderId="25" xfId="0" applyNumberFormat="1" applyFont="1" applyFill="1" applyBorder="1" applyAlignment="1">
      <alignment horizontal="center" vertical="center" textRotation="90" wrapText="1"/>
    </xf>
    <xf numFmtId="0" fontId="0" fillId="7" borderId="11" xfId="0" applyFill="1" applyBorder="1" applyAlignment="1">
      <alignment horizontal="center" vertical="center" textRotation="90" wrapText="1"/>
    </xf>
    <xf numFmtId="0" fontId="8" fillId="0" borderId="7" xfId="0" applyFont="1" applyBorder="1" applyAlignment="1">
      <alignment horizontal="left" vertical="top" wrapText="1"/>
    </xf>
    <xf numFmtId="166" fontId="2" fillId="7" borderId="11" xfId="0" applyNumberFormat="1" applyFont="1" applyFill="1" applyBorder="1" applyAlignment="1">
      <alignment horizontal="left" vertical="top" wrapText="1"/>
    </xf>
    <xf numFmtId="166" fontId="3" fillId="7" borderId="20"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166" fontId="3" fillId="3" borderId="21" xfId="0" applyNumberFormat="1" applyFont="1" applyFill="1" applyBorder="1" applyAlignment="1">
      <alignment horizontal="center" vertical="top"/>
    </xf>
    <xf numFmtId="166" fontId="3" fillId="3" borderId="18" xfId="0" applyNumberFormat="1" applyFont="1" applyFill="1" applyBorder="1" applyAlignment="1">
      <alignment horizontal="center" vertical="top"/>
    </xf>
    <xf numFmtId="166" fontId="3" fillId="3" borderId="27" xfId="0" applyNumberFormat="1" applyFont="1" applyFill="1" applyBorder="1" applyAlignment="1">
      <alignment horizontal="center" vertical="top"/>
    </xf>
    <xf numFmtId="166" fontId="3" fillId="3" borderId="25" xfId="0" applyNumberFormat="1" applyFont="1" applyFill="1" applyBorder="1" applyAlignment="1">
      <alignment horizontal="center" vertical="center" textRotation="90" wrapText="1"/>
    </xf>
    <xf numFmtId="0" fontId="8" fillId="0" borderId="11" xfId="0" applyFont="1" applyBorder="1" applyAlignment="1">
      <alignment horizontal="center" vertical="center" textRotation="90" wrapText="1"/>
    </xf>
    <xf numFmtId="0" fontId="8" fillId="0" borderId="28" xfId="0" applyFont="1" applyBorder="1" applyAlignment="1">
      <alignment horizontal="center" vertical="center" textRotation="90" wrapText="1"/>
    </xf>
    <xf numFmtId="0" fontId="2" fillId="7" borderId="36" xfId="0" applyFont="1" applyFill="1" applyBorder="1" applyAlignment="1">
      <alignment vertical="top" wrapText="1"/>
    </xf>
    <xf numFmtId="0" fontId="0" fillId="0" borderId="29" xfId="0" applyBorder="1" applyAlignment="1">
      <alignment vertical="top" wrapText="1"/>
    </xf>
    <xf numFmtId="166" fontId="8" fillId="7" borderId="96" xfId="0" applyNumberFormat="1" applyFont="1" applyFill="1" applyBorder="1" applyAlignment="1">
      <alignment horizontal="left" vertical="top" wrapText="1"/>
    </xf>
    <xf numFmtId="0" fontId="8" fillId="0" borderId="11" xfId="0" applyFont="1" applyBorder="1" applyAlignment="1">
      <alignment horizontal="center" vertical="top" wrapText="1"/>
    </xf>
    <xf numFmtId="166" fontId="8" fillId="7" borderId="48" xfId="0" applyNumberFormat="1" applyFont="1" applyFill="1" applyBorder="1" applyAlignment="1">
      <alignment horizontal="left" vertical="top" wrapText="1"/>
    </xf>
    <xf numFmtId="3" fontId="2" fillId="7" borderId="20" xfId="0" applyNumberFormat="1" applyFont="1" applyFill="1" applyBorder="1" applyAlignment="1">
      <alignment horizontal="center" vertical="top" wrapText="1"/>
    </xf>
    <xf numFmtId="3" fontId="2" fillId="7" borderId="11" xfId="0" applyNumberFormat="1" applyFont="1" applyFill="1" applyBorder="1" applyAlignment="1">
      <alignment horizontal="center" vertical="top" wrapText="1"/>
    </xf>
    <xf numFmtId="49" fontId="2" fillId="7" borderId="7" xfId="0" applyNumberFormat="1" applyFont="1" applyFill="1" applyBorder="1" applyAlignment="1">
      <alignment horizontal="left" vertical="top" wrapText="1"/>
    </xf>
    <xf numFmtId="166" fontId="8" fillId="7" borderId="35" xfId="0" applyNumberFormat="1" applyFont="1" applyFill="1" applyBorder="1" applyAlignment="1">
      <alignment horizontal="left" vertical="top" wrapText="1"/>
    </xf>
    <xf numFmtId="166" fontId="3" fillId="0" borderId="20" xfId="0" applyNumberFormat="1" applyFont="1" applyFill="1" applyBorder="1" applyAlignment="1">
      <alignment horizontal="center" vertical="top" wrapText="1"/>
    </xf>
    <xf numFmtId="166" fontId="3" fillId="0" borderId="11" xfId="0" applyNumberFormat="1" applyFont="1" applyFill="1" applyBorder="1" applyAlignment="1">
      <alignment horizontal="center" vertical="top" wrapText="1"/>
    </xf>
    <xf numFmtId="49" fontId="3" fillId="0" borderId="18" xfId="0" applyNumberFormat="1" applyFont="1" applyBorder="1" applyAlignment="1">
      <alignment horizontal="center" vertical="top"/>
    </xf>
    <xf numFmtId="166" fontId="4" fillId="3" borderId="25" xfId="0" applyNumberFormat="1" applyFont="1" applyFill="1" applyBorder="1" applyAlignment="1">
      <alignment horizontal="center" vertical="center" textRotation="90" wrapText="1"/>
    </xf>
    <xf numFmtId="0" fontId="0" fillId="0" borderId="11" xfId="0" applyBorder="1" applyAlignment="1">
      <alignment horizontal="center" vertical="center" textRotation="90" wrapText="1"/>
    </xf>
    <xf numFmtId="0" fontId="0" fillId="0" borderId="28" xfId="0" applyBorder="1" applyAlignment="1">
      <alignment horizontal="center" vertical="center" textRotation="90" wrapText="1"/>
    </xf>
    <xf numFmtId="166" fontId="3" fillId="2" borderId="74" xfId="0" applyNumberFormat="1" applyFont="1" applyFill="1" applyBorder="1" applyAlignment="1">
      <alignment horizontal="right" vertical="top"/>
    </xf>
    <xf numFmtId="166" fontId="3" fillId="2" borderId="70" xfId="0" applyNumberFormat="1" applyFont="1" applyFill="1" applyBorder="1" applyAlignment="1">
      <alignment horizontal="right" vertical="top"/>
    </xf>
    <xf numFmtId="166" fontId="3" fillId="2" borderId="71" xfId="0" applyNumberFormat="1" applyFont="1" applyFill="1" applyBorder="1" applyAlignment="1">
      <alignment horizontal="right" vertical="top"/>
    </xf>
    <xf numFmtId="166" fontId="3" fillId="2" borderId="4" xfId="0" applyNumberFormat="1" applyFont="1" applyFill="1" applyBorder="1" applyAlignment="1">
      <alignment horizontal="left" vertical="top"/>
    </xf>
    <xf numFmtId="166" fontId="3" fillId="2" borderId="25" xfId="0" applyNumberFormat="1" applyFont="1" applyFill="1" applyBorder="1" applyAlignment="1">
      <alignment horizontal="left" vertical="top"/>
    </xf>
    <xf numFmtId="166" fontId="3" fillId="2" borderId="74" xfId="0" applyNumberFormat="1" applyFont="1" applyFill="1" applyBorder="1" applyAlignment="1">
      <alignment horizontal="left" vertical="top"/>
    </xf>
    <xf numFmtId="166" fontId="3" fillId="2" borderId="76" xfId="0" applyNumberFormat="1" applyFont="1" applyFill="1" applyBorder="1" applyAlignment="1">
      <alignment horizontal="left" vertical="top"/>
    </xf>
    <xf numFmtId="166" fontId="2" fillId="7" borderId="92" xfId="0" applyNumberFormat="1" applyFont="1" applyFill="1" applyBorder="1" applyAlignment="1">
      <alignment horizontal="left" vertical="top" wrapText="1"/>
    </xf>
    <xf numFmtId="49" fontId="2" fillId="7" borderId="102" xfId="0" applyNumberFormat="1" applyFont="1" applyFill="1" applyBorder="1" applyAlignment="1">
      <alignment vertical="top" wrapText="1"/>
    </xf>
    <xf numFmtId="49" fontId="2" fillId="7" borderId="11" xfId="0" applyNumberFormat="1" applyFont="1" applyFill="1" applyBorder="1" applyAlignment="1">
      <alignment vertical="top" wrapText="1"/>
    </xf>
    <xf numFmtId="0" fontId="8" fillId="0" borderId="29" xfId="0" applyFont="1" applyBorder="1" applyAlignment="1">
      <alignment horizontal="left" vertical="top" wrapText="1"/>
    </xf>
    <xf numFmtId="0" fontId="0" fillId="0" borderId="11" xfId="0" applyBorder="1" applyAlignment="1">
      <alignment horizontal="center" vertical="top" wrapText="1"/>
    </xf>
    <xf numFmtId="166" fontId="2" fillId="7" borderId="7" xfId="0" applyNumberFormat="1" applyFont="1" applyFill="1" applyBorder="1" applyAlignment="1">
      <alignment vertical="top" wrapText="1"/>
    </xf>
    <xf numFmtId="0" fontId="0" fillId="7" borderId="7" xfId="0" applyFill="1" applyBorder="1" applyAlignment="1">
      <alignment vertical="top" wrapText="1"/>
    </xf>
    <xf numFmtId="166" fontId="22" fillId="7" borderId="36" xfId="0" applyNumberFormat="1" applyFont="1" applyFill="1" applyBorder="1" applyAlignment="1">
      <alignment horizontal="left" vertical="top" wrapText="1"/>
    </xf>
    <xf numFmtId="166" fontId="22" fillId="7" borderId="7" xfId="0" applyNumberFormat="1" applyFont="1" applyFill="1" applyBorder="1" applyAlignment="1">
      <alignment horizontal="left" vertical="top" wrapText="1"/>
    </xf>
    <xf numFmtId="166" fontId="25" fillId="7" borderId="7" xfId="0" applyNumberFormat="1" applyFont="1" applyFill="1" applyBorder="1" applyAlignment="1">
      <alignment horizontal="left" vertical="top" wrapText="1"/>
    </xf>
    <xf numFmtId="166" fontId="6" fillId="7" borderId="25" xfId="0" applyNumberFormat="1" applyFont="1" applyFill="1" applyBorder="1" applyAlignment="1">
      <alignment horizontal="center" vertical="center" textRotation="90" wrapText="1"/>
    </xf>
    <xf numFmtId="166" fontId="6" fillId="7" borderId="11" xfId="0" applyNumberFormat="1" applyFont="1" applyFill="1" applyBorder="1" applyAlignment="1">
      <alignment horizontal="center" vertical="center" textRotation="90" wrapText="1"/>
    </xf>
    <xf numFmtId="0" fontId="2" fillId="7" borderId="102" xfId="0" applyNumberFormat="1" applyFont="1" applyFill="1" applyBorder="1" applyAlignment="1">
      <alignment horizontal="left" vertical="top" wrapText="1"/>
    </xf>
    <xf numFmtId="0" fontId="0" fillId="7" borderId="28" xfId="0" applyFill="1" applyBorder="1" applyAlignment="1">
      <alignment horizontal="left" vertical="top" wrapText="1"/>
    </xf>
    <xf numFmtId="166" fontId="2" fillId="0" borderId="36" xfId="0" applyNumberFormat="1" applyFont="1" applyFill="1" applyBorder="1" applyAlignment="1">
      <alignment horizontal="left" vertical="top" wrapText="1"/>
    </xf>
    <xf numFmtId="166" fontId="2" fillId="0" borderId="29" xfId="0" applyNumberFormat="1" applyFont="1" applyFill="1" applyBorder="1" applyAlignment="1">
      <alignment horizontal="left" vertical="top" wrapText="1"/>
    </xf>
    <xf numFmtId="3" fontId="2" fillId="0" borderId="20" xfId="0" applyNumberFormat="1" applyFont="1" applyFill="1" applyBorder="1" applyAlignment="1">
      <alignment horizontal="center" vertical="top"/>
    </xf>
    <xf numFmtId="3" fontId="2" fillId="0" borderId="28" xfId="0" applyNumberFormat="1" applyFont="1" applyFill="1" applyBorder="1" applyAlignment="1">
      <alignment horizontal="center" vertical="top"/>
    </xf>
    <xf numFmtId="3" fontId="2" fillId="0" borderId="46" xfId="0" applyNumberFormat="1" applyFont="1" applyFill="1" applyBorder="1" applyAlignment="1">
      <alignment horizontal="center" vertical="top"/>
    </xf>
    <xf numFmtId="3" fontId="2" fillId="0" borderId="35"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2" fillId="0" borderId="27" xfId="0" applyNumberFormat="1" applyFont="1" applyFill="1" applyBorder="1" applyAlignment="1">
      <alignment horizontal="center" vertical="top"/>
    </xf>
    <xf numFmtId="166" fontId="2" fillId="7" borderId="46" xfId="0" applyNumberFormat="1" applyFont="1" applyFill="1" applyBorder="1" applyAlignment="1">
      <alignment vertical="top" wrapText="1"/>
    </xf>
    <xf numFmtId="166" fontId="2" fillId="7" borderId="48" xfId="0" applyNumberFormat="1" applyFont="1" applyFill="1" applyBorder="1" applyAlignment="1">
      <alignment vertical="top" wrapText="1"/>
    </xf>
    <xf numFmtId="166" fontId="3" fillId="0" borderId="48" xfId="0" applyNumberFormat="1" applyFont="1" applyFill="1" applyBorder="1" applyAlignment="1">
      <alignment horizontal="center" vertical="top" wrapText="1"/>
    </xf>
    <xf numFmtId="0" fontId="2" fillId="7" borderId="47" xfId="0" applyFont="1" applyFill="1" applyBorder="1" applyAlignment="1">
      <alignment vertical="top" wrapText="1"/>
    </xf>
    <xf numFmtId="0" fontId="0" fillId="7" borderId="47" xfId="0" applyFill="1" applyBorder="1" applyAlignment="1">
      <alignment vertical="top" wrapText="1"/>
    </xf>
    <xf numFmtId="166" fontId="2" fillId="2" borderId="70" xfId="0" applyNumberFormat="1" applyFont="1" applyFill="1" applyBorder="1" applyAlignment="1">
      <alignment horizontal="center" vertical="top" wrapText="1"/>
    </xf>
    <xf numFmtId="166" fontId="2" fillId="2" borderId="71" xfId="0" applyNumberFormat="1" applyFont="1" applyFill="1" applyBorder="1" applyAlignment="1">
      <alignment horizontal="center" vertical="top" wrapText="1"/>
    </xf>
    <xf numFmtId="166" fontId="3" fillId="2" borderId="70" xfId="0" applyNumberFormat="1" applyFont="1" applyFill="1" applyBorder="1" applyAlignment="1">
      <alignment horizontal="left" vertical="top"/>
    </xf>
    <xf numFmtId="166" fontId="3" fillId="2" borderId="71" xfId="0" applyNumberFormat="1" applyFont="1" applyFill="1" applyBorder="1" applyAlignment="1">
      <alignment horizontal="left" vertical="top"/>
    </xf>
    <xf numFmtId="49" fontId="3" fillId="9" borderId="7" xfId="0" applyNumberFormat="1" applyFont="1" applyFill="1" applyBorder="1" applyAlignment="1">
      <alignment horizontal="center" vertical="top"/>
    </xf>
    <xf numFmtId="49" fontId="3" fillId="9" borderId="9"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49" fontId="3" fillId="2" borderId="56"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30" xfId="0" applyNumberFormat="1" applyFont="1" applyFill="1" applyBorder="1" applyAlignment="1">
      <alignment horizontal="center" vertical="top"/>
    </xf>
    <xf numFmtId="0" fontId="0" fillId="7" borderId="11" xfId="0" applyFill="1" applyBorder="1" applyAlignment="1">
      <alignment vertical="top" wrapText="1"/>
    </xf>
    <xf numFmtId="0" fontId="0" fillId="0" borderId="28" xfId="0" applyBorder="1" applyAlignment="1">
      <alignment vertical="top" wrapText="1"/>
    </xf>
    <xf numFmtId="166" fontId="2" fillId="7" borderId="117" xfId="0" applyNumberFormat="1" applyFont="1" applyFill="1" applyBorder="1" applyAlignment="1">
      <alignment vertical="top" wrapText="1"/>
    </xf>
    <xf numFmtId="0" fontId="0" fillId="7" borderId="99" xfId="0" applyFill="1" applyBorder="1" applyAlignment="1">
      <alignment vertical="top"/>
    </xf>
    <xf numFmtId="166" fontId="2" fillId="7" borderId="34" xfId="0" applyNumberFormat="1" applyFont="1" applyFill="1" applyBorder="1" applyAlignment="1">
      <alignment vertical="top" wrapText="1"/>
    </xf>
    <xf numFmtId="0" fontId="8" fillId="7" borderId="99" xfId="0" applyFont="1" applyFill="1" applyBorder="1" applyAlignment="1">
      <alignment vertical="top" wrapText="1"/>
    </xf>
    <xf numFmtId="0" fontId="2" fillId="7" borderId="28" xfId="0" applyFont="1" applyFill="1" applyBorder="1" applyAlignment="1">
      <alignment horizontal="left" vertical="top" wrapText="1"/>
    </xf>
    <xf numFmtId="166" fontId="2" fillId="7" borderId="20" xfId="0" applyNumberFormat="1" applyFont="1" applyFill="1" applyBorder="1" applyAlignment="1">
      <alignment horizontal="center" vertical="center" textRotation="90" wrapText="1"/>
    </xf>
    <xf numFmtId="166" fontId="8" fillId="7" borderId="11" xfId="0" applyNumberFormat="1" applyFont="1" applyFill="1" applyBorder="1" applyAlignment="1">
      <alignment horizontal="center" vertical="center" textRotation="90" wrapText="1"/>
    </xf>
    <xf numFmtId="49" fontId="3" fillId="2" borderId="11" xfId="0" applyNumberFormat="1" applyFont="1" applyFill="1" applyBorder="1" applyAlignment="1">
      <alignment horizontal="center" vertical="top"/>
    </xf>
    <xf numFmtId="0" fontId="8" fillId="7" borderId="35" xfId="0" applyFont="1" applyFill="1" applyBorder="1" applyAlignment="1">
      <alignment vertical="top" wrapText="1"/>
    </xf>
    <xf numFmtId="0" fontId="0" fillId="0" borderId="28" xfId="0" applyBorder="1" applyAlignment="1">
      <alignment horizontal="center" vertical="center" wrapText="1"/>
    </xf>
    <xf numFmtId="166" fontId="8" fillId="7" borderId="7" xfId="0" applyNumberFormat="1" applyFont="1" applyFill="1" applyBorder="1" applyAlignment="1">
      <alignment vertical="top" wrapText="1"/>
    </xf>
    <xf numFmtId="166" fontId="3" fillId="7" borderId="41" xfId="0" applyNumberFormat="1" applyFont="1" applyFill="1" applyBorder="1" applyAlignment="1">
      <alignment horizontal="center" vertical="top"/>
    </xf>
    <xf numFmtId="166" fontId="3" fillId="7" borderId="56" xfId="0" applyNumberFormat="1" applyFont="1" applyFill="1" applyBorder="1" applyAlignment="1">
      <alignment horizontal="center" vertical="top"/>
    </xf>
    <xf numFmtId="166" fontId="3" fillId="7" borderId="25" xfId="0" applyNumberFormat="1" applyFont="1" applyFill="1" applyBorder="1" applyAlignment="1">
      <alignment vertical="top" wrapText="1"/>
    </xf>
    <xf numFmtId="166" fontId="3" fillId="7" borderId="11" xfId="0" applyNumberFormat="1" applyFont="1" applyFill="1" applyBorder="1" applyAlignment="1">
      <alignment vertical="top" wrapText="1"/>
    </xf>
    <xf numFmtId="166" fontId="11" fillId="7" borderId="25" xfId="0" applyNumberFormat="1" applyFont="1" applyFill="1" applyBorder="1" applyAlignment="1">
      <alignment horizontal="center" vertical="top" wrapText="1"/>
    </xf>
    <xf numFmtId="166" fontId="11" fillId="7" borderId="11" xfId="0" applyNumberFormat="1" applyFont="1" applyFill="1" applyBorder="1" applyAlignment="1">
      <alignment horizontal="center" vertical="top" wrapText="1"/>
    </xf>
    <xf numFmtId="0" fontId="0" fillId="0" borderId="11" xfId="0" applyBorder="1" applyAlignment="1">
      <alignment wrapText="1"/>
    </xf>
    <xf numFmtId="0" fontId="2" fillId="7" borderId="101" xfId="0" applyFont="1" applyFill="1" applyBorder="1" applyAlignment="1">
      <alignment vertical="top" wrapText="1"/>
    </xf>
    <xf numFmtId="0" fontId="0" fillId="7" borderId="29" xfId="0" applyFill="1" applyBorder="1" applyAlignment="1">
      <alignment vertical="top" wrapText="1"/>
    </xf>
    <xf numFmtId="0" fontId="8" fillId="7" borderId="11" xfId="0" applyFont="1" applyFill="1" applyBorder="1" applyAlignment="1">
      <alignment vertical="top" wrapText="1"/>
    </xf>
    <xf numFmtId="0" fontId="8" fillId="7" borderId="28" xfId="0" applyFont="1" applyFill="1" applyBorder="1" applyAlignment="1">
      <alignment vertical="top" wrapText="1"/>
    </xf>
    <xf numFmtId="0" fontId="8" fillId="0" borderId="11" xfId="0" applyFont="1" applyBorder="1" applyAlignment="1">
      <alignment horizontal="center" vertical="center" wrapText="1"/>
    </xf>
    <xf numFmtId="0" fontId="8" fillId="0" borderId="28" xfId="0" applyFont="1" applyBorder="1" applyAlignment="1">
      <alignment horizontal="center" vertical="center" wrapText="1"/>
    </xf>
    <xf numFmtId="166" fontId="2" fillId="7" borderId="11" xfId="0" applyNumberFormat="1" applyFont="1" applyFill="1" applyBorder="1" applyAlignment="1">
      <alignment horizontal="center" vertical="center" textRotation="90" wrapText="1"/>
    </xf>
    <xf numFmtId="0" fontId="0" fillId="0" borderId="11" xfId="0" applyBorder="1" applyAlignment="1">
      <alignment horizontal="center" wrapText="1"/>
    </xf>
    <xf numFmtId="0" fontId="0" fillId="0" borderId="28" xfId="0" applyBorder="1" applyAlignment="1">
      <alignment horizontal="center" wrapText="1"/>
    </xf>
    <xf numFmtId="0" fontId="0" fillId="0" borderId="11" xfId="0" applyBorder="1" applyAlignment="1">
      <alignment horizontal="center" vertical="center" wrapText="1"/>
    </xf>
    <xf numFmtId="166" fontId="2" fillId="7" borderId="7" xfId="0" applyNumberFormat="1" applyFont="1" applyFill="1" applyBorder="1" applyAlignment="1">
      <alignment horizontal="left" vertical="top" wrapText="1"/>
    </xf>
    <xf numFmtId="166" fontId="8" fillId="7" borderId="29" xfId="0" applyNumberFormat="1" applyFont="1" applyFill="1" applyBorder="1" applyAlignment="1">
      <alignment horizontal="left" vertical="top" wrapText="1"/>
    </xf>
    <xf numFmtId="166" fontId="2" fillId="2" borderId="32" xfId="0" applyNumberFormat="1" applyFont="1" applyFill="1" applyBorder="1" applyAlignment="1">
      <alignment horizontal="center" vertical="top" wrapText="1"/>
    </xf>
    <xf numFmtId="166" fontId="2" fillId="2" borderId="33" xfId="0" applyNumberFormat="1" applyFont="1" applyFill="1" applyBorder="1" applyAlignment="1">
      <alignment horizontal="center" vertical="top" wrapText="1"/>
    </xf>
    <xf numFmtId="166" fontId="3" fillId="9" borderId="74" xfId="0" applyNumberFormat="1" applyFont="1" applyFill="1" applyBorder="1" applyAlignment="1">
      <alignment horizontal="right" vertical="top"/>
    </xf>
    <xf numFmtId="166" fontId="3" fillId="9" borderId="70" xfId="0" applyNumberFormat="1" applyFont="1" applyFill="1" applyBorder="1" applyAlignment="1">
      <alignment horizontal="right" vertical="top"/>
    </xf>
    <xf numFmtId="166" fontId="3" fillId="9" borderId="71" xfId="0" applyNumberFormat="1" applyFont="1" applyFill="1" applyBorder="1" applyAlignment="1">
      <alignment horizontal="right" vertical="top"/>
    </xf>
    <xf numFmtId="166" fontId="2" fillId="9" borderId="70" xfId="0" applyNumberFormat="1" applyFont="1" applyFill="1" applyBorder="1" applyAlignment="1">
      <alignment horizontal="center" vertical="top"/>
    </xf>
    <xf numFmtId="166" fontId="2" fillId="9" borderId="71" xfId="0" applyNumberFormat="1" applyFont="1" applyFill="1" applyBorder="1" applyAlignment="1">
      <alignment horizontal="center" vertical="top"/>
    </xf>
    <xf numFmtId="166" fontId="2" fillId="7" borderId="29" xfId="0" applyNumberFormat="1" applyFont="1" applyFill="1" applyBorder="1" applyAlignment="1">
      <alignment horizontal="left" vertical="top" wrapText="1"/>
    </xf>
    <xf numFmtId="166" fontId="2" fillId="5" borderId="70" xfId="0" applyNumberFormat="1" applyFont="1" applyFill="1" applyBorder="1" applyAlignment="1">
      <alignment horizontal="center" vertical="top"/>
    </xf>
    <xf numFmtId="166" fontId="2" fillId="5" borderId="71" xfId="0" applyNumberFormat="1" applyFont="1" applyFill="1" applyBorder="1" applyAlignment="1">
      <alignment horizontal="center" vertical="top"/>
    </xf>
    <xf numFmtId="0" fontId="0" fillId="0" borderId="30" xfId="0" applyFont="1" applyBorder="1" applyAlignment="1">
      <alignment vertical="top"/>
    </xf>
    <xf numFmtId="166" fontId="3" fillId="0" borderId="30" xfId="0" applyNumberFormat="1" applyFont="1" applyFill="1" applyBorder="1" applyAlignment="1">
      <alignment horizontal="center" vertical="top" wrapText="1"/>
    </xf>
    <xf numFmtId="166" fontId="3" fillId="0" borderId="35" xfId="0" applyNumberFormat="1" applyFont="1" applyBorder="1" applyAlignment="1">
      <alignment horizontal="center" vertical="top"/>
    </xf>
    <xf numFmtId="166" fontId="3" fillId="0" borderId="48" xfId="0" applyNumberFormat="1" applyFont="1" applyBorder="1" applyAlignment="1">
      <alignment horizontal="center" vertical="top"/>
    </xf>
    <xf numFmtId="166" fontId="3" fillId="0" borderId="63" xfId="0" applyNumberFormat="1" applyFont="1" applyBorder="1" applyAlignment="1">
      <alignment horizontal="center" vertical="top"/>
    </xf>
    <xf numFmtId="166" fontId="3" fillId="2" borderId="32" xfId="0" applyNumberFormat="1" applyFont="1" applyFill="1" applyBorder="1" applyAlignment="1">
      <alignment horizontal="right" vertical="top"/>
    </xf>
    <xf numFmtId="166" fontId="3" fillId="2" borderId="33" xfId="0" applyNumberFormat="1" applyFont="1" applyFill="1" applyBorder="1" applyAlignment="1">
      <alignment horizontal="right" vertical="top"/>
    </xf>
    <xf numFmtId="0" fontId="2" fillId="3" borderId="64" xfId="0" applyFont="1" applyFill="1" applyBorder="1" applyAlignment="1">
      <alignment horizontal="left" vertical="top" wrapText="1"/>
    </xf>
    <xf numFmtId="0" fontId="2" fillId="3" borderId="75" xfId="0" applyFont="1" applyFill="1" applyBorder="1" applyAlignment="1">
      <alignment horizontal="left" vertical="top" wrapText="1"/>
    </xf>
    <xf numFmtId="0" fontId="2" fillId="3" borderId="53" xfId="0" applyFont="1" applyFill="1" applyBorder="1" applyAlignment="1">
      <alignment horizontal="left" vertical="top" wrapText="1"/>
    </xf>
    <xf numFmtId="166" fontId="3" fillId="4" borderId="72" xfId="0" applyNumberFormat="1" applyFont="1" applyFill="1" applyBorder="1" applyAlignment="1">
      <alignment horizontal="right" vertical="top" wrapText="1"/>
    </xf>
    <xf numFmtId="166" fontId="3" fillId="4" borderId="32" xfId="0" applyNumberFormat="1" applyFont="1" applyFill="1" applyBorder="1" applyAlignment="1">
      <alignment horizontal="right" vertical="top" wrapText="1"/>
    </xf>
    <xf numFmtId="166" fontId="3" fillId="4" borderId="33" xfId="0" applyNumberFormat="1" applyFont="1" applyFill="1" applyBorder="1" applyAlignment="1">
      <alignment horizontal="right" vertical="top" wrapText="1"/>
    </xf>
    <xf numFmtId="3" fontId="28" fillId="7" borderId="0" xfId="0" applyNumberFormat="1" applyFont="1" applyFill="1" applyAlignment="1">
      <alignment horizontal="left" vertical="top" wrapText="1"/>
    </xf>
    <xf numFmtId="3" fontId="19" fillId="0" borderId="0" xfId="0" applyNumberFormat="1" applyFont="1" applyAlignment="1">
      <alignment horizontal="center" vertical="top" wrapText="1"/>
    </xf>
    <xf numFmtId="0" fontId="20" fillId="0" borderId="0" xfId="0" applyFont="1" applyBorder="1" applyAlignment="1">
      <alignment horizontal="center" vertical="top" wrapText="1"/>
    </xf>
    <xf numFmtId="0" fontId="19" fillId="0" borderId="0" xfId="0" applyFont="1" applyBorder="1" applyAlignment="1">
      <alignment horizontal="center" vertical="top"/>
    </xf>
    <xf numFmtId="0" fontId="2" fillId="0" borderId="32" xfId="0" applyFont="1" applyBorder="1" applyAlignment="1">
      <alignment horizontal="right" vertical="top"/>
    </xf>
    <xf numFmtId="0" fontId="0" fillId="0" borderId="32" xfId="0" applyFont="1" applyBorder="1" applyAlignment="1">
      <alignment vertical="top"/>
    </xf>
    <xf numFmtId="0" fontId="7" fillId="7" borderId="20" xfId="0" applyFont="1" applyFill="1" applyBorder="1" applyAlignment="1">
      <alignment vertical="top" wrapText="1"/>
    </xf>
    <xf numFmtId="0" fontId="7" fillId="7" borderId="11" xfId="0" applyFont="1" applyFill="1" applyBorder="1" applyAlignment="1">
      <alignment vertical="top" wrapText="1"/>
    </xf>
    <xf numFmtId="0" fontId="0" fillId="0" borderId="11" xfId="0" applyBorder="1" applyAlignment="1">
      <alignment vertical="top" wrapText="1"/>
    </xf>
    <xf numFmtId="0" fontId="4" fillId="7" borderId="20" xfId="0" applyFont="1" applyFill="1" applyBorder="1" applyAlignment="1">
      <alignment horizontal="center" vertical="center" textRotation="90" wrapText="1"/>
    </xf>
    <xf numFmtId="0" fontId="4" fillId="7" borderId="11" xfId="0" applyFont="1" applyFill="1" applyBorder="1" applyAlignment="1">
      <alignment horizontal="center" vertical="center" textRotation="90" wrapText="1"/>
    </xf>
    <xf numFmtId="166" fontId="2" fillId="8" borderId="67" xfId="0" applyNumberFormat="1" applyFont="1" applyFill="1" applyBorder="1" applyAlignment="1">
      <alignment horizontal="left" vertical="top" wrapText="1"/>
    </xf>
    <xf numFmtId="166" fontId="3" fillId="8" borderId="62" xfId="0" applyNumberFormat="1" applyFont="1" applyFill="1" applyBorder="1" applyAlignment="1">
      <alignment horizontal="left" vertical="top" wrapText="1"/>
    </xf>
    <xf numFmtId="166" fontId="3" fillId="8" borderId="42" xfId="0" applyNumberFormat="1" applyFont="1" applyFill="1" applyBorder="1" applyAlignment="1">
      <alignment horizontal="left" vertical="top" wrapText="1"/>
    </xf>
    <xf numFmtId="166" fontId="2" fillId="8" borderId="67" xfId="0" applyNumberFormat="1" applyFont="1" applyFill="1" applyBorder="1" applyAlignment="1">
      <alignment vertical="top" wrapText="1"/>
    </xf>
    <xf numFmtId="166" fontId="8" fillId="8" borderId="62" xfId="0" applyNumberFormat="1" applyFont="1" applyFill="1" applyBorder="1" applyAlignment="1">
      <alignment vertical="top" wrapText="1"/>
    </xf>
    <xf numFmtId="166" fontId="8" fillId="8" borderId="42" xfId="0" applyNumberFormat="1" applyFont="1" applyFill="1" applyBorder="1" applyAlignment="1">
      <alignment vertical="top" wrapText="1"/>
    </xf>
    <xf numFmtId="166" fontId="3" fillId="5" borderId="67" xfId="0" applyNumberFormat="1" applyFont="1" applyFill="1" applyBorder="1" applyAlignment="1">
      <alignment horizontal="right" vertical="top" wrapText="1"/>
    </xf>
    <xf numFmtId="166" fontId="3" fillId="5" borderId="62" xfId="0" applyNumberFormat="1" applyFont="1" applyFill="1" applyBorder="1" applyAlignment="1">
      <alignment horizontal="right" vertical="top" wrapText="1"/>
    </xf>
    <xf numFmtId="166" fontId="3" fillId="5" borderId="42" xfId="0" applyNumberFormat="1" applyFont="1" applyFill="1" applyBorder="1" applyAlignment="1">
      <alignment horizontal="right" vertical="top" wrapText="1"/>
    </xf>
    <xf numFmtId="166" fontId="2" fillId="3" borderId="64" xfId="0" applyNumberFormat="1" applyFont="1" applyFill="1" applyBorder="1" applyAlignment="1">
      <alignment horizontal="left" vertical="top" wrapText="1"/>
    </xf>
    <xf numFmtId="166" fontId="2" fillId="3" borderId="75" xfId="0" applyNumberFormat="1" applyFont="1" applyFill="1" applyBorder="1" applyAlignment="1">
      <alignment horizontal="left" vertical="top" wrapText="1"/>
    </xf>
    <xf numFmtId="166" fontId="2" fillId="3" borderId="53" xfId="0" applyNumberFormat="1" applyFont="1" applyFill="1" applyBorder="1" applyAlignment="1">
      <alignment horizontal="left" vertical="top" wrapText="1"/>
    </xf>
    <xf numFmtId="166" fontId="2" fillId="3" borderId="67" xfId="0" applyNumberFormat="1" applyFont="1" applyFill="1" applyBorder="1" applyAlignment="1">
      <alignment horizontal="left" vertical="top" wrapText="1"/>
    </xf>
    <xf numFmtId="166" fontId="2" fillId="3" borderId="62" xfId="0" applyNumberFormat="1" applyFont="1" applyFill="1" applyBorder="1" applyAlignment="1">
      <alignment horizontal="left" vertical="top" wrapText="1"/>
    </xf>
    <xf numFmtId="166" fontId="2" fillId="3" borderId="42" xfId="0" applyNumberFormat="1" applyFont="1" applyFill="1" applyBorder="1" applyAlignment="1">
      <alignment horizontal="left" vertical="top" wrapText="1"/>
    </xf>
    <xf numFmtId="166" fontId="2" fillId="0" borderId="67" xfId="0" applyNumberFormat="1" applyFont="1" applyBorder="1" applyAlignment="1">
      <alignment horizontal="left" vertical="top" wrapText="1"/>
    </xf>
    <xf numFmtId="166" fontId="2" fillId="0" borderId="62" xfId="0" applyNumberFormat="1" applyFont="1" applyBorder="1" applyAlignment="1">
      <alignment horizontal="left" vertical="top" wrapText="1"/>
    </xf>
    <xf numFmtId="166" fontId="2" fillId="0" borderId="42" xfId="0" applyNumberFormat="1" applyFont="1" applyBorder="1" applyAlignment="1">
      <alignment horizontal="left" vertical="top" wrapText="1"/>
    </xf>
    <xf numFmtId="166" fontId="8" fillId="7" borderId="28" xfId="0" applyNumberFormat="1" applyFont="1" applyFill="1" applyBorder="1" applyAlignment="1">
      <alignment vertical="top" wrapText="1"/>
    </xf>
    <xf numFmtId="166" fontId="3" fillId="5" borderId="74" xfId="0" applyNumberFormat="1" applyFont="1" applyFill="1" applyBorder="1" applyAlignment="1">
      <alignment horizontal="right" vertical="top"/>
    </xf>
    <xf numFmtId="166" fontId="3" fillId="5" borderId="70" xfId="0" applyNumberFormat="1" applyFont="1" applyFill="1" applyBorder="1" applyAlignment="1">
      <alignment horizontal="right" vertical="top"/>
    </xf>
    <xf numFmtId="166" fontId="3" fillId="5" borderId="71" xfId="0" applyNumberFormat="1" applyFont="1" applyFill="1" applyBorder="1" applyAlignment="1">
      <alignment horizontal="right" vertical="top"/>
    </xf>
    <xf numFmtId="49" fontId="3" fillId="7" borderId="18"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xf>
    <xf numFmtId="166" fontId="3" fillId="7" borderId="102" xfId="0" applyNumberFormat="1" applyFont="1" applyFill="1" applyBorder="1" applyAlignment="1">
      <alignment horizontal="center" vertical="center" textRotation="90"/>
    </xf>
    <xf numFmtId="166" fontId="3" fillId="7" borderId="28" xfId="0" applyNumberFormat="1" applyFont="1" applyFill="1" applyBorder="1" applyAlignment="1">
      <alignment horizontal="center" vertical="center" textRotation="90"/>
    </xf>
    <xf numFmtId="166" fontId="3" fillId="9" borderId="5" xfId="0" applyNumberFormat="1" applyFont="1" applyFill="1" applyBorder="1" applyAlignment="1">
      <alignment horizontal="center" vertical="top"/>
    </xf>
    <xf numFmtId="166" fontId="3" fillId="9" borderId="9"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166" fontId="2" fillId="7" borderId="41" xfId="0" applyNumberFormat="1" applyFont="1" applyFill="1" applyBorder="1" applyAlignment="1">
      <alignment vertical="top" wrapText="1"/>
    </xf>
    <xf numFmtId="166" fontId="2" fillId="7" borderId="56" xfId="0" applyNumberFormat="1" applyFont="1" applyFill="1" applyBorder="1" applyAlignment="1">
      <alignment vertical="top" wrapText="1"/>
    </xf>
    <xf numFmtId="166" fontId="4" fillId="0" borderId="25" xfId="0" applyNumberFormat="1" applyFont="1" applyFill="1" applyBorder="1" applyAlignment="1">
      <alignment horizontal="center" vertical="top" wrapText="1"/>
    </xf>
    <xf numFmtId="166" fontId="4" fillId="0" borderId="11" xfId="0" applyNumberFormat="1" applyFont="1" applyFill="1" applyBorder="1" applyAlignment="1">
      <alignment horizontal="center" vertical="top" wrapText="1"/>
    </xf>
    <xf numFmtId="166" fontId="4" fillId="0" borderId="30" xfId="0" applyNumberFormat="1" applyFont="1" applyFill="1" applyBorder="1" applyAlignment="1">
      <alignment horizontal="center" vertical="top" wrapText="1"/>
    </xf>
    <xf numFmtId="0" fontId="8" fillId="7" borderId="11" xfId="0" applyFont="1" applyFill="1" applyBorder="1" applyAlignment="1">
      <alignment horizontal="center" vertical="center" wrapText="1"/>
    </xf>
    <xf numFmtId="0" fontId="8" fillId="7" borderId="28" xfId="0" applyFont="1" applyFill="1" applyBorder="1" applyAlignment="1">
      <alignment horizontal="center" vertical="center" wrapText="1"/>
    </xf>
    <xf numFmtId="166" fontId="3" fillId="8" borderId="67" xfId="0" applyNumberFormat="1" applyFont="1" applyFill="1" applyBorder="1" applyAlignment="1">
      <alignment horizontal="right" vertical="top" wrapText="1"/>
    </xf>
    <xf numFmtId="166" fontId="8" fillId="8" borderId="62" xfId="0" applyNumberFormat="1" applyFont="1" applyFill="1" applyBorder="1" applyAlignment="1">
      <alignment horizontal="right" vertical="top" wrapText="1"/>
    </xf>
    <xf numFmtId="166" fontId="8" fillId="8" borderId="42" xfId="0" applyNumberFormat="1" applyFont="1" applyFill="1" applyBorder="1" applyAlignment="1">
      <alignment horizontal="right" vertical="top" wrapText="1"/>
    </xf>
    <xf numFmtId="166" fontId="2" fillId="7" borderId="64" xfId="0" applyNumberFormat="1" applyFont="1" applyFill="1" applyBorder="1" applyAlignment="1">
      <alignment horizontal="left" vertical="top" wrapText="1"/>
    </xf>
    <xf numFmtId="166" fontId="2" fillId="7" borderId="75" xfId="0" applyNumberFormat="1" applyFont="1" applyFill="1" applyBorder="1" applyAlignment="1">
      <alignment horizontal="left" vertical="top" wrapText="1"/>
    </xf>
    <xf numFmtId="166" fontId="2" fillId="7" borderId="53" xfId="0" applyNumberFormat="1" applyFont="1" applyFill="1" applyBorder="1" applyAlignment="1">
      <alignment horizontal="left" vertical="top" wrapText="1"/>
    </xf>
    <xf numFmtId="0" fontId="4" fillId="7" borderId="47" xfId="0" applyFont="1" applyFill="1" applyBorder="1" applyAlignment="1">
      <alignment horizontal="center" vertical="center" textRotation="90" wrapText="1"/>
    </xf>
    <xf numFmtId="0" fontId="4" fillId="7" borderId="19" xfId="0" applyFont="1" applyFill="1" applyBorder="1" applyAlignment="1">
      <alignment horizontal="center" vertical="center" textRotation="90" wrapText="1"/>
    </xf>
    <xf numFmtId="49" fontId="3" fillId="7" borderId="48" xfId="0" applyNumberFormat="1" applyFont="1" applyFill="1" applyBorder="1" applyAlignment="1">
      <alignment horizontal="center" vertical="top"/>
    </xf>
    <xf numFmtId="49" fontId="3" fillId="7" borderId="35" xfId="0" applyNumberFormat="1" applyFont="1" applyFill="1" applyBorder="1" applyAlignment="1">
      <alignment horizontal="center" vertical="top"/>
    </xf>
    <xf numFmtId="166" fontId="2" fillId="7" borderId="67" xfId="0" applyNumberFormat="1" applyFont="1" applyFill="1" applyBorder="1" applyAlignment="1">
      <alignment horizontal="left" vertical="top" wrapText="1"/>
    </xf>
    <xf numFmtId="166" fontId="2" fillId="7" borderId="62" xfId="0" applyNumberFormat="1" applyFont="1" applyFill="1" applyBorder="1" applyAlignment="1">
      <alignment horizontal="left" vertical="top" wrapText="1"/>
    </xf>
    <xf numFmtId="166" fontId="2" fillId="7" borderId="42" xfId="0" applyNumberFormat="1" applyFont="1" applyFill="1" applyBorder="1" applyAlignment="1">
      <alignment horizontal="left" vertical="top" wrapText="1"/>
    </xf>
    <xf numFmtId="166" fontId="2" fillId="8" borderId="62" xfId="0" applyNumberFormat="1" applyFont="1" applyFill="1" applyBorder="1" applyAlignment="1">
      <alignment horizontal="left" vertical="top" wrapText="1"/>
    </xf>
    <xf numFmtId="166" fontId="2" fillId="8" borderId="42" xfId="0" applyNumberFormat="1" applyFont="1" applyFill="1" applyBorder="1" applyAlignment="1">
      <alignment horizontal="left" vertical="top" wrapText="1"/>
    </xf>
    <xf numFmtId="166" fontId="3" fillId="8" borderId="67" xfId="0" applyNumberFormat="1" applyFont="1" applyFill="1" applyBorder="1" applyAlignment="1">
      <alignment horizontal="left" vertical="top" wrapText="1"/>
    </xf>
    <xf numFmtId="166" fontId="3" fillId="0" borderId="32" xfId="0" applyNumberFormat="1" applyFont="1" applyFill="1" applyBorder="1" applyAlignment="1">
      <alignment horizontal="center" vertical="top" wrapText="1"/>
    </xf>
    <xf numFmtId="3" fontId="3" fillId="0" borderId="55" xfId="0" applyNumberFormat="1" applyFont="1" applyBorder="1" applyAlignment="1">
      <alignment horizontal="center" vertical="center" wrapText="1"/>
    </xf>
    <xf numFmtId="3" fontId="3" fillId="0" borderId="70" xfId="0" applyNumberFormat="1" applyFont="1" applyBorder="1" applyAlignment="1">
      <alignment horizontal="center" vertical="center" wrapText="1"/>
    </xf>
    <xf numFmtId="3" fontId="3" fillId="0" borderId="71" xfId="0" applyNumberFormat="1" applyFont="1" applyBorder="1" applyAlignment="1">
      <alignment horizontal="center" vertical="center" wrapText="1"/>
    </xf>
    <xf numFmtId="166" fontId="3" fillId="5" borderId="68" xfId="0" applyNumberFormat="1" applyFont="1" applyFill="1" applyBorder="1" applyAlignment="1">
      <alignment horizontal="right" vertical="top" wrapText="1"/>
    </xf>
    <xf numFmtId="166" fontId="3" fillId="5" borderId="73" xfId="0" applyNumberFormat="1" applyFont="1" applyFill="1" applyBorder="1" applyAlignment="1">
      <alignment horizontal="right" vertical="top" wrapText="1"/>
    </xf>
    <xf numFmtId="166" fontId="3" fillId="5" borderId="69" xfId="0" applyNumberFormat="1" applyFont="1" applyFill="1" applyBorder="1" applyAlignment="1">
      <alignment horizontal="right" vertical="top" wrapText="1"/>
    </xf>
    <xf numFmtId="0" fontId="3" fillId="0" borderId="50" xfId="0" applyFont="1" applyBorder="1" applyAlignment="1">
      <alignment horizontal="center" vertical="center" textRotation="90" shrinkToFit="1"/>
    </xf>
    <xf numFmtId="0" fontId="3" fillId="0" borderId="43" xfId="0" applyFont="1" applyBorder="1" applyAlignment="1">
      <alignment horizontal="center" vertical="center" textRotation="90" shrinkToFit="1"/>
    </xf>
    <xf numFmtId="0" fontId="3" fillId="0" borderId="33" xfId="0" applyFont="1" applyBorder="1" applyAlignment="1">
      <alignment horizontal="center" vertical="center" textRotation="90" shrinkToFit="1"/>
    </xf>
    <xf numFmtId="3" fontId="2" fillId="7" borderId="18" xfId="0" applyNumberFormat="1" applyFont="1" applyFill="1" applyBorder="1" applyAlignment="1">
      <alignment horizontal="left" vertical="top" wrapText="1"/>
    </xf>
    <xf numFmtId="0" fontId="0" fillId="0" borderId="18" xfId="0" applyBorder="1" applyAlignment="1">
      <alignment vertical="top" wrapText="1"/>
    </xf>
    <xf numFmtId="0" fontId="0" fillId="0" borderId="27" xfId="0" applyBorder="1" applyAlignment="1">
      <alignment vertical="top" wrapText="1"/>
    </xf>
    <xf numFmtId="166" fontId="13" fillId="7" borderId="101" xfId="0" applyNumberFormat="1" applyFont="1" applyFill="1" applyBorder="1" applyAlignment="1">
      <alignment horizontal="left" vertical="top" wrapText="1"/>
    </xf>
    <xf numFmtId="3" fontId="2" fillId="0" borderId="18" xfId="0" applyNumberFormat="1" applyFont="1" applyFill="1" applyBorder="1" applyAlignment="1">
      <alignment horizontal="center" vertical="top"/>
    </xf>
    <xf numFmtId="49" fontId="3" fillId="9" borderId="5" xfId="0" applyNumberFormat="1" applyFont="1" applyFill="1" applyBorder="1" applyAlignment="1">
      <alignment horizontal="center" vertical="top"/>
    </xf>
    <xf numFmtId="49" fontId="3" fillId="2" borderId="41" xfId="0" applyNumberFormat="1" applyFont="1" applyFill="1" applyBorder="1" applyAlignment="1">
      <alignment horizontal="center" vertical="top"/>
    </xf>
    <xf numFmtId="166" fontId="2" fillId="7" borderId="25" xfId="0" applyNumberFormat="1" applyFont="1" applyFill="1" applyBorder="1" applyAlignment="1">
      <alignment vertical="top" wrapText="1"/>
    </xf>
    <xf numFmtId="0" fontId="2" fillId="7" borderId="40" xfId="0" applyFont="1" applyFill="1" applyBorder="1" applyAlignment="1">
      <alignment vertical="top" wrapText="1"/>
    </xf>
    <xf numFmtId="0" fontId="8" fillId="0" borderId="27" xfId="0" applyFont="1" applyBorder="1" applyAlignment="1">
      <alignment horizontal="left" vertical="top" wrapText="1"/>
    </xf>
    <xf numFmtId="166" fontId="2" fillId="0" borderId="44" xfId="0" applyNumberFormat="1" applyFont="1" applyBorder="1" applyAlignment="1">
      <alignment horizontal="center" vertical="center" textRotation="90" wrapText="1"/>
    </xf>
    <xf numFmtId="0" fontId="8" fillId="0" borderId="34" xfId="0" applyFont="1" applyBorder="1" applyAlignment="1">
      <alignment horizontal="center" vertical="center" textRotation="90" wrapText="1"/>
    </xf>
    <xf numFmtId="0" fontId="8" fillId="0" borderId="72" xfId="0" applyFont="1" applyBorder="1" applyAlignment="1">
      <alignment horizontal="center" vertical="center" textRotation="90" wrapText="1"/>
    </xf>
    <xf numFmtId="0" fontId="2" fillId="7" borderId="25" xfId="0" applyFont="1" applyFill="1" applyBorder="1" applyAlignment="1">
      <alignment horizontal="center" vertical="center" textRotation="90" wrapText="1" shrinkToFit="1"/>
    </xf>
    <xf numFmtId="0" fontId="2" fillId="7" borderId="11" xfId="0" applyFont="1" applyFill="1" applyBorder="1" applyAlignment="1">
      <alignment horizontal="center" vertical="center" textRotation="90" wrapText="1" shrinkToFit="1"/>
    </xf>
    <xf numFmtId="0" fontId="2" fillId="7" borderId="30" xfId="0" applyFont="1" applyFill="1" applyBorder="1" applyAlignment="1">
      <alignment horizontal="center" vertical="center" textRotation="90" wrapText="1" shrinkToFit="1"/>
    </xf>
    <xf numFmtId="3" fontId="2" fillId="7" borderId="21" xfId="0" applyNumberFormat="1" applyFont="1" applyFill="1" applyBorder="1" applyAlignment="1">
      <alignment horizontal="left" vertical="top" wrapText="1"/>
    </xf>
    <xf numFmtId="0" fontId="0" fillId="7" borderId="18" xfId="0" applyFill="1" applyBorder="1" applyAlignment="1">
      <alignment horizontal="left" vertical="top" wrapText="1"/>
    </xf>
    <xf numFmtId="0" fontId="0" fillId="7" borderId="27" xfId="0" applyFill="1" applyBorder="1" applyAlignment="1">
      <alignment horizontal="left" vertical="top" wrapText="1"/>
    </xf>
    <xf numFmtId="3" fontId="13" fillId="7" borderId="26" xfId="0" applyNumberFormat="1" applyFont="1" applyFill="1" applyBorder="1" applyAlignment="1">
      <alignment horizontal="left" vertical="top" wrapText="1"/>
    </xf>
    <xf numFmtId="0" fontId="35" fillId="7" borderId="18" xfId="0" applyFont="1" applyFill="1" applyBorder="1" applyAlignment="1">
      <alignment horizontal="left" vertical="top" wrapText="1"/>
    </xf>
    <xf numFmtId="0" fontId="8" fillId="7" borderId="18" xfId="0" applyFont="1" applyFill="1" applyBorder="1" applyAlignment="1">
      <alignment horizontal="left" vertical="top" wrapText="1"/>
    </xf>
    <xf numFmtId="0" fontId="8" fillId="7" borderId="27" xfId="0" applyFont="1" applyFill="1" applyBorder="1" applyAlignment="1">
      <alignment horizontal="left" vertical="top" wrapText="1"/>
    </xf>
    <xf numFmtId="0" fontId="8" fillId="0" borderId="18" xfId="0" applyFont="1" applyBorder="1" applyAlignment="1">
      <alignment horizontal="left" vertical="top" wrapText="1"/>
    </xf>
    <xf numFmtId="0" fontId="0" fillId="0" borderId="27" xfId="0" applyBorder="1" applyAlignment="1">
      <alignment horizontal="left" vertical="top" wrapText="1"/>
    </xf>
    <xf numFmtId="166" fontId="2" fillId="7" borderId="105" xfId="0" applyNumberFormat="1" applyFont="1" applyFill="1" applyBorder="1" applyAlignment="1">
      <alignment horizontal="left" vertical="top" wrapText="1"/>
    </xf>
    <xf numFmtId="0" fontId="8" fillId="7" borderId="81" xfId="0" applyFont="1" applyFill="1" applyBorder="1" applyAlignment="1">
      <alignment horizontal="left" vertical="top" wrapText="1"/>
    </xf>
    <xf numFmtId="49" fontId="2" fillId="7" borderId="105" xfId="0" applyNumberFormat="1" applyFont="1" applyFill="1" applyBorder="1" applyAlignment="1">
      <alignment horizontal="left" vertical="top" wrapText="1"/>
    </xf>
    <xf numFmtId="0" fontId="0" fillId="0" borderId="18" xfId="0" applyBorder="1" applyAlignment="1">
      <alignment horizontal="left" vertical="top" wrapText="1"/>
    </xf>
    <xf numFmtId="0" fontId="0" fillId="0" borderId="81" xfId="0" applyBorder="1" applyAlignment="1">
      <alignment vertical="top"/>
    </xf>
    <xf numFmtId="3" fontId="13" fillId="3" borderId="18" xfId="0" applyNumberFormat="1" applyFont="1" applyFill="1" applyBorder="1" applyAlignment="1">
      <alignment horizontal="left" vertical="top" wrapText="1"/>
    </xf>
    <xf numFmtId="0" fontId="35" fillId="0" borderId="18" xfId="0" applyFont="1" applyBorder="1" applyAlignment="1">
      <alignment horizontal="left" vertical="top" wrapText="1"/>
    </xf>
    <xf numFmtId="3" fontId="2" fillId="7" borderId="31" xfId="0" applyNumberFormat="1" applyFont="1" applyFill="1" applyBorder="1" applyAlignment="1">
      <alignment horizontal="left" vertical="top" wrapText="1"/>
    </xf>
    <xf numFmtId="49" fontId="2" fillId="7" borderId="21" xfId="0" applyNumberFormat="1" applyFont="1" applyFill="1" applyBorder="1" applyAlignment="1">
      <alignment horizontal="left" vertical="top" wrapText="1"/>
    </xf>
    <xf numFmtId="49" fontId="2" fillId="7" borderId="18" xfId="0" applyNumberFormat="1" applyFont="1" applyFill="1" applyBorder="1" applyAlignment="1">
      <alignment horizontal="left" vertical="top" wrapText="1"/>
    </xf>
    <xf numFmtId="166" fontId="13" fillId="7" borderId="20" xfId="0" applyNumberFormat="1" applyFont="1" applyFill="1" applyBorder="1" applyAlignment="1">
      <alignment vertical="top" wrapText="1"/>
    </xf>
    <xf numFmtId="0" fontId="35" fillId="7" borderId="11" xfId="0" applyFont="1" applyFill="1" applyBorder="1" applyAlignment="1">
      <alignment vertical="top" wrapText="1"/>
    </xf>
    <xf numFmtId="0" fontId="35" fillId="7" borderId="28" xfId="0" applyFont="1" applyFill="1" applyBorder="1" applyAlignment="1">
      <alignment vertical="top" wrapText="1"/>
    </xf>
    <xf numFmtId="166" fontId="13" fillId="7" borderId="20" xfId="0" applyNumberFormat="1" applyFont="1" applyFill="1" applyBorder="1" applyAlignment="1">
      <alignment horizontal="center" vertical="center" textRotation="90" wrapText="1"/>
    </xf>
    <xf numFmtId="0" fontId="35" fillId="7" borderId="11" xfId="0" applyFont="1" applyFill="1" applyBorder="1" applyAlignment="1">
      <alignment horizontal="center" vertical="center" wrapText="1"/>
    </xf>
    <xf numFmtId="0" fontId="35" fillId="7" borderId="28" xfId="0" applyFont="1" applyFill="1" applyBorder="1" applyAlignment="1">
      <alignment horizontal="center" vertical="center" wrapText="1"/>
    </xf>
    <xf numFmtId="49" fontId="27" fillId="7" borderId="11" xfId="0" applyNumberFormat="1" applyFont="1" applyFill="1" applyBorder="1" applyAlignment="1">
      <alignment horizontal="center" vertical="top"/>
    </xf>
    <xf numFmtId="3" fontId="2" fillId="7" borderId="27" xfId="0" applyNumberFormat="1" applyFont="1" applyFill="1" applyBorder="1" applyAlignment="1">
      <alignment horizontal="left" vertical="top" wrapText="1"/>
    </xf>
    <xf numFmtId="0" fontId="0" fillId="0" borderId="31" xfId="0" applyBorder="1" applyAlignment="1">
      <alignment horizontal="left" vertical="top" wrapText="1"/>
    </xf>
    <xf numFmtId="0" fontId="0" fillId="7" borderId="79" xfId="0" applyFill="1" applyBorder="1" applyAlignment="1">
      <alignment vertical="top" wrapText="1"/>
    </xf>
    <xf numFmtId="0" fontId="0" fillId="0" borderId="81" xfId="0" applyBorder="1" applyAlignment="1">
      <alignment horizontal="left" vertical="top" wrapText="1"/>
    </xf>
    <xf numFmtId="0" fontId="0" fillId="0" borderId="28" xfId="0" applyBorder="1" applyAlignment="1">
      <alignment wrapText="1"/>
    </xf>
    <xf numFmtId="49" fontId="3" fillId="8" borderId="11" xfId="0" applyNumberFormat="1" applyFont="1" applyFill="1" applyBorder="1" applyAlignment="1">
      <alignment horizontal="center" vertical="top"/>
    </xf>
    <xf numFmtId="166" fontId="3" fillId="0" borderId="25" xfId="0" applyNumberFormat="1" applyFont="1" applyBorder="1" applyAlignment="1">
      <alignment horizontal="center" vertical="top"/>
    </xf>
    <xf numFmtId="166" fontId="3" fillId="0" borderId="11" xfId="0" applyNumberFormat="1" applyFont="1" applyBorder="1" applyAlignment="1">
      <alignment horizontal="center" vertical="top"/>
    </xf>
    <xf numFmtId="166" fontId="3" fillId="0" borderId="30" xfId="0" applyNumberFormat="1" applyFont="1" applyBorder="1" applyAlignment="1">
      <alignment horizontal="center" vertical="top"/>
    </xf>
    <xf numFmtId="166" fontId="2" fillId="7" borderId="26" xfId="0" applyNumberFormat="1" applyFont="1" applyFill="1" applyBorder="1" applyAlignment="1">
      <alignment horizontal="center" vertical="top" wrapText="1"/>
    </xf>
    <xf numFmtId="166" fontId="2" fillId="7" borderId="18" xfId="0" applyNumberFormat="1" applyFont="1" applyFill="1" applyBorder="1" applyAlignment="1">
      <alignment horizontal="center" vertical="top" wrapText="1"/>
    </xf>
    <xf numFmtId="166" fontId="2" fillId="7" borderId="31" xfId="0" applyNumberFormat="1" applyFont="1" applyFill="1" applyBorder="1" applyAlignment="1">
      <alignment horizontal="center" vertical="top" wrapText="1"/>
    </xf>
    <xf numFmtId="166" fontId="2" fillId="7" borderId="21" xfId="0" applyNumberFormat="1" applyFont="1" applyFill="1" applyBorder="1" applyAlignment="1">
      <alignment horizontal="center" vertical="top" wrapText="1"/>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8" fillId="7" borderId="27" xfId="0" applyNumberFormat="1" applyFont="1" applyFill="1" applyBorder="1" applyAlignment="1">
      <alignment vertical="top" wrapText="1"/>
    </xf>
    <xf numFmtId="166" fontId="8" fillId="7" borderId="29" xfId="0" applyNumberFormat="1" applyFont="1" applyFill="1" applyBorder="1" applyAlignment="1">
      <alignment vertical="top" wrapText="1"/>
    </xf>
    <xf numFmtId="3" fontId="2" fillId="7" borderId="46"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6" fontId="2" fillId="7" borderId="101" xfId="0" applyNumberFormat="1" applyFont="1" applyFill="1" applyBorder="1" applyAlignment="1">
      <alignment vertical="top" wrapText="1"/>
    </xf>
    <xf numFmtId="0" fontId="8" fillId="7" borderId="7" xfId="0" applyFont="1" applyFill="1" applyBorder="1" applyAlignment="1">
      <alignment vertical="top" wrapText="1"/>
    </xf>
    <xf numFmtId="0" fontId="8" fillId="0" borderId="29" xfId="0" applyFont="1" applyBorder="1" applyAlignment="1">
      <alignment vertical="top" wrapText="1"/>
    </xf>
    <xf numFmtId="0" fontId="0" fillId="0" borderId="18" xfId="0" applyBorder="1" applyAlignment="1">
      <alignment horizontal="center" vertical="top" wrapText="1"/>
    </xf>
    <xf numFmtId="166" fontId="3" fillId="8" borderId="11"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3" fillId="7" borderId="25" xfId="0" applyNumberFormat="1" applyFont="1" applyFill="1" applyBorder="1" applyAlignment="1">
      <alignment horizontal="center" vertical="top"/>
    </xf>
    <xf numFmtId="166" fontId="3" fillId="7" borderId="30" xfId="0" applyNumberFormat="1" applyFont="1" applyFill="1" applyBorder="1" applyAlignment="1">
      <alignment horizontal="center" vertical="top"/>
    </xf>
    <xf numFmtId="166" fontId="3" fillId="7" borderId="20" xfId="0" applyNumberFormat="1" applyFont="1" applyFill="1" applyBorder="1" applyAlignment="1">
      <alignment horizontal="center" vertical="center" textRotation="90"/>
    </xf>
    <xf numFmtId="49" fontId="3" fillId="7" borderId="46" xfId="0" applyNumberFormat="1" applyFont="1" applyFill="1" applyBorder="1" applyAlignment="1">
      <alignment horizontal="center" vertical="top"/>
    </xf>
    <xf numFmtId="166" fontId="2" fillId="7" borderId="27" xfId="0" applyNumberFormat="1" applyFont="1" applyFill="1" applyBorder="1" applyAlignment="1">
      <alignment horizontal="center" vertical="top" wrapText="1"/>
    </xf>
    <xf numFmtId="49" fontId="3" fillId="0" borderId="20"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28" xfId="0" applyNumberFormat="1" applyFont="1" applyBorder="1" applyAlignment="1">
      <alignment horizontal="center" vertical="top"/>
    </xf>
    <xf numFmtId="166" fontId="2" fillId="7" borderId="45" xfId="0" applyNumberFormat="1" applyFont="1" applyFill="1" applyBorder="1" applyAlignment="1">
      <alignment horizontal="left" vertical="top" wrapText="1"/>
    </xf>
    <xf numFmtId="166" fontId="2" fillId="7" borderId="19" xfId="0" applyNumberFormat="1" applyFont="1" applyFill="1" applyBorder="1" applyAlignment="1">
      <alignment horizontal="left" vertical="top" wrapText="1"/>
    </xf>
    <xf numFmtId="166" fontId="2" fillId="7" borderId="28" xfId="0" applyNumberFormat="1" applyFont="1" applyFill="1" applyBorder="1" applyAlignment="1">
      <alignment horizontal="center" vertical="center" textRotation="90" wrapText="1"/>
    </xf>
    <xf numFmtId="166" fontId="8" fillId="7" borderId="35" xfId="0" applyNumberFormat="1" applyFont="1" applyFill="1" applyBorder="1" applyAlignment="1">
      <alignment vertical="top" wrapText="1"/>
    </xf>
    <xf numFmtId="0" fontId="2" fillId="0" borderId="0" xfId="0" applyFont="1" applyAlignment="1">
      <alignment horizontal="right" wrapText="1"/>
    </xf>
    <xf numFmtId="0" fontId="8" fillId="0" borderId="0" xfId="0" applyFont="1" applyAlignment="1">
      <alignment horizontal="right"/>
    </xf>
    <xf numFmtId="3" fontId="2" fillId="0" borderId="26" xfId="0" applyNumberFormat="1" applyFont="1" applyFill="1" applyBorder="1" applyAlignment="1">
      <alignment horizontal="center" vertical="center" textRotation="90" wrapText="1" shrinkToFit="1"/>
    </xf>
    <xf numFmtId="3" fontId="2" fillId="0" borderId="18" xfId="0" applyNumberFormat="1" applyFont="1" applyFill="1" applyBorder="1" applyAlignment="1">
      <alignment horizontal="center" vertical="center" textRotation="90" wrapText="1" shrinkToFit="1"/>
    </xf>
    <xf numFmtId="3" fontId="2" fillId="0" borderId="31" xfId="0" applyNumberFormat="1" applyFont="1" applyFill="1" applyBorder="1" applyAlignment="1">
      <alignment horizontal="center" vertical="center" textRotation="90" wrapText="1" shrinkToFit="1"/>
    </xf>
    <xf numFmtId="166" fontId="2" fillId="7" borderId="18" xfId="0" applyNumberFormat="1" applyFont="1" applyFill="1" applyBorder="1" applyAlignment="1">
      <alignment horizontal="center" vertical="center" wrapText="1"/>
    </xf>
    <xf numFmtId="0" fontId="0" fillId="7" borderId="7" xfId="0" applyFill="1" applyBorder="1" applyAlignment="1">
      <alignment horizontal="left" vertical="top" wrapText="1"/>
    </xf>
    <xf numFmtId="0" fontId="0" fillId="7" borderId="28" xfId="0" applyFill="1" applyBorder="1" applyAlignment="1">
      <alignment vertical="top" wrapText="1"/>
    </xf>
    <xf numFmtId="0" fontId="8" fillId="7" borderId="48" xfId="0" applyFont="1" applyFill="1" applyBorder="1" applyAlignment="1">
      <alignment vertical="top" wrapText="1"/>
    </xf>
    <xf numFmtId="0" fontId="0" fillId="0" borderId="81" xfId="0" applyBorder="1" applyAlignment="1">
      <alignment horizontal="center" vertical="top" wrapText="1"/>
    </xf>
    <xf numFmtId="166" fontId="2" fillId="7" borderId="35" xfId="0" applyNumberFormat="1" applyFont="1" applyFill="1" applyBorder="1" applyAlignment="1">
      <alignment vertical="top" wrapText="1"/>
    </xf>
    <xf numFmtId="166" fontId="3" fillId="7" borderId="35" xfId="0" applyNumberFormat="1" applyFont="1" applyFill="1" applyBorder="1" applyAlignment="1">
      <alignment horizontal="center" vertical="top"/>
    </xf>
    <xf numFmtId="0" fontId="2" fillId="0" borderId="21" xfId="0" applyFont="1" applyBorder="1" applyAlignment="1">
      <alignment horizontal="center" vertical="top" wrapText="1"/>
    </xf>
    <xf numFmtId="3" fontId="2" fillId="7" borderId="28" xfId="0" applyNumberFormat="1" applyFont="1" applyFill="1" applyBorder="1" applyAlignment="1">
      <alignment horizontal="center" vertical="top" wrapText="1"/>
    </xf>
    <xf numFmtId="166" fontId="2" fillId="7" borderId="49" xfId="0" applyNumberFormat="1" applyFont="1" applyFill="1" applyBorder="1" applyAlignment="1">
      <alignment vertical="top" wrapText="1"/>
    </xf>
    <xf numFmtId="0" fontId="0" fillId="0" borderId="31" xfId="0" applyFont="1" applyBorder="1" applyAlignment="1">
      <alignment horizontal="center" vertical="top"/>
    </xf>
    <xf numFmtId="166" fontId="18" fillId="7" borderId="18" xfId="0" applyNumberFormat="1" applyFont="1" applyFill="1" applyBorder="1" applyAlignment="1">
      <alignment horizontal="center" vertical="center" wrapText="1"/>
    </xf>
    <xf numFmtId="166" fontId="2" fillId="0" borderId="26" xfId="0" applyNumberFormat="1" applyFont="1" applyBorder="1" applyAlignment="1">
      <alignment horizontal="center" vertical="top" wrapText="1"/>
    </xf>
    <xf numFmtId="166" fontId="2" fillId="0" borderId="18" xfId="0" applyNumberFormat="1" applyFont="1" applyBorder="1" applyAlignment="1">
      <alignment horizontal="center" vertical="top" wrapText="1"/>
    </xf>
    <xf numFmtId="166" fontId="2" fillId="7" borderId="25" xfId="0" applyNumberFormat="1" applyFont="1" applyFill="1" applyBorder="1" applyAlignment="1">
      <alignment horizontal="left" vertical="top" wrapText="1"/>
    </xf>
    <xf numFmtId="166" fontId="2" fillId="3" borderId="20" xfId="0" applyNumberFormat="1" applyFont="1" applyFill="1" applyBorder="1" applyAlignment="1">
      <alignment vertical="top" wrapText="1"/>
    </xf>
    <xf numFmtId="166" fontId="2" fillId="3" borderId="11" xfId="0" applyNumberFormat="1" applyFont="1" applyFill="1" applyBorder="1" applyAlignment="1">
      <alignment vertical="top" wrapText="1"/>
    </xf>
    <xf numFmtId="166" fontId="2" fillId="7" borderId="21" xfId="0" applyNumberFormat="1" applyFont="1" applyFill="1" applyBorder="1" applyAlignment="1">
      <alignment horizontal="center" vertical="center" wrapText="1"/>
    </xf>
    <xf numFmtId="0" fontId="8" fillId="7" borderId="18" xfId="0" applyFont="1" applyFill="1" applyBorder="1" applyAlignment="1">
      <alignment horizontal="center" vertical="center" wrapText="1"/>
    </xf>
    <xf numFmtId="166" fontId="8" fillId="7" borderId="18" xfId="0" applyNumberFormat="1" applyFont="1" applyFill="1" applyBorder="1" applyAlignment="1">
      <alignment horizontal="center" vertical="center" wrapText="1"/>
    </xf>
    <xf numFmtId="166" fontId="3" fillId="0" borderId="28" xfId="0" applyNumberFormat="1" applyFont="1" applyFill="1" applyBorder="1" applyAlignment="1">
      <alignment horizontal="center" vertical="top" wrapText="1"/>
    </xf>
    <xf numFmtId="49" fontId="3" fillId="0" borderId="48" xfId="0" applyNumberFormat="1" applyFont="1" applyBorder="1" applyAlignment="1">
      <alignment horizontal="center" vertical="top"/>
    </xf>
    <xf numFmtId="49" fontId="3" fillId="0" borderId="35" xfId="0" applyNumberFormat="1" applyFont="1" applyBorder="1" applyAlignment="1">
      <alignment horizontal="center" vertical="top"/>
    </xf>
    <xf numFmtId="0" fontId="8" fillId="7" borderId="29" xfId="0" applyFont="1" applyFill="1" applyBorder="1" applyAlignment="1">
      <alignment horizontal="left" vertical="top" wrapText="1"/>
    </xf>
    <xf numFmtId="0" fontId="2" fillId="7" borderId="7" xfId="0" applyFont="1" applyFill="1" applyBorder="1" applyAlignment="1">
      <alignment vertical="top" wrapText="1"/>
    </xf>
    <xf numFmtId="0" fontId="0" fillId="0" borderId="18" xfId="0" applyBorder="1" applyAlignment="1">
      <alignment horizontal="center" wrapText="1"/>
    </xf>
    <xf numFmtId="0" fontId="0" fillId="0" borderId="27" xfId="0" applyBorder="1" applyAlignment="1">
      <alignment horizontal="center" wrapText="1"/>
    </xf>
    <xf numFmtId="166" fontId="8" fillId="7" borderId="18" xfId="0" applyNumberFormat="1" applyFont="1" applyFill="1" applyBorder="1" applyAlignment="1">
      <alignment horizontal="center" vertical="top" wrapText="1"/>
    </xf>
    <xf numFmtId="166" fontId="14" fillId="7" borderId="11" xfId="0" applyNumberFormat="1" applyFont="1" applyFill="1" applyBorder="1" applyAlignment="1">
      <alignment horizontal="center" vertical="center" textRotation="90" wrapText="1"/>
    </xf>
    <xf numFmtId="166" fontId="13" fillId="7" borderId="7" xfId="0" applyNumberFormat="1" applyFont="1" applyFill="1" applyBorder="1" applyAlignment="1">
      <alignment horizontal="left" vertical="top" wrapText="1"/>
    </xf>
    <xf numFmtId="0" fontId="35" fillId="0" borderId="79" xfId="0" applyFont="1" applyBorder="1" applyAlignment="1">
      <alignment horizontal="left" vertical="top" wrapText="1"/>
    </xf>
  </cellXfs>
  <cellStyles count="3">
    <cellStyle name="Įprastas" xfId="0" builtinId="0"/>
    <cellStyle name="Įprastas 2" xfId="2"/>
    <cellStyle name="Kablelis" xfId="1" builtinId="3"/>
  </cellStyles>
  <dxfs count="0"/>
  <tableStyles count="0" defaultTableStyle="TableStyleMedium2" defaultPivotStyle="PivotStyleLight16"/>
  <colors>
    <mruColors>
      <color rgb="FF99FF99"/>
      <color rgb="FFFFFFCC"/>
      <color rgb="FFE9C9C7"/>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A282"/>
  <sheetViews>
    <sheetView tabSelected="1" zoomScaleNormal="100" zoomScaleSheetLayoutView="100" workbookViewId="0">
      <selection activeCell="Z6" sqref="Z6"/>
    </sheetView>
  </sheetViews>
  <sheetFormatPr defaultRowHeight="12.75" x14ac:dyDescent="0.2"/>
  <cols>
    <col min="1" max="3" width="2.7109375" style="2" customWidth="1"/>
    <col min="4" max="4" width="36.28515625" style="2" customWidth="1"/>
    <col min="5" max="5" width="3.28515625" style="7" customWidth="1"/>
    <col min="6" max="6" width="3" style="10" customWidth="1"/>
    <col min="7" max="7" width="7.85546875" style="3" customWidth="1"/>
    <col min="8" max="8" width="8.85546875" style="2" customWidth="1"/>
    <col min="9" max="10" width="9" style="2" customWidth="1"/>
    <col min="11" max="11" width="39.85546875" style="2" customWidth="1"/>
    <col min="12" max="14" width="4.7109375" style="2" customWidth="1"/>
    <col min="15" max="16384" width="9.140625" style="1"/>
  </cols>
  <sheetData>
    <row r="1" spans="1:53" s="146" customFormat="1" ht="34.5" customHeight="1" x14ac:dyDescent="0.25">
      <c r="B1" s="485"/>
      <c r="C1" s="485"/>
      <c r="D1" s="485"/>
      <c r="E1" s="485"/>
      <c r="K1" s="1865" t="s">
        <v>347</v>
      </c>
      <c r="L1" s="1865"/>
      <c r="M1" s="1865"/>
      <c r="N1" s="1865"/>
      <c r="P1" s="485"/>
      <c r="Q1" s="485"/>
      <c r="R1" s="485"/>
      <c r="S1" s="485"/>
      <c r="T1" s="485"/>
      <c r="U1" s="485"/>
      <c r="V1" s="485"/>
      <c r="W1" s="485"/>
      <c r="X1" s="485"/>
      <c r="Y1" s="485"/>
      <c r="Z1" s="485"/>
      <c r="AA1" s="485"/>
      <c r="AB1" s="485"/>
      <c r="AC1" s="485"/>
      <c r="AD1" s="485"/>
      <c r="AE1" s="485"/>
      <c r="AF1" s="485"/>
      <c r="AG1" s="485"/>
      <c r="AH1" s="485"/>
      <c r="AI1" s="485"/>
      <c r="AJ1" s="485"/>
      <c r="AK1" s="485"/>
      <c r="AL1" s="485"/>
      <c r="AM1" s="485"/>
      <c r="AN1" s="485"/>
      <c r="AO1" s="485"/>
      <c r="AP1" s="485"/>
      <c r="AQ1" s="485"/>
      <c r="AR1" s="485"/>
      <c r="AS1" s="485"/>
      <c r="AT1" s="485"/>
      <c r="AU1" s="485"/>
      <c r="AV1" s="485"/>
      <c r="AW1" s="485"/>
      <c r="AX1" s="485"/>
      <c r="AY1" s="485"/>
      <c r="AZ1" s="485"/>
      <c r="BA1" s="485"/>
    </row>
    <row r="2" spans="1:53" s="146" customFormat="1" ht="15.75" customHeight="1" x14ac:dyDescent="0.25">
      <c r="B2" s="485"/>
      <c r="C2" s="485"/>
      <c r="D2" s="485"/>
      <c r="E2" s="485"/>
      <c r="K2" s="1244" t="s">
        <v>315</v>
      </c>
      <c r="L2" s="1244"/>
      <c r="M2" s="1244"/>
      <c r="N2" s="1244"/>
      <c r="P2" s="485"/>
      <c r="Q2" s="485"/>
      <c r="R2" s="485"/>
      <c r="S2" s="485"/>
      <c r="T2" s="485"/>
      <c r="U2" s="485"/>
      <c r="V2" s="485"/>
      <c r="W2" s="485"/>
      <c r="X2" s="485"/>
      <c r="Y2" s="485"/>
      <c r="Z2" s="485"/>
      <c r="AA2" s="485"/>
      <c r="AB2" s="485"/>
      <c r="AC2" s="485"/>
      <c r="AD2" s="485"/>
      <c r="AE2" s="485"/>
      <c r="AF2" s="485"/>
      <c r="AG2" s="485"/>
      <c r="AH2" s="485"/>
      <c r="AI2" s="485"/>
      <c r="AJ2" s="485"/>
      <c r="AK2" s="485"/>
      <c r="AL2" s="485"/>
      <c r="AM2" s="485"/>
      <c r="AN2" s="485"/>
      <c r="AO2" s="485"/>
      <c r="AP2" s="485"/>
      <c r="AQ2" s="485"/>
      <c r="AR2" s="485"/>
      <c r="AS2" s="485"/>
      <c r="AT2" s="485"/>
      <c r="AU2" s="485"/>
      <c r="AV2" s="485"/>
      <c r="AW2" s="485"/>
      <c r="AX2" s="485"/>
      <c r="AY2" s="485"/>
      <c r="AZ2" s="485"/>
      <c r="BA2" s="485"/>
    </row>
    <row r="3" spans="1:53" s="146" customFormat="1" ht="12.75" customHeight="1" x14ac:dyDescent="0.25">
      <c r="B3" s="485"/>
      <c r="C3" s="485"/>
      <c r="D3" s="485"/>
      <c r="E3" s="485"/>
      <c r="K3" s="1039"/>
      <c r="L3" s="1039"/>
      <c r="M3" s="1039"/>
      <c r="N3" s="1039"/>
      <c r="P3" s="485"/>
      <c r="Q3" s="485"/>
      <c r="R3" s="485"/>
      <c r="S3" s="485"/>
      <c r="T3" s="485"/>
      <c r="U3" s="485"/>
      <c r="V3" s="485"/>
      <c r="W3" s="485"/>
      <c r="X3" s="485"/>
      <c r="Y3" s="485"/>
      <c r="Z3" s="485"/>
      <c r="AA3" s="485"/>
      <c r="AB3" s="485"/>
      <c r="AC3" s="485"/>
      <c r="AD3" s="485"/>
      <c r="AE3" s="485"/>
      <c r="AF3" s="485"/>
      <c r="AG3" s="485"/>
      <c r="AH3" s="485"/>
      <c r="AI3" s="485"/>
      <c r="AJ3" s="485"/>
      <c r="AK3" s="485"/>
      <c r="AL3" s="485"/>
      <c r="AM3" s="485"/>
      <c r="AN3" s="485"/>
      <c r="AO3" s="485"/>
      <c r="AP3" s="485"/>
      <c r="AQ3" s="485"/>
      <c r="AR3" s="485"/>
      <c r="AS3" s="485"/>
      <c r="AT3" s="485"/>
      <c r="AU3" s="485"/>
      <c r="AV3" s="485"/>
      <c r="AW3" s="485"/>
      <c r="AX3" s="485"/>
      <c r="AY3" s="485"/>
      <c r="AZ3" s="485"/>
      <c r="BA3" s="485"/>
    </row>
    <row r="4" spans="1:53" s="146" customFormat="1" ht="13.5" customHeight="1" x14ac:dyDescent="0.25">
      <c r="B4" s="485"/>
      <c r="C4" s="485"/>
      <c r="D4" s="485"/>
      <c r="E4" s="485"/>
      <c r="K4" s="1039"/>
      <c r="L4" s="1039"/>
      <c r="M4" s="1039"/>
      <c r="N4" s="1039"/>
      <c r="P4" s="485"/>
      <c r="Q4" s="485"/>
      <c r="R4" s="485"/>
      <c r="S4" s="485"/>
      <c r="T4" s="485"/>
      <c r="U4" s="485"/>
      <c r="V4" s="485"/>
      <c r="W4" s="485"/>
      <c r="X4" s="485"/>
      <c r="Y4" s="485"/>
      <c r="Z4" s="485"/>
      <c r="AA4" s="485"/>
      <c r="AB4" s="485"/>
      <c r="AC4" s="485"/>
      <c r="AD4" s="485"/>
      <c r="AE4" s="485"/>
      <c r="AF4" s="485"/>
      <c r="AG4" s="485"/>
      <c r="AH4" s="485"/>
      <c r="AI4" s="485"/>
      <c r="AJ4" s="485"/>
      <c r="AK4" s="485"/>
      <c r="AL4" s="485"/>
      <c r="AM4" s="485"/>
      <c r="AN4" s="485"/>
      <c r="AO4" s="485"/>
      <c r="AP4" s="485"/>
      <c r="AQ4" s="485"/>
      <c r="AR4" s="485"/>
      <c r="AS4" s="485"/>
      <c r="AT4" s="485"/>
      <c r="AU4" s="485"/>
      <c r="AV4" s="485"/>
      <c r="AW4" s="485"/>
      <c r="AX4" s="485"/>
      <c r="AY4" s="485"/>
      <c r="AZ4" s="485"/>
      <c r="BA4" s="485"/>
    </row>
    <row r="5" spans="1:53" s="35" customFormat="1" ht="15" x14ac:dyDescent="0.2">
      <c r="A5" s="1866" t="s">
        <v>316</v>
      </c>
      <c r="B5" s="1866"/>
      <c r="C5" s="1866"/>
      <c r="D5" s="1866"/>
      <c r="E5" s="1866"/>
      <c r="F5" s="1866"/>
      <c r="G5" s="1866"/>
      <c r="H5" s="1866"/>
      <c r="I5" s="1866"/>
      <c r="J5" s="1866"/>
      <c r="K5" s="1866"/>
      <c r="L5" s="1866"/>
      <c r="M5" s="1866"/>
      <c r="N5" s="1866"/>
      <c r="P5" s="650"/>
      <c r="Q5" s="650"/>
      <c r="R5" s="650"/>
      <c r="S5" s="650"/>
      <c r="T5" s="650"/>
      <c r="U5" s="650"/>
      <c r="V5" s="650"/>
      <c r="W5" s="650"/>
      <c r="X5" s="650"/>
      <c r="Y5" s="650"/>
      <c r="Z5" s="650"/>
      <c r="AA5" s="650"/>
      <c r="AB5" s="650"/>
      <c r="AC5" s="650"/>
      <c r="AD5" s="650"/>
      <c r="AE5" s="650"/>
      <c r="AF5" s="650"/>
      <c r="AG5" s="650"/>
      <c r="AH5" s="650"/>
      <c r="AI5" s="650"/>
      <c r="AJ5" s="650"/>
      <c r="AK5" s="650"/>
      <c r="AL5" s="650"/>
      <c r="AM5" s="650"/>
      <c r="AN5" s="650"/>
      <c r="AO5" s="650"/>
      <c r="AP5" s="650"/>
      <c r="AQ5" s="650"/>
      <c r="AR5" s="650"/>
      <c r="AS5" s="650"/>
      <c r="AT5" s="650"/>
      <c r="AU5" s="650"/>
      <c r="AV5" s="650"/>
      <c r="AW5" s="650"/>
      <c r="AX5" s="650"/>
      <c r="AY5" s="650"/>
      <c r="AZ5" s="650"/>
      <c r="BA5" s="650"/>
    </row>
    <row r="6" spans="1:53" ht="15.75" customHeight="1" x14ac:dyDescent="0.2">
      <c r="A6" s="1867" t="s">
        <v>29</v>
      </c>
      <c r="B6" s="1867"/>
      <c r="C6" s="1867"/>
      <c r="D6" s="1867"/>
      <c r="E6" s="1867"/>
      <c r="F6" s="1867"/>
      <c r="G6" s="1867"/>
      <c r="H6" s="1867"/>
      <c r="I6" s="1867"/>
      <c r="J6" s="1867"/>
      <c r="K6" s="1867"/>
      <c r="L6" s="1867"/>
      <c r="M6" s="1867"/>
      <c r="N6" s="1867"/>
      <c r="P6" s="634"/>
      <c r="Q6" s="634"/>
      <c r="R6" s="634"/>
      <c r="S6" s="634"/>
      <c r="T6" s="634"/>
      <c r="U6" s="634"/>
      <c r="V6" s="634"/>
      <c r="W6" s="634"/>
      <c r="X6" s="634"/>
      <c r="Y6" s="634"/>
      <c r="Z6" s="634"/>
      <c r="AA6" s="634"/>
      <c r="AB6" s="634"/>
      <c r="AC6" s="634"/>
      <c r="AD6" s="634"/>
      <c r="AE6" s="634"/>
      <c r="AF6" s="634"/>
      <c r="AG6" s="634"/>
      <c r="AH6" s="634"/>
      <c r="AI6" s="634"/>
      <c r="AJ6" s="634"/>
      <c r="AK6" s="634"/>
      <c r="AL6" s="634"/>
      <c r="AM6" s="634"/>
      <c r="AN6" s="634"/>
      <c r="AO6" s="634"/>
      <c r="AP6" s="634"/>
      <c r="AQ6" s="634"/>
      <c r="AR6" s="634"/>
      <c r="AS6" s="634"/>
      <c r="AT6" s="634"/>
      <c r="AU6" s="634"/>
      <c r="AV6" s="634"/>
      <c r="AW6" s="634"/>
      <c r="AX6" s="634"/>
      <c r="AY6" s="634"/>
      <c r="AZ6" s="634"/>
      <c r="BA6" s="634"/>
    </row>
    <row r="7" spans="1:53" ht="15" customHeight="1" x14ac:dyDescent="0.2">
      <c r="A7" s="1868" t="s">
        <v>17</v>
      </c>
      <c r="B7" s="1868"/>
      <c r="C7" s="1868"/>
      <c r="D7" s="1868"/>
      <c r="E7" s="1868"/>
      <c r="F7" s="1868"/>
      <c r="G7" s="1868"/>
      <c r="H7" s="1868"/>
      <c r="I7" s="1868"/>
      <c r="J7" s="1868"/>
      <c r="K7" s="1868"/>
      <c r="L7" s="1868"/>
      <c r="M7" s="1868"/>
      <c r="N7" s="1868"/>
      <c r="P7" s="634"/>
      <c r="Q7" s="634"/>
      <c r="R7" s="634"/>
      <c r="S7" s="634"/>
      <c r="T7" s="634"/>
      <c r="U7" s="634"/>
      <c r="V7" s="634"/>
      <c r="W7" s="634"/>
      <c r="X7" s="634"/>
      <c r="Y7" s="634"/>
      <c r="Z7" s="634"/>
      <c r="AA7" s="634"/>
      <c r="AB7" s="634"/>
      <c r="AC7" s="634"/>
      <c r="AD7" s="634"/>
      <c r="AE7" s="634"/>
      <c r="AF7" s="634"/>
      <c r="AG7" s="634"/>
      <c r="AH7" s="634"/>
      <c r="AI7" s="634"/>
      <c r="AJ7" s="634"/>
      <c r="AK7" s="634"/>
      <c r="AL7" s="634"/>
      <c r="AM7" s="634"/>
      <c r="AN7" s="634"/>
      <c r="AO7" s="634"/>
      <c r="AP7" s="634"/>
      <c r="AQ7" s="634"/>
      <c r="AR7" s="634"/>
      <c r="AS7" s="634"/>
      <c r="AT7" s="634"/>
      <c r="AU7" s="634"/>
      <c r="AV7" s="634"/>
      <c r="AW7" s="634"/>
      <c r="AX7" s="634"/>
      <c r="AY7" s="634"/>
      <c r="AZ7" s="634"/>
      <c r="BA7" s="634"/>
    </row>
    <row r="8" spans="1:53" ht="14.25" customHeight="1" thickBot="1" x14ac:dyDescent="0.25">
      <c r="A8" s="14"/>
      <c r="B8" s="14"/>
      <c r="C8" s="484"/>
      <c r="D8" s="14"/>
      <c r="E8" s="15"/>
      <c r="F8" s="16"/>
      <c r="G8" s="221"/>
      <c r="H8" s="14"/>
      <c r="I8" s="14"/>
      <c r="J8" s="14"/>
      <c r="K8" s="1869" t="s">
        <v>109</v>
      </c>
      <c r="L8" s="1869"/>
      <c r="M8" s="1869"/>
      <c r="N8" s="1870"/>
      <c r="P8" s="634"/>
      <c r="Q8" s="634"/>
      <c r="R8" s="634"/>
      <c r="S8" s="634"/>
      <c r="T8" s="634"/>
      <c r="U8" s="634"/>
      <c r="V8" s="634"/>
      <c r="W8" s="634"/>
      <c r="X8" s="634"/>
      <c r="Y8" s="634"/>
      <c r="Z8" s="634"/>
      <c r="AA8" s="634"/>
      <c r="AB8" s="634"/>
      <c r="AC8" s="634"/>
      <c r="AD8" s="634"/>
      <c r="AE8" s="634"/>
      <c r="AF8" s="634"/>
      <c r="AG8" s="634"/>
      <c r="AH8" s="634"/>
      <c r="AI8" s="634"/>
      <c r="AJ8" s="634"/>
      <c r="AK8" s="634"/>
      <c r="AL8" s="634"/>
      <c r="AM8" s="634"/>
      <c r="AN8" s="634"/>
      <c r="AO8" s="634"/>
      <c r="AP8" s="634"/>
      <c r="AQ8" s="634"/>
      <c r="AR8" s="634"/>
      <c r="AS8" s="634"/>
      <c r="AT8" s="634"/>
      <c r="AU8" s="634"/>
      <c r="AV8" s="634"/>
      <c r="AW8" s="634"/>
      <c r="AX8" s="634"/>
      <c r="AY8" s="634"/>
      <c r="AZ8" s="634"/>
      <c r="BA8" s="634"/>
    </row>
    <row r="9" spans="1:53" s="35" customFormat="1" ht="30" customHeight="1" x14ac:dyDescent="0.2">
      <c r="A9" s="1672" t="s">
        <v>18</v>
      </c>
      <c r="B9" s="1675" t="s">
        <v>0</v>
      </c>
      <c r="C9" s="1675" t="s">
        <v>1</v>
      </c>
      <c r="D9" s="1678" t="s">
        <v>12</v>
      </c>
      <c r="E9" s="1663" t="s">
        <v>2</v>
      </c>
      <c r="F9" s="1666" t="s">
        <v>3</v>
      </c>
      <c r="G9" s="1669" t="s">
        <v>4</v>
      </c>
      <c r="H9" s="1650" t="s">
        <v>228</v>
      </c>
      <c r="I9" s="1650" t="s">
        <v>159</v>
      </c>
      <c r="J9" s="1650" t="s">
        <v>224</v>
      </c>
      <c r="K9" s="1653" t="s">
        <v>11</v>
      </c>
      <c r="L9" s="1654"/>
      <c r="M9" s="1654"/>
      <c r="N9" s="1655"/>
      <c r="P9" s="1"/>
    </row>
    <row r="10" spans="1:53" s="35" customFormat="1" ht="18.75" customHeight="1" x14ac:dyDescent="0.2">
      <c r="A10" s="1673"/>
      <c r="B10" s="1676"/>
      <c r="C10" s="1676"/>
      <c r="D10" s="1679"/>
      <c r="E10" s="1664"/>
      <c r="F10" s="1667"/>
      <c r="G10" s="1670"/>
      <c r="H10" s="1651"/>
      <c r="I10" s="1651"/>
      <c r="J10" s="1651"/>
      <c r="K10" s="1656" t="s">
        <v>12</v>
      </c>
      <c r="L10" s="1658" t="s">
        <v>93</v>
      </c>
      <c r="M10" s="1658"/>
      <c r="N10" s="1659"/>
      <c r="P10" s="1"/>
    </row>
    <row r="11" spans="1:53" s="35" customFormat="1" ht="54" customHeight="1" thickBot="1" x14ac:dyDescent="0.25">
      <c r="A11" s="1674"/>
      <c r="B11" s="1677"/>
      <c r="C11" s="1677"/>
      <c r="D11" s="1680"/>
      <c r="E11" s="1665"/>
      <c r="F11" s="1668"/>
      <c r="G11" s="1671"/>
      <c r="H11" s="1652"/>
      <c r="I11" s="1652"/>
      <c r="J11" s="1652"/>
      <c r="K11" s="1657"/>
      <c r="L11" s="147" t="s">
        <v>118</v>
      </c>
      <c r="M11" s="147" t="s">
        <v>160</v>
      </c>
      <c r="N11" s="148" t="s">
        <v>225</v>
      </c>
      <c r="P11" s="1"/>
    </row>
    <row r="12" spans="1:53" s="9" customFormat="1" ht="14.25" customHeight="1" x14ac:dyDescent="0.2">
      <c r="A12" s="1660" t="s">
        <v>61</v>
      </c>
      <c r="B12" s="1661"/>
      <c r="C12" s="1661"/>
      <c r="D12" s="1661"/>
      <c r="E12" s="1661"/>
      <c r="F12" s="1661"/>
      <c r="G12" s="1661"/>
      <c r="H12" s="1661"/>
      <c r="I12" s="1661"/>
      <c r="J12" s="1661"/>
      <c r="K12" s="1661"/>
      <c r="L12" s="1661"/>
      <c r="M12" s="1661"/>
      <c r="N12" s="1662"/>
      <c r="P12" s="1"/>
    </row>
    <row r="13" spans="1:53" s="9" customFormat="1" ht="14.25" customHeight="1" x14ac:dyDescent="0.2">
      <c r="A13" s="1686" t="s">
        <v>26</v>
      </c>
      <c r="B13" s="1687"/>
      <c r="C13" s="1687"/>
      <c r="D13" s="1687"/>
      <c r="E13" s="1687"/>
      <c r="F13" s="1687"/>
      <c r="G13" s="1687"/>
      <c r="H13" s="1687"/>
      <c r="I13" s="1687"/>
      <c r="J13" s="1687"/>
      <c r="K13" s="1687"/>
      <c r="L13" s="1687"/>
      <c r="M13" s="1687"/>
      <c r="N13" s="1688"/>
      <c r="P13" s="1"/>
    </row>
    <row r="14" spans="1:53" ht="16.5" customHeight="1" x14ac:dyDescent="0.2">
      <c r="A14" s="17" t="s">
        <v>5</v>
      </c>
      <c r="B14" s="1689" t="s">
        <v>30</v>
      </c>
      <c r="C14" s="1690"/>
      <c r="D14" s="1690"/>
      <c r="E14" s="1690"/>
      <c r="F14" s="1690"/>
      <c r="G14" s="1690"/>
      <c r="H14" s="1690"/>
      <c r="I14" s="1690"/>
      <c r="J14" s="1690"/>
      <c r="K14" s="1690"/>
      <c r="L14" s="1690"/>
      <c r="M14" s="1690"/>
      <c r="N14" s="1691"/>
    </row>
    <row r="15" spans="1:53" ht="15" customHeight="1" x14ac:dyDescent="0.2">
      <c r="A15" s="220" t="s">
        <v>5</v>
      </c>
      <c r="B15" s="12" t="s">
        <v>5</v>
      </c>
      <c r="C15" s="1692" t="s">
        <v>31</v>
      </c>
      <c r="D15" s="1693"/>
      <c r="E15" s="1693"/>
      <c r="F15" s="1693"/>
      <c r="G15" s="1693"/>
      <c r="H15" s="1693"/>
      <c r="I15" s="1693"/>
      <c r="J15" s="1693"/>
      <c r="K15" s="1693"/>
      <c r="L15" s="1693"/>
      <c r="M15" s="1693"/>
      <c r="N15" s="1694"/>
    </row>
    <row r="16" spans="1:53" ht="14.1" customHeight="1" x14ac:dyDescent="0.2">
      <c r="A16" s="1056" t="s">
        <v>5</v>
      </c>
      <c r="B16" s="1067" t="s">
        <v>5</v>
      </c>
      <c r="C16" s="1058" t="s">
        <v>5</v>
      </c>
      <c r="D16" s="1871" t="s">
        <v>49</v>
      </c>
      <c r="E16" s="1874" t="s">
        <v>86</v>
      </c>
      <c r="F16" s="1066" t="s">
        <v>43</v>
      </c>
      <c r="G16" s="43" t="s">
        <v>25</v>
      </c>
      <c r="H16" s="487">
        <v>914.8</v>
      </c>
      <c r="I16" s="487">
        <v>233</v>
      </c>
      <c r="J16" s="487">
        <v>563.6</v>
      </c>
      <c r="K16" s="301"/>
      <c r="L16" s="302"/>
      <c r="M16" s="315"/>
      <c r="N16" s="304"/>
    </row>
    <row r="17" spans="1:14" ht="14.1" customHeight="1" x14ac:dyDescent="0.2">
      <c r="A17" s="1056"/>
      <c r="B17" s="1067"/>
      <c r="C17" s="1058"/>
      <c r="D17" s="1872"/>
      <c r="E17" s="1875"/>
      <c r="F17" s="1066"/>
      <c r="G17" s="43" t="s">
        <v>60</v>
      </c>
      <c r="H17" s="487">
        <v>101.5</v>
      </c>
      <c r="I17" s="486"/>
      <c r="J17" s="487"/>
      <c r="K17" s="301"/>
      <c r="L17" s="302"/>
      <c r="M17" s="315"/>
      <c r="N17" s="305"/>
    </row>
    <row r="18" spans="1:14" ht="14.1" customHeight="1" x14ac:dyDescent="0.2">
      <c r="A18" s="1056"/>
      <c r="B18" s="1067"/>
      <c r="C18" s="1058"/>
      <c r="D18" s="1873"/>
      <c r="E18" s="1740"/>
      <c r="F18" s="1066"/>
      <c r="G18" s="43" t="s">
        <v>98</v>
      </c>
      <c r="H18" s="487">
        <v>480.6</v>
      </c>
      <c r="I18" s="486"/>
      <c r="J18" s="487"/>
      <c r="K18" s="301"/>
      <c r="L18" s="302"/>
      <c r="M18" s="315"/>
      <c r="N18" s="305"/>
    </row>
    <row r="19" spans="1:14" ht="14.1" customHeight="1" x14ac:dyDescent="0.2">
      <c r="A19" s="1056"/>
      <c r="B19" s="1067"/>
      <c r="C19" s="1058"/>
      <c r="D19" s="51"/>
      <c r="E19" s="1156"/>
      <c r="F19" s="1066"/>
      <c r="G19" s="43" t="s">
        <v>99</v>
      </c>
      <c r="H19" s="487">
        <v>1100</v>
      </c>
      <c r="I19" s="486"/>
      <c r="J19" s="487">
        <v>96.4</v>
      </c>
      <c r="K19" s="301"/>
      <c r="L19" s="302"/>
      <c r="M19" s="315"/>
      <c r="N19" s="305"/>
    </row>
    <row r="20" spans="1:14" ht="14.1" customHeight="1" x14ac:dyDescent="0.2">
      <c r="A20" s="1056"/>
      <c r="B20" s="1067"/>
      <c r="C20" s="1058"/>
      <c r="D20" s="51"/>
      <c r="E20" s="1156"/>
      <c r="F20" s="1066"/>
      <c r="G20" s="43" t="s">
        <v>239</v>
      </c>
      <c r="H20" s="487"/>
      <c r="I20" s="607"/>
      <c r="J20" s="487">
        <v>44.7</v>
      </c>
      <c r="K20" s="301"/>
      <c r="L20" s="302"/>
      <c r="M20" s="315"/>
      <c r="N20" s="305"/>
    </row>
    <row r="21" spans="1:14" ht="14.1" customHeight="1" x14ac:dyDescent="0.2">
      <c r="A21" s="1056"/>
      <c r="B21" s="1067"/>
      <c r="C21" s="1058"/>
      <c r="D21" s="51"/>
      <c r="E21" s="1156"/>
      <c r="F21" s="1066"/>
      <c r="G21" s="43" t="s">
        <v>48</v>
      </c>
      <c r="H21" s="487">
        <v>162.4</v>
      </c>
      <c r="I21" s="486"/>
      <c r="J21" s="487"/>
      <c r="K21" s="301"/>
      <c r="L21" s="302"/>
      <c r="M21" s="315"/>
      <c r="N21" s="305"/>
    </row>
    <row r="22" spans="1:14" ht="14.1" customHeight="1" x14ac:dyDescent="0.2">
      <c r="A22" s="1056"/>
      <c r="B22" s="1067"/>
      <c r="C22" s="1058"/>
      <c r="D22" s="51"/>
      <c r="E22" s="1156"/>
      <c r="F22" s="1066"/>
      <c r="G22" s="43" t="s">
        <v>44</v>
      </c>
      <c r="H22" s="487"/>
      <c r="I22" s="486">
        <v>850</v>
      </c>
      <c r="J22" s="487">
        <v>1329.7</v>
      </c>
      <c r="K22" s="301"/>
      <c r="L22" s="302"/>
      <c r="M22" s="315"/>
      <c r="N22" s="305"/>
    </row>
    <row r="23" spans="1:14" ht="18.75" customHeight="1" x14ac:dyDescent="0.2">
      <c r="A23" s="1056"/>
      <c r="B23" s="1067"/>
      <c r="C23" s="1058"/>
      <c r="D23" s="1695" t="s">
        <v>212</v>
      </c>
      <c r="E23" s="768" t="s">
        <v>47</v>
      </c>
      <c r="F23" s="1058"/>
      <c r="G23" s="1009"/>
      <c r="H23" s="1009"/>
      <c r="I23" s="83"/>
      <c r="J23" s="1009"/>
      <c r="K23" s="1697" t="s">
        <v>321</v>
      </c>
      <c r="L23" s="323"/>
      <c r="M23" s="755" t="s">
        <v>55</v>
      </c>
      <c r="N23" s="408"/>
    </row>
    <row r="24" spans="1:14" ht="33" customHeight="1" x14ac:dyDescent="0.2">
      <c r="A24" s="1056"/>
      <c r="B24" s="1067"/>
      <c r="C24" s="1058"/>
      <c r="D24" s="1696"/>
      <c r="E24" s="1699" t="s">
        <v>232</v>
      </c>
      <c r="F24" s="1066"/>
      <c r="G24" s="58"/>
      <c r="H24" s="58"/>
      <c r="I24" s="79"/>
      <c r="J24" s="58"/>
      <c r="K24" s="1698"/>
      <c r="L24" s="756"/>
      <c r="M24" s="757"/>
      <c r="N24" s="488"/>
    </row>
    <row r="25" spans="1:14" ht="24.75" customHeight="1" x14ac:dyDescent="0.2">
      <c r="A25" s="1056"/>
      <c r="B25" s="1067"/>
      <c r="C25" s="1058"/>
      <c r="D25" s="1696"/>
      <c r="E25" s="1700"/>
      <c r="F25" s="1066"/>
      <c r="G25" s="58"/>
      <c r="H25" s="58"/>
      <c r="I25" s="79"/>
      <c r="J25" s="1010"/>
      <c r="K25" s="211" t="s">
        <v>241</v>
      </c>
      <c r="L25" s="756"/>
      <c r="M25" s="757" t="s">
        <v>237</v>
      </c>
      <c r="N25" s="488" t="s">
        <v>238</v>
      </c>
    </row>
    <row r="26" spans="1:14" ht="27.75" customHeight="1" x14ac:dyDescent="0.2">
      <c r="A26" s="1704"/>
      <c r="B26" s="1705"/>
      <c r="C26" s="1706"/>
      <c r="D26" s="1709" t="s">
        <v>240</v>
      </c>
      <c r="E26" s="274" t="s">
        <v>47</v>
      </c>
      <c r="F26" s="1706"/>
      <c r="G26" s="278"/>
      <c r="H26" s="1007"/>
      <c r="I26" s="117"/>
      <c r="J26" s="1009"/>
      <c r="K26" s="1089" t="s">
        <v>137</v>
      </c>
      <c r="L26" s="1037">
        <v>2</v>
      </c>
      <c r="M26" s="407"/>
      <c r="N26" s="408"/>
    </row>
    <row r="27" spans="1:14" ht="27.75" customHeight="1" x14ac:dyDescent="0.2">
      <c r="A27" s="1704"/>
      <c r="B27" s="1705"/>
      <c r="C27" s="1706"/>
      <c r="D27" s="1710"/>
      <c r="E27" s="1684" t="s">
        <v>108</v>
      </c>
      <c r="F27" s="1706"/>
      <c r="G27" s="43"/>
      <c r="H27" s="60"/>
      <c r="I27" s="95"/>
      <c r="J27" s="58"/>
      <c r="K27" s="41" t="s">
        <v>227</v>
      </c>
      <c r="L27" s="319">
        <v>1</v>
      </c>
      <c r="M27" s="600"/>
      <c r="N27" s="488"/>
    </row>
    <row r="28" spans="1:14" ht="23.25" customHeight="1" x14ac:dyDescent="0.2">
      <c r="A28" s="1704"/>
      <c r="B28" s="1705"/>
      <c r="C28" s="1706"/>
      <c r="D28" s="1710"/>
      <c r="E28" s="1701"/>
      <c r="F28" s="1706"/>
      <c r="G28" s="43"/>
      <c r="H28" s="60"/>
      <c r="I28" s="95"/>
      <c r="J28" s="58"/>
      <c r="K28" s="1702" t="s">
        <v>248</v>
      </c>
      <c r="L28" s="1080"/>
      <c r="M28" s="181"/>
      <c r="N28" s="314" t="s">
        <v>43</v>
      </c>
    </row>
    <row r="29" spans="1:14" ht="9.75" customHeight="1" x14ac:dyDescent="0.2">
      <c r="A29" s="1704"/>
      <c r="B29" s="1705"/>
      <c r="C29" s="1706"/>
      <c r="D29" s="1711"/>
      <c r="E29" s="1685"/>
      <c r="F29" s="1706"/>
      <c r="G29" s="42"/>
      <c r="H29" s="1008"/>
      <c r="I29" s="143"/>
      <c r="J29" s="1010"/>
      <c r="K29" s="1703"/>
      <c r="L29" s="44"/>
      <c r="M29" s="287"/>
      <c r="N29" s="411"/>
    </row>
    <row r="30" spans="1:14" ht="15.75" customHeight="1" x14ac:dyDescent="0.2">
      <c r="A30" s="1704"/>
      <c r="B30" s="1705"/>
      <c r="C30" s="1706"/>
      <c r="D30" s="1707" t="s">
        <v>198</v>
      </c>
      <c r="E30" s="1054" t="s">
        <v>47</v>
      </c>
      <c r="F30" s="1681"/>
      <c r="G30" s="83"/>
      <c r="H30" s="1009"/>
      <c r="I30" s="117"/>
      <c r="J30" s="1009"/>
      <c r="K30" s="1051" t="s">
        <v>161</v>
      </c>
      <c r="L30" s="442">
        <v>100</v>
      </c>
      <c r="M30" s="601"/>
      <c r="N30" s="443"/>
    </row>
    <row r="31" spans="1:14" ht="16.5" customHeight="1" x14ac:dyDescent="0.2">
      <c r="A31" s="1704"/>
      <c r="B31" s="1705"/>
      <c r="C31" s="1706"/>
      <c r="D31" s="1708"/>
      <c r="E31" s="461"/>
      <c r="F31" s="1681"/>
      <c r="G31" s="120"/>
      <c r="H31" s="1010"/>
      <c r="I31" s="143"/>
      <c r="J31" s="1010"/>
      <c r="K31" s="391"/>
      <c r="L31" s="279"/>
      <c r="M31" s="602"/>
      <c r="N31" s="280"/>
    </row>
    <row r="32" spans="1:14" ht="18.75" customHeight="1" x14ac:dyDescent="0.2">
      <c r="A32" s="1040"/>
      <c r="B32" s="1041"/>
      <c r="C32" s="200"/>
      <c r="D32" s="1713" t="s">
        <v>197</v>
      </c>
      <c r="E32" s="274" t="s">
        <v>47</v>
      </c>
      <c r="F32" s="84"/>
      <c r="G32" s="79"/>
      <c r="H32" s="58"/>
      <c r="I32" s="95"/>
      <c r="J32" s="58"/>
      <c r="K32" s="1716" t="s">
        <v>141</v>
      </c>
      <c r="L32" s="1037">
        <v>1</v>
      </c>
      <c r="M32" s="1096"/>
      <c r="N32" s="1099"/>
    </row>
    <row r="33" spans="1:14" ht="21" customHeight="1" x14ac:dyDescent="0.2">
      <c r="A33" s="1040"/>
      <c r="B33" s="1041"/>
      <c r="C33" s="200"/>
      <c r="D33" s="1714"/>
      <c r="E33" s="1718" t="s">
        <v>108</v>
      </c>
      <c r="F33" s="84"/>
      <c r="G33" s="79"/>
      <c r="H33" s="58"/>
      <c r="I33" s="95"/>
      <c r="J33" s="58"/>
      <c r="K33" s="1717"/>
      <c r="L33" s="1080"/>
      <c r="M33" s="357"/>
      <c r="N33" s="300"/>
    </row>
    <row r="34" spans="1:14" ht="29.25" customHeight="1" x14ac:dyDescent="0.2">
      <c r="A34" s="1040"/>
      <c r="B34" s="1041"/>
      <c r="C34" s="200"/>
      <c r="D34" s="1715"/>
      <c r="E34" s="1719"/>
      <c r="F34" s="84"/>
      <c r="G34" s="82"/>
      <c r="H34" s="1010"/>
      <c r="I34" s="143"/>
      <c r="J34" s="1010"/>
      <c r="K34" s="997" t="s">
        <v>142</v>
      </c>
      <c r="L34" s="998"/>
      <c r="M34" s="998">
        <v>1</v>
      </c>
      <c r="N34" s="999"/>
    </row>
    <row r="35" spans="1:14" ht="17.25" customHeight="1" x14ac:dyDescent="0.2">
      <c r="A35" s="1040"/>
      <c r="B35" s="1041"/>
      <c r="C35" s="200"/>
      <c r="D35" s="1696" t="s">
        <v>203</v>
      </c>
      <c r="E35" s="717" t="s">
        <v>47</v>
      </c>
      <c r="F35" s="1043"/>
      <c r="G35" s="79" t="s">
        <v>45</v>
      </c>
      <c r="H35" s="58">
        <v>21.5</v>
      </c>
      <c r="I35" s="477"/>
      <c r="J35" s="158"/>
      <c r="K35" s="1051" t="s">
        <v>46</v>
      </c>
      <c r="L35" s="1080">
        <v>1</v>
      </c>
      <c r="M35" s="1080"/>
      <c r="N35" s="1078"/>
    </row>
    <row r="36" spans="1:14" ht="18" customHeight="1" x14ac:dyDescent="0.2">
      <c r="A36" s="1040"/>
      <c r="B36" s="1041"/>
      <c r="C36" s="89"/>
      <c r="D36" s="1720"/>
      <c r="E36" s="719" t="s">
        <v>230</v>
      </c>
      <c r="F36" s="1043"/>
      <c r="G36" s="82"/>
      <c r="H36" s="48"/>
      <c r="I36" s="478"/>
      <c r="J36" s="48"/>
      <c r="K36" s="193"/>
      <c r="L36" s="44"/>
      <c r="M36" s="44"/>
      <c r="N36" s="20"/>
    </row>
    <row r="37" spans="1:14" ht="15" customHeight="1" x14ac:dyDescent="0.2">
      <c r="A37" s="1704"/>
      <c r="B37" s="1705"/>
      <c r="C37" s="1706"/>
      <c r="D37" s="1713" t="s">
        <v>147</v>
      </c>
      <c r="E37" s="274" t="s">
        <v>47</v>
      </c>
      <c r="F37" s="1681"/>
      <c r="G37" s="79"/>
      <c r="H37" s="58"/>
      <c r="I37" s="95"/>
      <c r="J37" s="58"/>
      <c r="K37" s="1682" t="s">
        <v>236</v>
      </c>
      <c r="L37" s="474"/>
      <c r="M37" s="725"/>
      <c r="N37" s="475"/>
    </row>
    <row r="38" spans="1:14" ht="15" customHeight="1" x14ac:dyDescent="0.2">
      <c r="A38" s="1704"/>
      <c r="B38" s="1705"/>
      <c r="C38" s="1706"/>
      <c r="D38" s="1714"/>
      <c r="E38" s="1684" t="s">
        <v>108</v>
      </c>
      <c r="F38" s="1681"/>
      <c r="G38" s="79"/>
      <c r="H38" s="58"/>
      <c r="I38" s="95"/>
      <c r="J38" s="58"/>
      <c r="K38" s="1683"/>
      <c r="L38" s="531"/>
      <c r="M38" s="531"/>
      <c r="N38" s="532"/>
    </row>
    <row r="39" spans="1:14" ht="18" customHeight="1" x14ac:dyDescent="0.2">
      <c r="A39" s="1704"/>
      <c r="B39" s="1705"/>
      <c r="C39" s="1706"/>
      <c r="D39" s="1715"/>
      <c r="E39" s="1685"/>
      <c r="F39" s="1681"/>
      <c r="G39" s="82"/>
      <c r="H39" s="418"/>
      <c r="I39" s="420"/>
      <c r="J39" s="418"/>
      <c r="K39" s="1087"/>
      <c r="L39" s="44"/>
      <c r="M39" s="152"/>
      <c r="N39" s="28"/>
    </row>
    <row r="40" spans="1:14" ht="13.5" customHeight="1" x14ac:dyDescent="0.2">
      <c r="A40" s="1040"/>
      <c r="B40" s="1041"/>
      <c r="C40" s="1042"/>
      <c r="D40" s="1695" t="s">
        <v>199</v>
      </c>
      <c r="E40" s="1054" t="s">
        <v>47</v>
      </c>
      <c r="F40" s="1712"/>
      <c r="G40" s="79"/>
      <c r="H40" s="58"/>
      <c r="I40" s="95"/>
      <c r="J40" s="58"/>
      <c r="K40" s="1070" t="s">
        <v>143</v>
      </c>
      <c r="L40" s="1038"/>
      <c r="M40" s="1077"/>
      <c r="N40" s="1094">
        <v>1</v>
      </c>
    </row>
    <row r="41" spans="1:14" ht="9.75" customHeight="1" x14ac:dyDescent="0.2">
      <c r="A41" s="1040"/>
      <c r="B41" s="1041"/>
      <c r="C41" s="1042"/>
      <c r="D41" s="1696"/>
      <c r="E41" s="1047"/>
      <c r="F41" s="1712"/>
      <c r="G41" s="82"/>
      <c r="H41" s="1010"/>
      <c r="I41" s="143"/>
      <c r="J41" s="1010"/>
      <c r="K41" s="1051"/>
      <c r="L41" s="1098"/>
      <c r="M41" s="282"/>
      <c r="N41" s="1078"/>
    </row>
    <row r="42" spans="1:14" ht="16.5" customHeight="1" thickBot="1" x14ac:dyDescent="0.25">
      <c r="A42" s="64"/>
      <c r="B42" s="1061"/>
      <c r="C42" s="91"/>
      <c r="D42" s="214"/>
      <c r="E42" s="718"/>
      <c r="F42" s="91"/>
      <c r="G42" s="85" t="s">
        <v>6</v>
      </c>
      <c r="H42" s="85">
        <f>SUM(H16:H41)</f>
        <v>2780.8</v>
      </c>
      <c r="I42" s="85">
        <f t="shared" ref="I42:J42" si="0">SUM(I16:I41)</f>
        <v>1083</v>
      </c>
      <c r="J42" s="85">
        <f t="shared" si="0"/>
        <v>2034.4</v>
      </c>
      <c r="K42" s="698"/>
      <c r="L42" s="171"/>
      <c r="M42" s="587"/>
      <c r="N42" s="497"/>
    </row>
    <row r="43" spans="1:14" ht="14.1" customHeight="1" x14ac:dyDescent="0.2">
      <c r="A43" s="1059" t="s">
        <v>5</v>
      </c>
      <c r="B43" s="1060" t="s">
        <v>5</v>
      </c>
      <c r="C43" s="1095" t="s">
        <v>7</v>
      </c>
      <c r="D43" s="1644" t="s">
        <v>50</v>
      </c>
      <c r="E43" s="1724" t="s">
        <v>88</v>
      </c>
      <c r="F43" s="1062" t="s">
        <v>43</v>
      </c>
      <c r="G43" s="169" t="s">
        <v>25</v>
      </c>
      <c r="H43" s="169">
        <v>406.6</v>
      </c>
      <c r="I43" s="169">
        <v>464.9</v>
      </c>
      <c r="J43" s="169">
        <v>1300</v>
      </c>
      <c r="K43" s="308"/>
      <c r="L43" s="249"/>
      <c r="M43" s="679"/>
      <c r="N43" s="535"/>
    </row>
    <row r="44" spans="1:14" ht="14.1" customHeight="1" x14ac:dyDescent="0.2">
      <c r="A44" s="1046"/>
      <c r="B44" s="1041"/>
      <c r="C44" s="1042"/>
      <c r="D44" s="1727"/>
      <c r="E44" s="1725"/>
      <c r="F44" s="1043"/>
      <c r="G44" s="58" t="s">
        <v>60</v>
      </c>
      <c r="H44" s="58">
        <v>0.8</v>
      </c>
      <c r="I44" s="95"/>
      <c r="J44" s="58"/>
      <c r="K44" s="1564"/>
      <c r="L44" s="1566"/>
      <c r="M44" s="282"/>
      <c r="N44" s="1567"/>
    </row>
    <row r="45" spans="1:14" ht="14.1" customHeight="1" x14ac:dyDescent="0.2">
      <c r="A45" s="1046"/>
      <c r="B45" s="1041"/>
      <c r="C45" s="1042"/>
      <c r="D45" s="1728"/>
      <c r="E45" s="1726"/>
      <c r="F45" s="1088"/>
      <c r="G45" s="1010" t="s">
        <v>99</v>
      </c>
      <c r="H45" s="58">
        <v>200</v>
      </c>
      <c r="I45" s="58">
        <f>1496.4-200</f>
        <v>1296.4000000000001</v>
      </c>
      <c r="J45" s="58">
        <v>600</v>
      </c>
      <c r="K45" s="1565"/>
      <c r="L45" s="19"/>
      <c r="M45" s="283"/>
      <c r="N45" s="20"/>
    </row>
    <row r="46" spans="1:14" ht="16.5" customHeight="1" x14ac:dyDescent="0.2">
      <c r="A46" s="1723"/>
      <c r="B46" s="1705"/>
      <c r="C46" s="1706"/>
      <c r="D46" s="1714" t="s">
        <v>195</v>
      </c>
      <c r="E46" s="1047" t="s">
        <v>47</v>
      </c>
      <c r="F46" s="1681"/>
      <c r="G46" s="79"/>
      <c r="H46" s="1009"/>
      <c r="I46" s="117"/>
      <c r="J46" s="1009"/>
      <c r="K46" s="1721" t="s">
        <v>150</v>
      </c>
      <c r="L46" s="1563">
        <v>1</v>
      </c>
      <c r="M46" s="584"/>
      <c r="N46" s="300"/>
    </row>
    <row r="47" spans="1:14" ht="23.25" customHeight="1" x14ac:dyDescent="0.2">
      <c r="A47" s="1723"/>
      <c r="B47" s="1705"/>
      <c r="C47" s="1706"/>
      <c r="D47" s="1714"/>
      <c r="E47" s="1047"/>
      <c r="F47" s="1681"/>
      <c r="G47" s="79"/>
      <c r="H47" s="58"/>
      <c r="I47" s="95"/>
      <c r="J47" s="58"/>
      <c r="K47" s="1722"/>
      <c r="L47" s="573"/>
      <c r="M47" s="577"/>
      <c r="N47" s="715"/>
    </row>
    <row r="48" spans="1:14" ht="39.75" customHeight="1" x14ac:dyDescent="0.2">
      <c r="A48" s="1723"/>
      <c r="B48" s="1705"/>
      <c r="C48" s="1706"/>
      <c r="D48" s="1714"/>
      <c r="E48" s="1047"/>
      <c r="F48" s="1681"/>
      <c r="G48" s="79"/>
      <c r="H48" s="58"/>
      <c r="I48" s="95"/>
      <c r="J48" s="58"/>
      <c r="K48" s="27" t="s">
        <v>176</v>
      </c>
      <c r="L48" s="45">
        <v>100</v>
      </c>
      <c r="M48" s="578"/>
      <c r="N48" s="99"/>
    </row>
    <row r="49" spans="1:14" ht="28.5" customHeight="1" x14ac:dyDescent="0.2">
      <c r="A49" s="1723"/>
      <c r="B49" s="1705"/>
      <c r="C49" s="1706"/>
      <c r="D49" s="1714"/>
      <c r="E49" s="1047"/>
      <c r="F49" s="1681"/>
      <c r="G49" s="1155"/>
      <c r="H49" s="58"/>
      <c r="I49" s="95"/>
      <c r="J49" s="58"/>
      <c r="K49" s="27" t="s">
        <v>177</v>
      </c>
      <c r="L49" s="45">
        <v>30</v>
      </c>
      <c r="M49" s="578">
        <v>80</v>
      </c>
      <c r="N49" s="99">
        <v>100</v>
      </c>
    </row>
    <row r="50" spans="1:14" ht="54" customHeight="1" x14ac:dyDescent="0.2">
      <c r="A50" s="1723"/>
      <c r="B50" s="1705"/>
      <c r="C50" s="1706"/>
      <c r="D50" s="1714"/>
      <c r="E50" s="1048"/>
      <c r="F50" s="1681"/>
      <c r="G50" s="79"/>
      <c r="H50" s="58"/>
      <c r="I50" s="95"/>
      <c r="J50" s="58"/>
      <c r="K50" s="1045" t="s">
        <v>178</v>
      </c>
      <c r="L50" s="45"/>
      <c r="M50" s="578"/>
      <c r="N50" s="99">
        <v>5</v>
      </c>
    </row>
    <row r="51" spans="1:14" ht="18.75" customHeight="1" x14ac:dyDescent="0.2">
      <c r="A51" s="1723"/>
      <c r="B51" s="1705"/>
      <c r="C51" s="1706"/>
      <c r="D51" s="1713" t="s">
        <v>58</v>
      </c>
      <c r="E51" s="1085" t="s">
        <v>47</v>
      </c>
      <c r="F51" s="1681"/>
      <c r="G51" s="83"/>
      <c r="H51" s="1009"/>
      <c r="I51" s="117"/>
      <c r="J51" s="1009"/>
      <c r="K51" s="1682" t="s">
        <v>322</v>
      </c>
      <c r="L51" s="1075">
        <v>5</v>
      </c>
      <c r="M51" s="579">
        <v>50</v>
      </c>
      <c r="N51" s="1099">
        <v>80</v>
      </c>
    </row>
    <row r="52" spans="1:14" ht="12" customHeight="1" x14ac:dyDescent="0.2">
      <c r="A52" s="1723"/>
      <c r="B52" s="1705"/>
      <c r="C52" s="1706"/>
      <c r="D52" s="1714"/>
      <c r="E52" s="1042"/>
      <c r="F52" s="1681"/>
      <c r="G52" s="79"/>
      <c r="H52" s="58"/>
      <c r="I52" s="95"/>
      <c r="J52" s="58"/>
      <c r="K52" s="1717"/>
      <c r="L52" s="723"/>
      <c r="M52" s="584"/>
      <c r="N52" s="300"/>
    </row>
    <row r="53" spans="1:14" ht="9.75" customHeight="1" x14ac:dyDescent="0.2">
      <c r="A53" s="1723"/>
      <c r="B53" s="1705"/>
      <c r="C53" s="1706"/>
      <c r="D53" s="1715"/>
      <c r="E53" s="1086"/>
      <c r="F53" s="1681"/>
      <c r="G53" s="120"/>
      <c r="H53" s="1010"/>
      <c r="I53" s="143"/>
      <c r="J53" s="1010"/>
      <c r="K53" s="232"/>
      <c r="L53" s="1076"/>
      <c r="M53" s="580"/>
      <c r="N53" s="28"/>
    </row>
    <row r="54" spans="1:14" ht="17.25" customHeight="1" x14ac:dyDescent="0.2">
      <c r="A54" s="1040"/>
      <c r="B54" s="1041"/>
      <c r="C54" s="84"/>
      <c r="D54" s="1713" t="s">
        <v>200</v>
      </c>
      <c r="E54" s="1734" t="s">
        <v>47</v>
      </c>
      <c r="F54" s="1736"/>
      <c r="G54" s="83"/>
      <c r="H54" s="1007"/>
      <c r="I54" s="347"/>
      <c r="J54" s="1007"/>
      <c r="K54" s="1071" t="s">
        <v>92</v>
      </c>
      <c r="L54" s="401">
        <v>1</v>
      </c>
      <c r="M54" s="1077"/>
      <c r="N54" s="1094"/>
    </row>
    <row r="55" spans="1:14" ht="21.75" customHeight="1" x14ac:dyDescent="0.2">
      <c r="A55" s="1040"/>
      <c r="B55" s="1041"/>
      <c r="C55" s="84"/>
      <c r="D55" s="1714"/>
      <c r="E55" s="1735"/>
      <c r="F55" s="1736"/>
      <c r="G55" s="82"/>
      <c r="H55" s="994"/>
      <c r="I55" s="644"/>
      <c r="J55" s="994"/>
      <c r="K55" s="18"/>
      <c r="L55" s="414"/>
      <c r="M55" s="283"/>
      <c r="N55" s="20"/>
    </row>
    <row r="56" spans="1:14" ht="16.5" customHeight="1" x14ac:dyDescent="0.2">
      <c r="A56" s="1040"/>
      <c r="B56" s="1041"/>
      <c r="C56" s="84"/>
      <c r="D56" s="1713" t="s">
        <v>214</v>
      </c>
      <c r="E56" s="1734" t="s">
        <v>47</v>
      </c>
      <c r="F56" s="1736"/>
      <c r="G56" s="79" t="s">
        <v>45</v>
      </c>
      <c r="H56" s="60"/>
      <c r="I56" s="309">
        <v>95</v>
      </c>
      <c r="J56" s="60"/>
      <c r="K56" s="742" t="s">
        <v>92</v>
      </c>
      <c r="L56" s="401"/>
      <c r="M56" s="1077">
        <v>1</v>
      </c>
      <c r="N56" s="1094"/>
    </row>
    <row r="57" spans="1:14" ht="17.25" customHeight="1" x14ac:dyDescent="0.2">
      <c r="A57" s="1040"/>
      <c r="B57" s="1041"/>
      <c r="C57" s="84"/>
      <c r="D57" s="1714"/>
      <c r="E57" s="1737"/>
      <c r="F57" s="1736"/>
      <c r="G57" s="682"/>
      <c r="H57" s="1010"/>
      <c r="I57" s="143"/>
      <c r="J57" s="1010"/>
      <c r="K57" s="1084"/>
      <c r="L57" s="412"/>
      <c r="M57" s="282"/>
      <c r="N57" s="1078"/>
    </row>
    <row r="58" spans="1:14" ht="16.5" customHeight="1" thickBot="1" x14ac:dyDescent="0.25">
      <c r="A58" s="64"/>
      <c r="B58" s="1061"/>
      <c r="C58" s="91"/>
      <c r="D58" s="214"/>
      <c r="E58" s="718"/>
      <c r="F58" s="91"/>
      <c r="G58" s="85" t="s">
        <v>6</v>
      </c>
      <c r="H58" s="85">
        <f>SUM(H43:H57)</f>
        <v>607.4</v>
      </c>
      <c r="I58" s="85">
        <f t="shared" ref="I58:J58" si="1">SUM(I43:I57)</f>
        <v>1856.3</v>
      </c>
      <c r="J58" s="85">
        <f t="shared" si="1"/>
        <v>1900</v>
      </c>
      <c r="K58" s="698"/>
      <c r="L58" s="171"/>
      <c r="M58" s="587"/>
      <c r="N58" s="497"/>
    </row>
    <row r="59" spans="1:14" ht="14.1" customHeight="1" x14ac:dyDescent="0.2">
      <c r="A59" s="1040" t="s">
        <v>5</v>
      </c>
      <c r="B59" s="1050" t="s">
        <v>5</v>
      </c>
      <c r="C59" s="1042" t="s">
        <v>28</v>
      </c>
      <c r="D59" s="1738" t="s">
        <v>95</v>
      </c>
      <c r="E59" s="1739" t="s">
        <v>90</v>
      </c>
      <c r="F59" s="1062" t="s">
        <v>43</v>
      </c>
      <c r="G59" s="197" t="s">
        <v>25</v>
      </c>
      <c r="H59" s="169">
        <f>875.5+10</f>
        <v>885.5</v>
      </c>
      <c r="I59" s="169">
        <v>374</v>
      </c>
      <c r="J59" s="169">
        <v>100</v>
      </c>
      <c r="K59" s="308"/>
      <c r="L59" s="490"/>
      <c r="M59" s="490"/>
      <c r="N59" s="491"/>
    </row>
    <row r="60" spans="1:14" ht="14.1" customHeight="1" x14ac:dyDescent="0.2">
      <c r="A60" s="1040"/>
      <c r="B60" s="1050"/>
      <c r="C60" s="1042"/>
      <c r="D60" s="1730"/>
      <c r="E60" s="1740"/>
      <c r="F60" s="1043"/>
      <c r="G60" s="79" t="s">
        <v>60</v>
      </c>
      <c r="H60" s="58">
        <v>298.7</v>
      </c>
      <c r="I60" s="58"/>
      <c r="J60" s="58"/>
      <c r="K60" s="1051"/>
      <c r="L60" s="357"/>
      <c r="M60" s="357"/>
      <c r="N60" s="300"/>
    </row>
    <row r="61" spans="1:14" ht="14.1" customHeight="1" x14ac:dyDescent="0.2">
      <c r="A61" s="1040"/>
      <c r="B61" s="1050"/>
      <c r="C61" s="1042"/>
      <c r="D61" s="1730"/>
      <c r="E61" s="1740"/>
      <c r="F61" s="1043"/>
      <c r="G61" s="79" t="s">
        <v>99</v>
      </c>
      <c r="H61" s="58">
        <f>755.4-236.1</f>
        <v>519.29999999999995</v>
      </c>
      <c r="I61" s="58">
        <f>711.8+236.1</f>
        <v>947.9</v>
      </c>
      <c r="J61" s="58">
        <v>400</v>
      </c>
      <c r="K61" s="1051"/>
      <c r="L61" s="357"/>
      <c r="M61" s="357"/>
      <c r="N61" s="300"/>
    </row>
    <row r="62" spans="1:14" ht="14.1" customHeight="1" x14ac:dyDescent="0.2">
      <c r="A62" s="1040"/>
      <c r="B62" s="1050"/>
      <c r="C62" s="1042"/>
      <c r="D62" s="1157"/>
      <c r="E62" s="1740"/>
      <c r="F62" s="1043"/>
      <c r="G62" s="79" t="s">
        <v>223</v>
      </c>
      <c r="H62" s="58">
        <v>1482.2</v>
      </c>
      <c r="I62" s="58">
        <v>122.8</v>
      </c>
      <c r="J62" s="58"/>
      <c r="K62" s="1051"/>
      <c r="L62" s="357"/>
      <c r="M62" s="357"/>
      <c r="N62" s="300"/>
    </row>
    <row r="63" spans="1:14" ht="14.1" customHeight="1" x14ac:dyDescent="0.2">
      <c r="A63" s="1040"/>
      <c r="B63" s="1050"/>
      <c r="C63" s="1042"/>
      <c r="D63" s="1157"/>
      <c r="E63" s="1685"/>
      <c r="F63" s="1043"/>
      <c r="G63" s="82" t="s">
        <v>48</v>
      </c>
      <c r="H63" s="1010">
        <v>200</v>
      </c>
      <c r="I63" s="162"/>
      <c r="J63" s="58"/>
      <c r="K63" s="1051"/>
      <c r="L63" s="357"/>
      <c r="M63" s="357"/>
      <c r="N63" s="300"/>
    </row>
    <row r="64" spans="1:14" ht="14.1" customHeight="1" x14ac:dyDescent="0.2">
      <c r="A64" s="1704"/>
      <c r="B64" s="1729"/>
      <c r="C64" s="1706"/>
      <c r="D64" s="1707" t="s">
        <v>284</v>
      </c>
      <c r="E64" s="1731" t="s">
        <v>47</v>
      </c>
      <c r="F64" s="1743"/>
      <c r="G64" s="79" t="s">
        <v>45</v>
      </c>
      <c r="H64" s="58">
        <v>104.9</v>
      </c>
      <c r="I64" s="95"/>
      <c r="J64" s="1009"/>
      <c r="K64" s="1682"/>
      <c r="L64" s="1037"/>
      <c r="M64" s="1037"/>
      <c r="N64" s="1094"/>
    </row>
    <row r="65" spans="1:14" ht="27" customHeight="1" x14ac:dyDescent="0.2">
      <c r="A65" s="1704"/>
      <c r="B65" s="1729"/>
      <c r="C65" s="1706"/>
      <c r="D65" s="1730"/>
      <c r="E65" s="1732"/>
      <c r="F65" s="1706"/>
      <c r="G65" s="79"/>
      <c r="H65" s="60"/>
      <c r="I65" s="309"/>
      <c r="J65" s="60"/>
      <c r="K65" s="1717"/>
      <c r="L65" s="1080"/>
      <c r="M65" s="1080"/>
      <c r="N65" s="1078"/>
    </row>
    <row r="66" spans="1:14" ht="25.5" customHeight="1" x14ac:dyDescent="0.2">
      <c r="A66" s="1704"/>
      <c r="B66" s="1729"/>
      <c r="C66" s="1706"/>
      <c r="D66" s="444" t="s">
        <v>148</v>
      </c>
      <c r="E66" s="1732"/>
      <c r="F66" s="1706"/>
      <c r="G66" s="720"/>
      <c r="H66" s="71"/>
      <c r="I66" s="853"/>
      <c r="J66" s="71"/>
      <c r="K66" s="81" t="s">
        <v>179</v>
      </c>
      <c r="L66" s="155">
        <v>100</v>
      </c>
      <c r="M66" s="155"/>
      <c r="N66" s="24"/>
    </row>
    <row r="67" spans="1:14" ht="40.5" customHeight="1" x14ac:dyDescent="0.2">
      <c r="A67" s="1704"/>
      <c r="B67" s="1729"/>
      <c r="C67" s="1706"/>
      <c r="D67" s="1044" t="s">
        <v>123</v>
      </c>
      <c r="E67" s="1733"/>
      <c r="F67" s="1744"/>
      <c r="G67" s="82"/>
      <c r="H67" s="1010"/>
      <c r="I67" s="143"/>
      <c r="J67" s="1010"/>
      <c r="K67" s="445" t="s">
        <v>180</v>
      </c>
      <c r="L67" s="44">
        <v>80</v>
      </c>
      <c r="M67" s="44">
        <v>100</v>
      </c>
      <c r="N67" s="20"/>
    </row>
    <row r="68" spans="1:14" ht="15" customHeight="1" x14ac:dyDescent="0.2">
      <c r="A68" s="1040"/>
      <c r="B68" s="1050"/>
      <c r="C68" s="1043"/>
      <c r="D68" s="1707" t="s">
        <v>285</v>
      </c>
      <c r="E68" s="1074" t="s">
        <v>47</v>
      </c>
      <c r="F68" s="1745"/>
      <c r="G68" s="352" t="s">
        <v>45</v>
      </c>
      <c r="H68" s="1009"/>
      <c r="I68" s="180">
        <v>40</v>
      </c>
      <c r="J68" s="1009"/>
      <c r="K68" s="1070" t="s">
        <v>46</v>
      </c>
      <c r="L68" s="401">
        <v>1</v>
      </c>
      <c r="M68" s="581"/>
      <c r="N68" s="687"/>
    </row>
    <row r="69" spans="1:14" ht="15" customHeight="1" x14ac:dyDescent="0.2">
      <c r="A69" s="1040"/>
      <c r="B69" s="1050"/>
      <c r="C69" s="1043"/>
      <c r="D69" s="1742"/>
      <c r="E69" s="482"/>
      <c r="F69" s="1746"/>
      <c r="G69" s="79"/>
      <c r="H69" s="58"/>
      <c r="I69" s="95"/>
      <c r="J69" s="58"/>
      <c r="K69" s="1051" t="s">
        <v>144</v>
      </c>
      <c r="L69" s="412"/>
      <c r="M69" s="415">
        <v>30</v>
      </c>
      <c r="N69" s="534">
        <v>60</v>
      </c>
    </row>
    <row r="70" spans="1:14" ht="11.25" customHeight="1" x14ac:dyDescent="0.2">
      <c r="A70" s="1040"/>
      <c r="B70" s="1050"/>
      <c r="C70" s="1043"/>
      <c r="D70" s="1711"/>
      <c r="E70" s="1073"/>
      <c r="F70" s="1747"/>
      <c r="G70" s="120"/>
      <c r="H70" s="1010"/>
      <c r="I70" s="143"/>
      <c r="J70" s="1010"/>
      <c r="K70" s="1090"/>
      <c r="L70" s="414"/>
      <c r="M70" s="480"/>
      <c r="N70" s="424"/>
    </row>
    <row r="71" spans="1:14" ht="15" customHeight="1" x14ac:dyDescent="0.2">
      <c r="A71" s="1040"/>
      <c r="B71" s="1050"/>
      <c r="C71" s="1043"/>
      <c r="D71" s="1713" t="s">
        <v>279</v>
      </c>
      <c r="E71" s="1734" t="s">
        <v>47</v>
      </c>
      <c r="F71" s="1736"/>
      <c r="G71" s="306"/>
      <c r="H71" s="58"/>
      <c r="I71" s="95"/>
      <c r="J71" s="58"/>
      <c r="K71" s="1682" t="s">
        <v>46</v>
      </c>
      <c r="L71" s="1038">
        <v>1</v>
      </c>
      <c r="M71" s="1077"/>
      <c r="N71" s="1094"/>
    </row>
    <row r="72" spans="1:14" ht="12.75" customHeight="1" x14ac:dyDescent="0.2">
      <c r="A72" s="1040"/>
      <c r="B72" s="1050"/>
      <c r="C72" s="1043"/>
      <c r="D72" s="1714"/>
      <c r="E72" s="1737"/>
      <c r="F72" s="1736"/>
      <c r="G72" s="120"/>
      <c r="H72" s="1010"/>
      <c r="I72" s="143"/>
      <c r="J72" s="1010"/>
      <c r="K72" s="1741"/>
      <c r="L72" s="1098"/>
      <c r="M72" s="282"/>
      <c r="N72" s="1078"/>
    </row>
    <row r="73" spans="1:14" ht="16.5" customHeight="1" thickBot="1" x14ac:dyDescent="0.25">
      <c r="A73" s="64"/>
      <c r="B73" s="1061"/>
      <c r="C73" s="91"/>
      <c r="D73" s="214"/>
      <c r="E73" s="718"/>
      <c r="F73" s="91"/>
      <c r="G73" s="165" t="s">
        <v>6</v>
      </c>
      <c r="H73" s="85">
        <f>SUM(H59:H72)</f>
        <v>3490.6</v>
      </c>
      <c r="I73" s="85">
        <f t="shared" ref="I73:J73" si="2">SUM(I59:I72)</f>
        <v>1484.7</v>
      </c>
      <c r="J73" s="85">
        <f t="shared" si="2"/>
        <v>500</v>
      </c>
      <c r="K73" s="698"/>
      <c r="L73" s="171"/>
      <c r="M73" s="587"/>
      <c r="N73" s="497"/>
    </row>
    <row r="74" spans="1:14" ht="14.1" customHeight="1" x14ac:dyDescent="0.2">
      <c r="A74" s="1059" t="s">
        <v>5</v>
      </c>
      <c r="B74" s="246" t="s">
        <v>5</v>
      </c>
      <c r="C74" s="1095" t="s">
        <v>33</v>
      </c>
      <c r="D74" s="1644" t="s">
        <v>51</v>
      </c>
      <c r="E74" s="1748" t="s">
        <v>87</v>
      </c>
      <c r="F74" s="111" t="s">
        <v>43</v>
      </c>
      <c r="G74" s="1009" t="s">
        <v>99</v>
      </c>
      <c r="H74" s="1009">
        <v>0</v>
      </c>
      <c r="I74" s="117"/>
      <c r="J74" s="1009"/>
      <c r="K74" s="1158"/>
      <c r="L74" s="242"/>
      <c r="M74" s="576"/>
      <c r="N74" s="603"/>
    </row>
    <row r="75" spans="1:14" ht="14.1" customHeight="1" x14ac:dyDescent="0.2">
      <c r="A75" s="1040"/>
      <c r="B75" s="1050"/>
      <c r="C75" s="1042"/>
      <c r="D75" s="1727"/>
      <c r="E75" s="1749"/>
      <c r="F75" s="1049"/>
      <c r="G75" s="58" t="s">
        <v>48</v>
      </c>
      <c r="H75" s="58">
        <v>1300</v>
      </c>
      <c r="I75" s="95"/>
      <c r="J75" s="58"/>
      <c r="K75" s="1052"/>
      <c r="L75" s="1098"/>
      <c r="M75" s="282"/>
      <c r="N75" s="1078"/>
    </row>
    <row r="76" spans="1:14" ht="14.1" customHeight="1" x14ac:dyDescent="0.2">
      <c r="A76" s="1040"/>
      <c r="B76" s="1050"/>
      <c r="C76" s="1042"/>
      <c r="D76" s="489"/>
      <c r="E76" s="1749"/>
      <c r="F76" s="1049"/>
      <c r="G76" s="43" t="s">
        <v>25</v>
      </c>
      <c r="H76" s="58">
        <v>10</v>
      </c>
      <c r="I76" s="95">
        <v>24.6</v>
      </c>
      <c r="J76" s="58">
        <v>22.5</v>
      </c>
      <c r="K76" s="1052"/>
      <c r="L76" s="1098"/>
      <c r="M76" s="282"/>
      <c r="N76" s="1078"/>
    </row>
    <row r="77" spans="1:14" ht="14.1" customHeight="1" x14ac:dyDescent="0.2">
      <c r="A77" s="1040"/>
      <c r="B77" s="1050"/>
      <c r="C77" s="1042"/>
      <c r="D77" s="489"/>
      <c r="E77" s="1750"/>
      <c r="F77" s="1049"/>
      <c r="G77" s="79" t="s">
        <v>44</v>
      </c>
      <c r="H77" s="58"/>
      <c r="I77" s="95">
        <v>425</v>
      </c>
      <c r="J77" s="58">
        <v>425</v>
      </c>
      <c r="K77" s="1052"/>
      <c r="L77" s="1098"/>
      <c r="M77" s="282"/>
      <c r="N77" s="1078"/>
    </row>
    <row r="78" spans="1:14" ht="15" customHeight="1" x14ac:dyDescent="0.2">
      <c r="A78" s="1040"/>
      <c r="B78" s="1050"/>
      <c r="C78" s="1042"/>
      <c r="D78" s="1707" t="s">
        <v>59</v>
      </c>
      <c r="E78" s="1734" t="s">
        <v>47</v>
      </c>
      <c r="F78" s="1732"/>
      <c r="G78" s="1009"/>
      <c r="H78" s="1009"/>
      <c r="I78" s="117"/>
      <c r="J78" s="1009"/>
      <c r="K78" s="1751" t="s">
        <v>215</v>
      </c>
      <c r="L78" s="1038">
        <v>100</v>
      </c>
      <c r="M78" s="1077"/>
      <c r="N78" s="1094"/>
    </row>
    <row r="79" spans="1:14" ht="15" customHeight="1" x14ac:dyDescent="0.2">
      <c r="A79" s="1040"/>
      <c r="B79" s="1050"/>
      <c r="C79" s="1042"/>
      <c r="D79" s="1742"/>
      <c r="E79" s="1737"/>
      <c r="F79" s="1732"/>
      <c r="G79" s="1010"/>
      <c r="H79" s="1010"/>
      <c r="I79" s="143"/>
      <c r="J79" s="1010"/>
      <c r="K79" s="1752"/>
      <c r="L79" s="1098"/>
      <c r="M79" s="282"/>
      <c r="N79" s="1078"/>
    </row>
    <row r="80" spans="1:14" ht="14.25" customHeight="1" x14ac:dyDescent="0.2">
      <c r="A80" s="1704"/>
      <c r="B80" s="1729"/>
      <c r="C80" s="1706"/>
      <c r="D80" s="1713" t="s">
        <v>242</v>
      </c>
      <c r="E80" s="1760" t="s">
        <v>47</v>
      </c>
      <c r="F80" s="1762"/>
      <c r="G80" s="43"/>
      <c r="H80" s="58"/>
      <c r="I80" s="95"/>
      <c r="J80" s="58"/>
      <c r="K80" s="1070" t="s">
        <v>46</v>
      </c>
      <c r="L80" s="1038">
        <v>1</v>
      </c>
      <c r="M80" s="1077"/>
      <c r="N80" s="1094"/>
    </row>
    <row r="81" spans="1:14" ht="21" customHeight="1" x14ac:dyDescent="0.2">
      <c r="A81" s="1704"/>
      <c r="B81" s="1729"/>
      <c r="C81" s="1706"/>
      <c r="D81" s="1714"/>
      <c r="E81" s="1761"/>
      <c r="F81" s="1762"/>
      <c r="G81" s="79"/>
      <c r="H81" s="58"/>
      <c r="I81" s="95"/>
      <c r="J81" s="58"/>
      <c r="K81" s="1758" t="s">
        <v>136</v>
      </c>
      <c r="L81" s="1098"/>
      <c r="M81" s="282">
        <v>50</v>
      </c>
      <c r="N81" s="1078">
        <v>100</v>
      </c>
    </row>
    <row r="82" spans="1:14" ht="18.75" customHeight="1" x14ac:dyDescent="0.2">
      <c r="A82" s="1704"/>
      <c r="B82" s="1729"/>
      <c r="C82" s="1706"/>
      <c r="D82" s="1714"/>
      <c r="E82" s="1761"/>
      <c r="F82" s="1762"/>
      <c r="G82" s="120"/>
      <c r="H82" s="1010"/>
      <c r="I82" s="143"/>
      <c r="J82" s="1010"/>
      <c r="K82" s="1717"/>
      <c r="L82" s="1098"/>
      <c r="M82" s="282"/>
      <c r="N82" s="1078"/>
    </row>
    <row r="83" spans="1:14" ht="16.5" customHeight="1" thickBot="1" x14ac:dyDescent="0.25">
      <c r="A83" s="64"/>
      <c r="B83" s="1061"/>
      <c r="C83" s="91"/>
      <c r="D83" s="214"/>
      <c r="E83" s="718"/>
      <c r="F83" s="91"/>
      <c r="G83" s="85" t="s">
        <v>6</v>
      </c>
      <c r="H83" s="85">
        <f>SUM(H74:H82)</f>
        <v>1310</v>
      </c>
      <c r="I83" s="85">
        <f t="shared" ref="I83:J83" si="3">SUM(I74:I82)</f>
        <v>449.6</v>
      </c>
      <c r="J83" s="85">
        <f t="shared" si="3"/>
        <v>447.5</v>
      </c>
      <c r="K83" s="698"/>
      <c r="L83" s="171"/>
      <c r="M83" s="587"/>
      <c r="N83" s="497"/>
    </row>
    <row r="84" spans="1:14" ht="14.1" customHeight="1" x14ac:dyDescent="0.2">
      <c r="A84" s="1059" t="s">
        <v>5</v>
      </c>
      <c r="B84" s="246" t="s">
        <v>5</v>
      </c>
      <c r="C84" s="1095" t="s">
        <v>34</v>
      </c>
      <c r="D84" s="1644" t="s">
        <v>94</v>
      </c>
      <c r="E84" s="1763" t="s">
        <v>85</v>
      </c>
      <c r="F84" s="1062" t="s">
        <v>43</v>
      </c>
      <c r="G84" s="1159" t="s">
        <v>25</v>
      </c>
      <c r="H84" s="169">
        <f>515.8-10</f>
        <v>505.8</v>
      </c>
      <c r="I84" s="197">
        <v>82</v>
      </c>
      <c r="J84" s="169">
        <v>160.6</v>
      </c>
      <c r="K84" s="215"/>
      <c r="L84" s="310"/>
      <c r="M84" s="583"/>
      <c r="N84" s="491"/>
    </row>
    <row r="85" spans="1:14" ht="14.1" customHeight="1" x14ac:dyDescent="0.2">
      <c r="A85" s="1040"/>
      <c r="B85" s="1050"/>
      <c r="C85" s="1042"/>
      <c r="D85" s="1645"/>
      <c r="E85" s="1764"/>
      <c r="F85" s="1043"/>
      <c r="G85" s="692" t="s">
        <v>60</v>
      </c>
      <c r="H85" s="58">
        <v>18.2</v>
      </c>
      <c r="I85" s="95"/>
      <c r="J85" s="58"/>
      <c r="K85" s="1612"/>
      <c r="L85" s="1613"/>
      <c r="M85" s="584"/>
      <c r="N85" s="300"/>
    </row>
    <row r="86" spans="1:14" ht="14.1" customHeight="1" x14ac:dyDescent="0.2">
      <c r="A86" s="1040"/>
      <c r="B86" s="1050"/>
      <c r="C86" s="1042"/>
      <c r="D86" s="1646"/>
      <c r="E86" s="1765"/>
      <c r="F86" s="1043"/>
      <c r="G86" s="82" t="s">
        <v>99</v>
      </c>
      <c r="H86" s="1010">
        <f>855.7-200</f>
        <v>655.7</v>
      </c>
      <c r="I86" s="143">
        <v>1000</v>
      </c>
      <c r="J86" s="1010">
        <v>800</v>
      </c>
      <c r="K86" s="193"/>
      <c r="L86" s="1614"/>
      <c r="M86" s="580"/>
      <c r="N86" s="28"/>
    </row>
    <row r="87" spans="1:14" ht="27" customHeight="1" x14ac:dyDescent="0.2">
      <c r="A87" s="1040"/>
      <c r="B87" s="1050"/>
      <c r="C87" s="1042"/>
      <c r="D87" s="1713" t="s">
        <v>323</v>
      </c>
      <c r="E87" s="103" t="s">
        <v>47</v>
      </c>
      <c r="F87" s="1043"/>
      <c r="G87" s="79"/>
      <c r="H87" s="58"/>
      <c r="I87" s="95"/>
      <c r="J87" s="58"/>
      <c r="K87" s="1611" t="s">
        <v>324</v>
      </c>
      <c r="L87" s="1613">
        <v>80</v>
      </c>
      <c r="M87" s="584">
        <v>100</v>
      </c>
      <c r="N87" s="300"/>
    </row>
    <row r="88" spans="1:14" ht="8.25" customHeight="1" x14ac:dyDescent="0.2">
      <c r="A88" s="1040"/>
      <c r="B88" s="1050"/>
      <c r="C88" s="1042"/>
      <c r="D88" s="1714"/>
      <c r="E88" s="1081"/>
      <c r="F88" s="1043"/>
      <c r="G88" s="503"/>
      <c r="H88" s="501"/>
      <c r="I88" s="143"/>
      <c r="J88" s="1010"/>
      <c r="K88" s="1083"/>
      <c r="L88" s="1076"/>
      <c r="M88" s="584"/>
      <c r="N88" s="300"/>
    </row>
    <row r="89" spans="1:14" ht="15.75" customHeight="1" x14ac:dyDescent="0.2">
      <c r="A89" s="1040"/>
      <c r="B89" s="1050"/>
      <c r="C89" s="1042"/>
      <c r="D89" s="1713" t="s">
        <v>201</v>
      </c>
      <c r="E89" s="103" t="s">
        <v>47</v>
      </c>
      <c r="F89" s="1043"/>
      <c r="G89" s="79"/>
      <c r="H89" s="58"/>
      <c r="I89" s="95"/>
      <c r="J89" s="58"/>
      <c r="K89" s="1682" t="s">
        <v>205</v>
      </c>
      <c r="L89" s="691">
        <v>10</v>
      </c>
      <c r="M89" s="677">
        <v>40</v>
      </c>
      <c r="N89" s="688">
        <v>80</v>
      </c>
    </row>
    <row r="90" spans="1:14" ht="19.5" customHeight="1" x14ac:dyDescent="0.2">
      <c r="A90" s="1040"/>
      <c r="B90" s="1050"/>
      <c r="C90" s="1042"/>
      <c r="D90" s="1759"/>
      <c r="E90" s="504"/>
      <c r="F90" s="1043"/>
      <c r="G90" s="1010"/>
      <c r="H90" s="1010"/>
      <c r="I90" s="143"/>
      <c r="J90" s="1010"/>
      <c r="K90" s="1703"/>
      <c r="L90" s="1076"/>
      <c r="M90" s="580"/>
      <c r="N90" s="28"/>
    </row>
    <row r="91" spans="1:14" ht="15" customHeight="1" x14ac:dyDescent="0.2">
      <c r="A91" s="1040"/>
      <c r="B91" s="1050"/>
      <c r="C91" s="1042"/>
      <c r="D91" s="1713" t="s">
        <v>130</v>
      </c>
      <c r="E91" s="1734" t="s">
        <v>309</v>
      </c>
      <c r="F91" s="1228"/>
      <c r="G91" s="79"/>
      <c r="H91" s="58"/>
      <c r="I91" s="117"/>
      <c r="J91" s="1009"/>
      <c r="K91" s="1229" t="s">
        <v>46</v>
      </c>
      <c r="L91" s="1223">
        <v>1</v>
      </c>
      <c r="M91" s="579"/>
      <c r="N91" s="1099"/>
    </row>
    <row r="92" spans="1:14" ht="39.75" customHeight="1" x14ac:dyDescent="0.2">
      <c r="A92" s="1040"/>
      <c r="B92" s="1050"/>
      <c r="C92" s="1043"/>
      <c r="D92" s="1753"/>
      <c r="E92" s="1754"/>
      <c r="F92" s="1228"/>
      <c r="G92" s="82"/>
      <c r="H92" s="1010"/>
      <c r="I92" s="143"/>
      <c r="J92" s="1010"/>
      <c r="K92" s="1231" t="s">
        <v>318</v>
      </c>
      <c r="L92" s="19"/>
      <c r="M92" s="283"/>
      <c r="N92" s="20"/>
    </row>
    <row r="93" spans="1:14" ht="14.25" customHeight="1" x14ac:dyDescent="0.2">
      <c r="A93" s="1040"/>
      <c r="B93" s="1050"/>
      <c r="C93" s="1042"/>
      <c r="D93" s="1713" t="s">
        <v>222</v>
      </c>
      <c r="E93" s="103" t="s">
        <v>47</v>
      </c>
      <c r="F93" s="1043"/>
      <c r="G93" s="79"/>
      <c r="H93" s="58"/>
      <c r="I93" s="95"/>
      <c r="J93" s="58"/>
      <c r="K93" s="1079" t="s">
        <v>46</v>
      </c>
      <c r="L93" s="505"/>
      <c r="M93" s="1756">
        <v>1</v>
      </c>
      <c r="N93" s="1099"/>
    </row>
    <row r="94" spans="1:14" ht="12.75" customHeight="1" x14ac:dyDescent="0.2">
      <c r="A94" s="1040"/>
      <c r="B94" s="1050"/>
      <c r="C94" s="1042"/>
      <c r="D94" s="1755"/>
      <c r="E94" s="640"/>
      <c r="F94" s="1043"/>
      <c r="G94" s="82"/>
      <c r="H94" s="1010"/>
      <c r="I94" s="143"/>
      <c r="J94" s="1010"/>
      <c r="K94" s="743"/>
      <c r="L94" s="723"/>
      <c r="M94" s="1757"/>
      <c r="N94" s="300"/>
    </row>
    <row r="95" spans="1:14" ht="16.5" customHeight="1" thickBot="1" x14ac:dyDescent="0.25">
      <c r="A95" s="64"/>
      <c r="B95" s="1061"/>
      <c r="C95" s="91"/>
      <c r="D95" s="214"/>
      <c r="E95" s="718"/>
      <c r="F95" s="91"/>
      <c r="G95" s="85" t="s">
        <v>6</v>
      </c>
      <c r="H95" s="85">
        <f>SUM(H84:H94)</f>
        <v>1179.7</v>
      </c>
      <c r="I95" s="85">
        <f>SUM(I84:I94)</f>
        <v>1082</v>
      </c>
      <c r="J95" s="85">
        <f>SUM(J84:J94)</f>
        <v>960.6</v>
      </c>
      <c r="K95" s="698"/>
      <c r="L95" s="171"/>
      <c r="M95" s="587"/>
      <c r="N95" s="497"/>
    </row>
    <row r="96" spans="1:14" ht="29.25" customHeight="1" x14ac:dyDescent="0.2">
      <c r="A96" s="1040" t="s">
        <v>5</v>
      </c>
      <c r="B96" s="1050" t="s">
        <v>5</v>
      </c>
      <c r="C96" s="1042" t="s">
        <v>35</v>
      </c>
      <c r="D96" s="192" t="s">
        <v>72</v>
      </c>
      <c r="E96" s="365" t="s">
        <v>89</v>
      </c>
      <c r="F96" s="1091" t="s">
        <v>43</v>
      </c>
      <c r="G96" s="65"/>
      <c r="H96" s="72"/>
      <c r="I96" s="349"/>
      <c r="J96" s="72"/>
      <c r="K96" s="59"/>
      <c r="L96" s="50"/>
      <c r="M96" s="153"/>
      <c r="N96" s="281"/>
    </row>
    <row r="97" spans="1:16" ht="14.25" customHeight="1" x14ac:dyDescent="0.2">
      <c r="A97" s="1040"/>
      <c r="B97" s="1050"/>
      <c r="C97" s="1042"/>
      <c r="D97" s="1713" t="s">
        <v>128</v>
      </c>
      <c r="E97" s="1734" t="s">
        <v>309</v>
      </c>
      <c r="F97" s="1043"/>
      <c r="G97" s="60" t="s">
        <v>99</v>
      </c>
      <c r="H97" s="58">
        <v>243.1</v>
      </c>
      <c r="I97" s="95"/>
      <c r="J97" s="58">
        <v>1200</v>
      </c>
      <c r="K97" s="1079" t="s">
        <v>46</v>
      </c>
      <c r="L97" s="415">
        <v>1</v>
      </c>
      <c r="M97" s="1037"/>
      <c r="N97" s="1094"/>
    </row>
    <row r="98" spans="1:16" ht="13.5" customHeight="1" x14ac:dyDescent="0.2">
      <c r="A98" s="1040"/>
      <c r="B98" s="1050"/>
      <c r="C98" s="1042"/>
      <c r="D98" s="1714"/>
      <c r="E98" s="1777"/>
      <c r="F98" s="1043"/>
      <c r="G98" s="60" t="s">
        <v>243</v>
      </c>
      <c r="H98" s="58"/>
      <c r="I98" s="95">
        <v>5000</v>
      </c>
      <c r="J98" s="58">
        <v>8609.1</v>
      </c>
      <c r="K98" s="1778" t="s">
        <v>234</v>
      </c>
      <c r="L98" s="415"/>
      <c r="M98" s="1080">
        <v>60</v>
      </c>
      <c r="N98" s="1078">
        <v>90</v>
      </c>
    </row>
    <row r="99" spans="1:16" ht="14.25" customHeight="1" x14ac:dyDescent="0.2">
      <c r="A99" s="1040"/>
      <c r="B99" s="1050"/>
      <c r="C99" s="1042"/>
      <c r="D99" s="1714"/>
      <c r="E99" s="1777"/>
      <c r="F99" s="1043"/>
      <c r="G99" s="60" t="s">
        <v>304</v>
      </c>
      <c r="H99" s="58"/>
      <c r="I99" s="95">
        <v>10000</v>
      </c>
      <c r="J99" s="58"/>
      <c r="K99" s="1779"/>
      <c r="L99" s="415"/>
      <c r="M99" s="1080"/>
      <c r="N99" s="1078"/>
    </row>
    <row r="100" spans="1:16" ht="16.5" customHeight="1" thickBot="1" x14ac:dyDescent="0.25">
      <c r="A100" s="64"/>
      <c r="B100" s="1061"/>
      <c r="C100" s="91"/>
      <c r="D100" s="214"/>
      <c r="E100" s="718"/>
      <c r="F100" s="91"/>
      <c r="G100" s="85" t="s">
        <v>6</v>
      </c>
      <c r="H100" s="85">
        <f>SUM(H97:H99)</f>
        <v>243.1</v>
      </c>
      <c r="I100" s="85">
        <f>SUM(I97:I99)</f>
        <v>15000</v>
      </c>
      <c r="J100" s="85">
        <f>SUM(J97:J99)</f>
        <v>9809.1</v>
      </c>
      <c r="K100" s="698"/>
      <c r="L100" s="171"/>
      <c r="M100" s="587"/>
      <c r="N100" s="497"/>
    </row>
    <row r="101" spans="1:16" ht="27" customHeight="1" x14ac:dyDescent="0.2">
      <c r="A101" s="1040" t="s">
        <v>5</v>
      </c>
      <c r="B101" s="1050" t="s">
        <v>5</v>
      </c>
      <c r="C101" s="200" t="s">
        <v>36</v>
      </c>
      <c r="D101" s="104" t="s">
        <v>206</v>
      </c>
      <c r="E101" s="121"/>
      <c r="F101" s="1095" t="s">
        <v>43</v>
      </c>
      <c r="G101" s="683" t="s">
        <v>25</v>
      </c>
      <c r="H101" s="353">
        <v>28</v>
      </c>
      <c r="I101" s="119">
        <v>28</v>
      </c>
      <c r="J101" s="53">
        <v>28</v>
      </c>
      <c r="K101" s="66"/>
      <c r="L101" s="25"/>
      <c r="M101" s="588"/>
      <c r="N101" s="562"/>
    </row>
    <row r="102" spans="1:16" ht="13.5" customHeight="1" x14ac:dyDescent="0.2">
      <c r="A102" s="1040"/>
      <c r="B102" s="1050"/>
      <c r="C102" s="89"/>
      <c r="D102" s="382" t="s">
        <v>84</v>
      </c>
      <c r="E102" s="1068"/>
      <c r="F102" s="1042"/>
      <c r="G102" s="83"/>
      <c r="H102" s="1009"/>
      <c r="I102" s="117"/>
      <c r="J102" s="1009"/>
      <c r="K102" s="1780" t="s">
        <v>133</v>
      </c>
      <c r="L102" s="401">
        <v>100</v>
      </c>
      <c r="M102" s="581">
        <v>100</v>
      </c>
      <c r="N102" s="687">
        <v>100</v>
      </c>
    </row>
    <row r="103" spans="1:16" ht="16.5" customHeight="1" x14ac:dyDescent="0.2">
      <c r="A103" s="1040"/>
      <c r="B103" s="1050"/>
      <c r="C103" s="89"/>
      <c r="D103" s="138"/>
      <c r="E103" s="1093"/>
      <c r="F103" s="1043"/>
      <c r="G103" s="79"/>
      <c r="H103" s="58"/>
      <c r="I103" s="95"/>
      <c r="J103" s="58"/>
      <c r="K103" s="1781"/>
      <c r="L103" s="412"/>
      <c r="M103" s="415"/>
      <c r="N103" s="534"/>
    </row>
    <row r="104" spans="1:16" s="8" customFormat="1" ht="49.5" customHeight="1" x14ac:dyDescent="0.2">
      <c r="A104" s="1040"/>
      <c r="B104" s="1050"/>
      <c r="C104" s="1042"/>
      <c r="D104" s="446" t="s">
        <v>77</v>
      </c>
      <c r="E104" s="230"/>
      <c r="F104" s="1091"/>
      <c r="G104" s="684"/>
      <c r="H104" s="312"/>
      <c r="I104" s="311"/>
      <c r="J104" s="312"/>
      <c r="K104" s="1782"/>
      <c r="L104" s="402"/>
      <c r="M104" s="585"/>
      <c r="N104" s="604"/>
      <c r="P104" s="1"/>
    </row>
    <row r="105" spans="1:16" ht="16.5" customHeight="1" thickBot="1" x14ac:dyDescent="0.25">
      <c r="A105" s="64"/>
      <c r="B105" s="1061"/>
      <c r="C105" s="91"/>
      <c r="D105" s="214"/>
      <c r="E105" s="718"/>
      <c r="F105" s="91"/>
      <c r="G105" s="85" t="s">
        <v>6</v>
      </c>
      <c r="H105" s="85">
        <f>SUM(H101:H104)</f>
        <v>28</v>
      </c>
      <c r="I105" s="85">
        <f t="shared" ref="I105:J105" si="4">SUM(I101:I104)</f>
        <v>28</v>
      </c>
      <c r="J105" s="85">
        <f t="shared" si="4"/>
        <v>28</v>
      </c>
      <c r="K105" s="698"/>
      <c r="L105" s="171"/>
      <c r="M105" s="587"/>
      <c r="N105" s="497"/>
    </row>
    <row r="106" spans="1:16" ht="14.25" customHeight="1" thickBot="1" x14ac:dyDescent="0.25">
      <c r="A106" s="74" t="s">
        <v>5</v>
      </c>
      <c r="B106" s="247" t="s">
        <v>5</v>
      </c>
      <c r="C106" s="1766" t="s">
        <v>8</v>
      </c>
      <c r="D106" s="1767"/>
      <c r="E106" s="1767"/>
      <c r="F106" s="1767"/>
      <c r="G106" s="1768"/>
      <c r="H106" s="132">
        <f>H105+H100+H95+H83+H73+H58+H42</f>
        <v>9639.6</v>
      </c>
      <c r="I106" s="132">
        <f>I105+I100+I95+I83+I73+I58+I42</f>
        <v>20983.599999999999</v>
      </c>
      <c r="J106" s="132">
        <f>J105+J100+J95+J83+J73+J58+J42</f>
        <v>15679.6</v>
      </c>
      <c r="K106" s="1064"/>
      <c r="L106" s="1092"/>
      <c r="M106" s="1092"/>
      <c r="N106" s="1065"/>
    </row>
    <row r="107" spans="1:16" ht="14.25" customHeight="1" thickBot="1" x14ac:dyDescent="0.25">
      <c r="A107" s="74" t="s">
        <v>5</v>
      </c>
      <c r="B107" s="247" t="s">
        <v>7</v>
      </c>
      <c r="C107" s="1769" t="s">
        <v>32</v>
      </c>
      <c r="D107" s="1769"/>
      <c r="E107" s="1769"/>
      <c r="F107" s="1769"/>
      <c r="G107" s="1769"/>
      <c r="H107" s="1770"/>
      <c r="I107" s="1770"/>
      <c r="J107" s="1770"/>
      <c r="K107" s="1769"/>
      <c r="L107" s="1771"/>
      <c r="M107" s="1771"/>
      <c r="N107" s="1772"/>
    </row>
    <row r="108" spans="1:16" ht="14.1" customHeight="1" x14ac:dyDescent="0.2">
      <c r="A108" s="1059" t="s">
        <v>5</v>
      </c>
      <c r="B108" s="246" t="s">
        <v>7</v>
      </c>
      <c r="C108" s="1095" t="s">
        <v>5</v>
      </c>
      <c r="D108" s="201" t="s">
        <v>56</v>
      </c>
      <c r="E108" s="1783" t="s">
        <v>112</v>
      </c>
      <c r="F108" s="1057">
        <v>6</v>
      </c>
      <c r="G108" s="197" t="s">
        <v>25</v>
      </c>
      <c r="H108" s="169">
        <f>5098.3-2062.6</f>
        <v>3035.7</v>
      </c>
      <c r="I108" s="197">
        <f>5248-99+5</f>
        <v>5154</v>
      </c>
      <c r="J108" s="197">
        <f>5245.4+5</f>
        <v>5250.4</v>
      </c>
      <c r="K108" s="1160"/>
      <c r="L108" s="1163"/>
      <c r="M108" s="1164"/>
      <c r="N108" s="1165"/>
    </row>
    <row r="109" spans="1:16" ht="14.1" customHeight="1" x14ac:dyDescent="0.2">
      <c r="A109" s="1410"/>
      <c r="B109" s="1412"/>
      <c r="C109" s="1411"/>
      <c r="D109" s="321"/>
      <c r="E109" s="1784"/>
      <c r="F109" s="1417"/>
      <c r="G109" s="79" t="s">
        <v>60</v>
      </c>
      <c r="H109" s="58">
        <v>2062.6</v>
      </c>
      <c r="I109" s="79"/>
      <c r="J109" s="79"/>
      <c r="K109" s="161"/>
      <c r="L109" s="159"/>
      <c r="M109" s="477"/>
      <c r="N109" s="500"/>
    </row>
    <row r="110" spans="1:16" ht="14.1" customHeight="1" x14ac:dyDescent="0.2">
      <c r="A110" s="1040"/>
      <c r="B110" s="1050"/>
      <c r="C110" s="1042"/>
      <c r="D110" s="321"/>
      <c r="E110" s="1740"/>
      <c r="F110" s="1043"/>
      <c r="G110" s="79" t="s">
        <v>68</v>
      </c>
      <c r="H110" s="58">
        <v>198.7</v>
      </c>
      <c r="I110" s="79">
        <v>295.7</v>
      </c>
      <c r="J110" s="79">
        <v>107</v>
      </c>
      <c r="K110" s="161"/>
      <c r="L110" s="159"/>
      <c r="M110" s="477"/>
      <c r="N110" s="500"/>
    </row>
    <row r="111" spans="1:16" ht="14.1" customHeight="1" x14ac:dyDescent="0.2">
      <c r="A111" s="1040"/>
      <c r="B111" s="1050"/>
      <c r="C111" s="1042"/>
      <c r="D111" s="322"/>
      <c r="E111" s="1685"/>
      <c r="F111" s="1088"/>
      <c r="G111" s="82" t="s">
        <v>75</v>
      </c>
      <c r="H111" s="1010">
        <f>350+55+139.1</f>
        <v>544.1</v>
      </c>
      <c r="I111" s="82"/>
      <c r="J111" s="82"/>
      <c r="K111" s="185"/>
      <c r="L111" s="184"/>
      <c r="M111" s="478"/>
      <c r="N111" s="1166"/>
    </row>
    <row r="112" spans="1:16" ht="14.25" customHeight="1" x14ac:dyDescent="0.2">
      <c r="A112" s="1040"/>
      <c r="B112" s="1050"/>
      <c r="C112" s="1042"/>
      <c r="D112" s="1053" t="s">
        <v>52</v>
      </c>
      <c r="E112" s="632"/>
      <c r="F112" s="1058"/>
      <c r="G112" s="78"/>
      <c r="H112" s="1167"/>
      <c r="I112" s="1168"/>
      <c r="J112" s="1168"/>
      <c r="K112" s="1162"/>
      <c r="L112" s="159"/>
      <c r="M112" s="477"/>
      <c r="N112" s="500"/>
    </row>
    <row r="113" spans="1:15" ht="15.75" customHeight="1" x14ac:dyDescent="0.2">
      <c r="A113" s="1040"/>
      <c r="B113" s="1050"/>
      <c r="C113" s="1042"/>
      <c r="D113" s="1773" t="s">
        <v>78</v>
      </c>
      <c r="E113" s="632"/>
      <c r="F113" s="1042"/>
      <c r="G113" s="79"/>
      <c r="H113" s="58"/>
      <c r="I113" s="123"/>
      <c r="J113" s="123"/>
      <c r="K113" s="1051" t="s">
        <v>41</v>
      </c>
      <c r="L113" s="206">
        <v>6</v>
      </c>
      <c r="M113" s="206">
        <v>6</v>
      </c>
      <c r="N113" s="37">
        <v>6</v>
      </c>
    </row>
    <row r="114" spans="1:15" ht="14.25" customHeight="1" x14ac:dyDescent="0.2">
      <c r="A114" s="1040"/>
      <c r="B114" s="1050"/>
      <c r="C114" s="1042"/>
      <c r="D114" s="1773"/>
      <c r="E114" s="1047"/>
      <c r="F114" s="1042"/>
      <c r="G114" s="79"/>
      <c r="H114" s="58"/>
      <c r="I114" s="123"/>
      <c r="J114" s="123"/>
      <c r="K114" s="1097"/>
      <c r="L114" s="633"/>
      <c r="M114" s="292"/>
      <c r="N114" s="674"/>
    </row>
    <row r="115" spans="1:15" ht="26.25" customHeight="1" x14ac:dyDescent="0.2">
      <c r="A115" s="1504"/>
      <c r="B115" s="1509"/>
      <c r="C115" s="1505"/>
      <c r="D115" s="1553" t="s">
        <v>79</v>
      </c>
      <c r="E115" s="1508"/>
      <c r="F115" s="1505"/>
      <c r="G115" s="79"/>
      <c r="H115" s="58"/>
      <c r="I115" s="123"/>
      <c r="J115" s="79"/>
      <c r="K115" s="81" t="s">
        <v>361</v>
      </c>
      <c r="L115" s="175">
        <v>2</v>
      </c>
      <c r="M115" s="1367">
        <v>2</v>
      </c>
      <c r="N115" s="697">
        <v>2</v>
      </c>
    </row>
    <row r="116" spans="1:15" ht="16.5" customHeight="1" x14ac:dyDescent="0.2">
      <c r="A116" s="1040"/>
      <c r="B116" s="1050"/>
      <c r="C116" s="1042"/>
      <c r="D116" s="1537"/>
      <c r="E116" s="1047"/>
      <c r="F116" s="1042"/>
      <c r="G116" s="79"/>
      <c r="H116" s="58"/>
      <c r="I116" s="123"/>
      <c r="J116" s="58"/>
      <c r="K116" s="1418" t="s">
        <v>138</v>
      </c>
      <c r="L116" s="31">
        <v>4</v>
      </c>
      <c r="M116" s="586">
        <v>4</v>
      </c>
      <c r="N116" s="32">
        <v>4</v>
      </c>
    </row>
    <row r="117" spans="1:15" ht="26.25" customHeight="1" x14ac:dyDescent="0.2">
      <c r="A117" s="1040"/>
      <c r="B117" s="1050"/>
      <c r="C117" s="1042"/>
      <c r="D117" s="269" t="s">
        <v>80</v>
      </c>
      <c r="E117" s="1047"/>
      <c r="F117" s="1042"/>
      <c r="G117" s="78"/>
      <c r="H117" s="58"/>
      <c r="I117" s="123"/>
      <c r="J117" s="58"/>
      <c r="K117" s="1097" t="s">
        <v>139</v>
      </c>
      <c r="L117" s="175">
        <v>24.8</v>
      </c>
      <c r="M117" s="394">
        <v>24.8</v>
      </c>
      <c r="N117" s="697">
        <v>24.8</v>
      </c>
    </row>
    <row r="118" spans="1:15" ht="21.75" customHeight="1" x14ac:dyDescent="0.2">
      <c r="A118" s="1040"/>
      <c r="B118" s="1050"/>
      <c r="C118" s="1042"/>
      <c r="D118" s="1774" t="s">
        <v>129</v>
      </c>
      <c r="E118" s="1047"/>
      <c r="F118" s="1042"/>
      <c r="G118" s="79"/>
      <c r="H118" s="58"/>
      <c r="I118" s="123"/>
      <c r="J118" s="123"/>
      <c r="K118" s="1702" t="s">
        <v>310</v>
      </c>
      <c r="L118" s="473">
        <v>6</v>
      </c>
      <c r="M118" s="472">
        <v>3</v>
      </c>
      <c r="N118" s="188">
        <v>3</v>
      </c>
    </row>
    <row r="119" spans="1:15" ht="15.75" customHeight="1" x14ac:dyDescent="0.2">
      <c r="A119" s="1040"/>
      <c r="B119" s="1050"/>
      <c r="C119" s="1042"/>
      <c r="D119" s="1775"/>
      <c r="E119" s="632"/>
      <c r="F119" s="1042"/>
      <c r="G119" s="79"/>
      <c r="H119" s="58"/>
      <c r="I119" s="79"/>
      <c r="J119" s="79"/>
      <c r="K119" s="1776"/>
      <c r="L119" s="44"/>
      <c r="M119" s="19"/>
      <c r="N119" s="1078"/>
    </row>
    <row r="120" spans="1:15" ht="14.25" customHeight="1" x14ac:dyDescent="0.2">
      <c r="A120" s="1040"/>
      <c r="B120" s="1050"/>
      <c r="C120" s="1042"/>
      <c r="D120" s="256" t="s">
        <v>155</v>
      </c>
      <c r="E120" s="632"/>
      <c r="F120" s="1042"/>
      <c r="G120" s="141"/>
      <c r="H120" s="1161"/>
      <c r="I120" s="135"/>
      <c r="J120" s="135"/>
      <c r="K120" s="1051"/>
      <c r="L120" s="181"/>
      <c r="M120" s="456"/>
      <c r="N120" s="288"/>
    </row>
    <row r="121" spans="1:15" ht="52.5" customHeight="1" x14ac:dyDescent="0.2">
      <c r="A121" s="1040"/>
      <c r="B121" s="1050"/>
      <c r="C121" s="1042"/>
      <c r="D121" s="257" t="s">
        <v>156</v>
      </c>
      <c r="E121" s="632"/>
      <c r="F121" s="1042"/>
      <c r="G121" s="79"/>
      <c r="H121" s="58"/>
      <c r="I121" s="123"/>
      <c r="J121" s="58"/>
      <c r="K121" s="41" t="s">
        <v>152</v>
      </c>
      <c r="L121" s="290">
        <v>21</v>
      </c>
      <c r="M121" s="319">
        <v>21</v>
      </c>
      <c r="N121" s="674">
        <v>21</v>
      </c>
      <c r="O121" s="634"/>
    </row>
    <row r="122" spans="1:15" ht="22.5" customHeight="1" x14ac:dyDescent="0.2">
      <c r="A122" s="1040"/>
      <c r="B122" s="1050"/>
      <c r="C122" s="1042"/>
      <c r="D122" s="1785" t="s">
        <v>157</v>
      </c>
      <c r="E122" s="632"/>
      <c r="F122" s="1042"/>
      <c r="G122" s="79"/>
      <c r="H122" s="58"/>
      <c r="I122" s="123"/>
      <c r="J122" s="123"/>
      <c r="K122" s="1721" t="s">
        <v>207</v>
      </c>
      <c r="L122" s="289"/>
      <c r="M122" s="1080"/>
      <c r="N122" s="1078">
        <v>17</v>
      </c>
    </row>
    <row r="123" spans="1:15" ht="21" customHeight="1" x14ac:dyDescent="0.2">
      <c r="A123" s="1040"/>
      <c r="B123" s="1050"/>
      <c r="C123" s="1042"/>
      <c r="D123" s="1786"/>
      <c r="E123" s="632"/>
      <c r="F123" s="1042"/>
      <c r="G123" s="82"/>
      <c r="H123" s="1010"/>
      <c r="I123" s="124"/>
      <c r="J123" s="124"/>
      <c r="K123" s="1703"/>
      <c r="L123" s="287"/>
      <c r="M123" s="44"/>
      <c r="N123" s="20"/>
    </row>
    <row r="124" spans="1:15" ht="18" customHeight="1" x14ac:dyDescent="0.2">
      <c r="A124" s="1704"/>
      <c r="B124" s="1705"/>
      <c r="C124" s="1706"/>
      <c r="D124" s="1695" t="s">
        <v>42</v>
      </c>
      <c r="E124" s="1732"/>
      <c r="F124" s="1706"/>
      <c r="G124" s="79"/>
      <c r="H124" s="58"/>
      <c r="I124" s="123"/>
      <c r="J124" s="123"/>
      <c r="K124" s="1787" t="s">
        <v>54</v>
      </c>
      <c r="L124" s="1789">
        <v>7</v>
      </c>
      <c r="M124" s="1791">
        <v>7</v>
      </c>
      <c r="N124" s="1793">
        <v>7</v>
      </c>
    </row>
    <row r="125" spans="1:15" ht="15" customHeight="1" x14ac:dyDescent="0.2">
      <c r="A125" s="1704"/>
      <c r="B125" s="1705"/>
      <c r="C125" s="1706"/>
      <c r="D125" s="1720"/>
      <c r="E125" s="1732"/>
      <c r="F125" s="1706"/>
      <c r="G125" s="82"/>
      <c r="H125" s="1010"/>
      <c r="I125" s="124"/>
      <c r="J125" s="124"/>
      <c r="K125" s="1788"/>
      <c r="L125" s="1790"/>
      <c r="M125" s="1792"/>
      <c r="N125" s="1794"/>
    </row>
    <row r="126" spans="1:15" ht="15" customHeight="1" x14ac:dyDescent="0.2">
      <c r="A126" s="1704"/>
      <c r="B126" s="1729"/>
      <c r="C126" s="1706"/>
      <c r="D126" s="1795" t="s">
        <v>301</v>
      </c>
      <c r="E126" s="1797"/>
      <c r="F126" s="1681"/>
      <c r="G126" s="83"/>
      <c r="H126" s="1009"/>
      <c r="I126" s="122"/>
      <c r="J126" s="1009"/>
      <c r="K126" s="1070" t="s">
        <v>175</v>
      </c>
      <c r="L126" s="1077"/>
      <c r="M126" s="1037"/>
      <c r="N126" s="1094"/>
    </row>
    <row r="127" spans="1:15" ht="15" customHeight="1" x14ac:dyDescent="0.2">
      <c r="A127" s="1704"/>
      <c r="B127" s="1729"/>
      <c r="C127" s="1706"/>
      <c r="D127" s="1796"/>
      <c r="E127" s="1797"/>
      <c r="F127" s="1681"/>
      <c r="G127" s="79"/>
      <c r="H127" s="58"/>
      <c r="I127" s="123"/>
      <c r="J127" s="58"/>
      <c r="K127" s="1051" t="s">
        <v>326</v>
      </c>
      <c r="L127" s="282">
        <v>1</v>
      </c>
      <c r="M127" s="1080">
        <v>1</v>
      </c>
      <c r="N127" s="1078">
        <v>1</v>
      </c>
    </row>
    <row r="128" spans="1:15" ht="25.5" customHeight="1" x14ac:dyDescent="0.2">
      <c r="A128" s="1704"/>
      <c r="B128" s="1729"/>
      <c r="C128" s="1706"/>
      <c r="D128" s="1796"/>
      <c r="E128" s="1797"/>
      <c r="F128" s="1681"/>
      <c r="G128" s="79"/>
      <c r="H128" s="58"/>
      <c r="I128" s="79"/>
      <c r="J128" s="58"/>
      <c r="K128" s="1051" t="s">
        <v>325</v>
      </c>
      <c r="L128" s="282">
        <v>1</v>
      </c>
      <c r="M128" s="1080">
        <v>1</v>
      </c>
      <c r="N128" s="1078">
        <v>1</v>
      </c>
    </row>
    <row r="129" spans="1:18" ht="12.75" customHeight="1" x14ac:dyDescent="0.2">
      <c r="A129" s="1040"/>
      <c r="B129" s="1050"/>
      <c r="C129" s="1042"/>
      <c r="D129" s="1053"/>
      <c r="E129" s="1047"/>
      <c r="F129" s="1043"/>
      <c r="G129" s="79"/>
      <c r="H129" s="58"/>
      <c r="I129" s="95"/>
      <c r="J129" s="58"/>
      <c r="K129" s="1051" t="s">
        <v>251</v>
      </c>
      <c r="L129" s="282">
        <v>1</v>
      </c>
      <c r="M129" s="1080">
        <v>1</v>
      </c>
      <c r="N129" s="1078"/>
    </row>
    <row r="130" spans="1:18" ht="15" customHeight="1" x14ac:dyDescent="0.2">
      <c r="A130" s="1040"/>
      <c r="B130" s="1050"/>
      <c r="C130" s="1042"/>
      <c r="D130" s="1053"/>
      <c r="E130" s="632"/>
      <c r="F130" s="1043"/>
      <c r="G130" s="79"/>
      <c r="H130" s="58"/>
      <c r="I130" s="95"/>
      <c r="J130" s="58"/>
      <c r="K130" s="1051" t="s">
        <v>250</v>
      </c>
      <c r="L130" s="282">
        <v>1</v>
      </c>
      <c r="M130" s="1080">
        <v>1</v>
      </c>
      <c r="N130" s="1078">
        <v>1</v>
      </c>
    </row>
    <row r="131" spans="1:18" ht="7.5" customHeight="1" x14ac:dyDescent="0.2">
      <c r="A131" s="1040"/>
      <c r="B131" s="1050"/>
      <c r="C131" s="1042"/>
      <c r="D131" s="1053"/>
      <c r="E131" s="1047"/>
      <c r="F131" s="1043"/>
      <c r="G131" s="79"/>
      <c r="H131" s="58"/>
      <c r="I131" s="95"/>
      <c r="J131" s="58"/>
      <c r="K131" s="1051"/>
      <c r="L131" s="282"/>
      <c r="M131" s="1080"/>
      <c r="N131" s="1078"/>
    </row>
    <row r="132" spans="1:18" ht="22.5" customHeight="1" x14ac:dyDescent="0.2">
      <c r="A132" s="1704"/>
      <c r="B132" s="1729"/>
      <c r="C132" s="1706"/>
      <c r="D132" s="1695" t="s">
        <v>127</v>
      </c>
      <c r="E132" s="1731" t="s">
        <v>308</v>
      </c>
      <c r="F132" s="1681"/>
      <c r="G132" s="83"/>
      <c r="H132" s="1009"/>
      <c r="I132" s="117"/>
      <c r="J132" s="1009"/>
      <c r="K132" s="1071" t="s">
        <v>252</v>
      </c>
      <c r="L132" s="802">
        <v>205</v>
      </c>
      <c r="M132" s="616"/>
      <c r="N132" s="538"/>
    </row>
    <row r="133" spans="1:18" ht="26.25" customHeight="1" x14ac:dyDescent="0.2">
      <c r="A133" s="1704"/>
      <c r="B133" s="1729"/>
      <c r="C133" s="1706"/>
      <c r="D133" s="1720"/>
      <c r="E133" s="1733"/>
      <c r="F133" s="1681"/>
      <c r="G133" s="82"/>
      <c r="H133" s="1010"/>
      <c r="I133" s="82"/>
      <c r="J133" s="1010"/>
      <c r="K133" s="1090" t="s">
        <v>253</v>
      </c>
      <c r="L133" s="1153">
        <f>65+18</f>
        <v>83</v>
      </c>
      <c r="M133" s="1154">
        <v>100</v>
      </c>
      <c r="N133" s="539"/>
    </row>
    <row r="134" spans="1:18" ht="19.5" customHeight="1" x14ac:dyDescent="0.2">
      <c r="A134" s="1046"/>
      <c r="B134" s="1050"/>
      <c r="C134" s="200"/>
      <c r="D134" s="1796" t="s">
        <v>191</v>
      </c>
      <c r="E134" s="1063"/>
      <c r="F134" s="1043"/>
      <c r="G134" s="79"/>
      <c r="H134" s="58"/>
      <c r="I134" s="79"/>
      <c r="J134" s="58"/>
      <c r="K134" s="1052" t="s">
        <v>192</v>
      </c>
      <c r="L134" s="234">
        <v>1</v>
      </c>
      <c r="M134" s="399"/>
      <c r="N134" s="1072"/>
      <c r="P134" s="47"/>
      <c r="Q134" s="47"/>
      <c r="R134" s="47"/>
    </row>
    <row r="135" spans="1:18" ht="15" customHeight="1" x14ac:dyDescent="0.2">
      <c r="A135" s="1046"/>
      <c r="B135" s="1050"/>
      <c r="C135" s="200"/>
      <c r="D135" s="1796"/>
      <c r="E135" s="1063"/>
      <c r="F135" s="1043"/>
      <c r="G135" s="82"/>
      <c r="H135" s="1010"/>
      <c r="I135" s="124"/>
      <c r="J135" s="124"/>
      <c r="K135" s="1052"/>
      <c r="L135" s="298"/>
      <c r="M135" s="282"/>
      <c r="N135" s="1078"/>
    </row>
    <row r="136" spans="1:18" ht="16.5" customHeight="1" thickBot="1" x14ac:dyDescent="0.25">
      <c r="A136" s="64"/>
      <c r="B136" s="1061"/>
      <c r="C136" s="91"/>
      <c r="D136" s="214"/>
      <c r="E136" s="718"/>
      <c r="F136" s="91"/>
      <c r="G136" s="165" t="s">
        <v>6</v>
      </c>
      <c r="H136" s="85">
        <f>SUM(H108:H135)</f>
        <v>5841.1</v>
      </c>
      <c r="I136" s="85">
        <f t="shared" ref="I136:J136" si="5">SUM(I108:I135)</f>
        <v>5449.7</v>
      </c>
      <c r="J136" s="85">
        <f t="shared" si="5"/>
        <v>5357.4</v>
      </c>
      <c r="K136" s="698"/>
      <c r="L136" s="171"/>
      <c r="M136" s="587"/>
      <c r="N136" s="497"/>
    </row>
    <row r="137" spans="1:18" ht="27.75" customHeight="1" x14ac:dyDescent="0.2">
      <c r="A137" s="1520" t="s">
        <v>5</v>
      </c>
      <c r="B137" s="1521" t="s">
        <v>7</v>
      </c>
      <c r="C137" s="1524" t="s">
        <v>7</v>
      </c>
      <c r="D137" s="894" t="s">
        <v>272</v>
      </c>
      <c r="E137" s="884"/>
      <c r="F137" s="888"/>
      <c r="G137" s="67"/>
      <c r="H137" s="87"/>
      <c r="I137" s="889"/>
      <c r="J137" s="61"/>
      <c r="K137" s="890"/>
      <c r="L137" s="891"/>
      <c r="M137" s="892"/>
      <c r="N137" s="893"/>
    </row>
    <row r="138" spans="1:18" ht="14.25" customHeight="1" x14ac:dyDescent="0.2">
      <c r="A138" s="1517"/>
      <c r="B138" s="1518"/>
      <c r="C138" s="200"/>
      <c r="D138" s="1695" t="s">
        <v>120</v>
      </c>
      <c r="E138" s="1731" t="s">
        <v>229</v>
      </c>
      <c r="F138" s="1527">
        <v>6</v>
      </c>
      <c r="G138" s="83" t="s">
        <v>68</v>
      </c>
      <c r="H138" s="1009">
        <f>33.4+48</f>
        <v>81.400000000000006</v>
      </c>
      <c r="I138" s="1009">
        <v>80</v>
      </c>
      <c r="J138" s="1009"/>
      <c r="K138" s="1526" t="s">
        <v>194</v>
      </c>
      <c r="L138" s="1528">
        <v>8</v>
      </c>
      <c r="M138" s="1528">
        <v>5</v>
      </c>
      <c r="N138" s="1529"/>
    </row>
    <row r="139" spans="1:18" ht="13.5" customHeight="1" x14ac:dyDescent="0.2">
      <c r="A139" s="1517"/>
      <c r="B139" s="1518"/>
      <c r="C139" s="200"/>
      <c r="D139" s="1696"/>
      <c r="E139" s="1732"/>
      <c r="F139" s="1527"/>
      <c r="G139" s="79" t="s">
        <v>75</v>
      </c>
      <c r="H139" s="58">
        <v>6.8</v>
      </c>
      <c r="I139" s="58"/>
      <c r="J139" s="58"/>
      <c r="K139" s="1418"/>
      <c r="L139" s="633"/>
      <c r="M139" s="633"/>
      <c r="N139" s="674"/>
    </row>
    <row r="140" spans="1:18" ht="30" customHeight="1" x14ac:dyDescent="0.2">
      <c r="A140" s="1517"/>
      <c r="B140" s="1518"/>
      <c r="C140" s="200"/>
      <c r="D140" s="1811"/>
      <c r="E140" s="107"/>
      <c r="F140" s="1531"/>
      <c r="G140" s="82"/>
      <c r="H140" s="1010"/>
      <c r="I140" s="1010"/>
      <c r="J140" s="1010"/>
      <c r="K140" s="193" t="s">
        <v>121</v>
      </c>
      <c r="L140" s="19">
        <v>8</v>
      </c>
      <c r="M140" s="283">
        <v>5</v>
      </c>
      <c r="N140" s="20"/>
    </row>
    <row r="141" spans="1:18" ht="16.5" customHeight="1" x14ac:dyDescent="0.2">
      <c r="A141" s="299"/>
      <c r="B141" s="1522"/>
      <c r="C141" s="1527"/>
      <c r="D141" s="1695" t="s">
        <v>273</v>
      </c>
      <c r="E141" s="1519" t="s">
        <v>47</v>
      </c>
      <c r="F141" s="1513" t="s">
        <v>43</v>
      </c>
      <c r="G141" s="547" t="s">
        <v>68</v>
      </c>
      <c r="H141" s="58">
        <v>462.4</v>
      </c>
      <c r="I141" s="95">
        <v>160</v>
      </c>
      <c r="J141" s="58">
        <v>354.4</v>
      </c>
      <c r="K141" s="1418" t="s">
        <v>245</v>
      </c>
      <c r="L141" s="757" t="s">
        <v>244</v>
      </c>
      <c r="M141" s="600"/>
      <c r="N141" s="488"/>
    </row>
    <row r="142" spans="1:18" ht="15" customHeight="1" x14ac:dyDescent="0.2">
      <c r="A142" s="299"/>
      <c r="B142" s="1522"/>
      <c r="C142" s="1527"/>
      <c r="D142" s="1810"/>
      <c r="E142" s="1519"/>
      <c r="F142" s="1513"/>
      <c r="G142" s="547" t="s">
        <v>60</v>
      </c>
      <c r="H142" s="58">
        <v>0.4</v>
      </c>
      <c r="I142" s="95"/>
      <c r="J142" s="58"/>
      <c r="K142" s="1279" t="s">
        <v>208</v>
      </c>
      <c r="L142" s="467" t="s">
        <v>55</v>
      </c>
      <c r="M142" s="181"/>
      <c r="N142" s="314"/>
    </row>
    <row r="143" spans="1:18" ht="15.75" customHeight="1" x14ac:dyDescent="0.2">
      <c r="A143" s="299"/>
      <c r="B143" s="1522"/>
      <c r="C143" s="1527"/>
      <c r="D143" s="1810"/>
      <c r="E143" s="1519"/>
      <c r="F143" s="1513"/>
      <c r="G143" s="547"/>
      <c r="H143" s="58"/>
      <c r="I143" s="95"/>
      <c r="J143" s="58"/>
      <c r="K143" s="610" t="s">
        <v>246</v>
      </c>
      <c r="L143" s="467"/>
      <c r="M143" s="181"/>
      <c r="N143" s="314" t="s">
        <v>183</v>
      </c>
    </row>
    <row r="144" spans="1:18" ht="40.5" customHeight="1" x14ac:dyDescent="0.2">
      <c r="A144" s="299"/>
      <c r="B144" s="1522"/>
      <c r="C144" s="1527"/>
      <c r="D144" s="1514"/>
      <c r="E144" s="1519"/>
      <c r="F144" s="1513"/>
      <c r="G144" s="1425"/>
      <c r="H144" s="1010"/>
      <c r="I144" s="143"/>
      <c r="J144" s="1010"/>
      <c r="K144" s="1515" t="s">
        <v>317</v>
      </c>
      <c r="L144" s="914"/>
      <c r="M144" s="409" t="s">
        <v>55</v>
      </c>
      <c r="N144" s="410"/>
    </row>
    <row r="145" spans="1:14" ht="16.5" customHeight="1" thickBot="1" x14ac:dyDescent="0.25">
      <c r="A145" s="1556"/>
      <c r="B145" s="1523"/>
      <c r="C145" s="1557"/>
      <c r="D145" s="214"/>
      <c r="E145" s="718"/>
      <c r="F145" s="1525"/>
      <c r="G145" s="189" t="s">
        <v>6</v>
      </c>
      <c r="H145" s="129">
        <f>SUM(H138:H144)</f>
        <v>551</v>
      </c>
      <c r="I145" s="129">
        <f t="shared" ref="I145:J145" si="6">SUM(I138:I144)</f>
        <v>240</v>
      </c>
      <c r="J145" s="129">
        <f t="shared" si="6"/>
        <v>354.4</v>
      </c>
      <c r="K145" s="698"/>
      <c r="L145" s="171"/>
      <c r="M145" s="587"/>
      <c r="N145" s="497"/>
    </row>
    <row r="146" spans="1:14" ht="12.75" customHeight="1" x14ac:dyDescent="0.2">
      <c r="A146" s="1804" t="s">
        <v>5</v>
      </c>
      <c r="B146" s="1806" t="s">
        <v>7</v>
      </c>
      <c r="C146" s="1808" t="s">
        <v>28</v>
      </c>
      <c r="D146" s="1696" t="s">
        <v>119</v>
      </c>
      <c r="E146" s="717" t="s">
        <v>47</v>
      </c>
      <c r="F146" s="1808">
        <v>5</v>
      </c>
      <c r="G146" s="79" t="s">
        <v>60</v>
      </c>
      <c r="H146" s="58">
        <v>113</v>
      </c>
      <c r="I146" s="95"/>
      <c r="J146" s="58"/>
      <c r="K146" s="1798" t="s">
        <v>209</v>
      </c>
      <c r="L146" s="1528"/>
      <c r="M146" s="282">
        <v>17</v>
      </c>
      <c r="N146" s="1530"/>
    </row>
    <row r="147" spans="1:14" ht="14.25" customHeight="1" x14ac:dyDescent="0.2">
      <c r="A147" s="1804"/>
      <c r="B147" s="1806"/>
      <c r="C147" s="1808"/>
      <c r="D147" s="1696"/>
      <c r="E147" s="717" t="s">
        <v>230</v>
      </c>
      <c r="F147" s="1808"/>
      <c r="G147" s="79" t="s">
        <v>25</v>
      </c>
      <c r="H147" s="58"/>
      <c r="I147" s="95">
        <v>639.5</v>
      </c>
      <c r="J147" s="58"/>
      <c r="K147" s="1798"/>
      <c r="L147" s="1098"/>
      <c r="M147" s="282"/>
      <c r="N147" s="1078"/>
    </row>
    <row r="148" spans="1:14" ht="15" customHeight="1" x14ac:dyDescent="0.2">
      <c r="A148" s="1804"/>
      <c r="B148" s="1806"/>
      <c r="C148" s="1808"/>
      <c r="D148" s="1696"/>
      <c r="E148" s="717"/>
      <c r="F148" s="1808"/>
      <c r="G148" s="79" t="s">
        <v>223</v>
      </c>
      <c r="H148" s="58">
        <v>4264.5</v>
      </c>
      <c r="I148" s="95"/>
      <c r="J148" s="58"/>
      <c r="K148" s="1799"/>
      <c r="L148" s="1098"/>
      <c r="M148" s="282"/>
      <c r="N148" s="1078"/>
    </row>
    <row r="149" spans="1:14" ht="16.5" customHeight="1" thickBot="1" x14ac:dyDescent="0.25">
      <c r="A149" s="1805"/>
      <c r="B149" s="1807"/>
      <c r="C149" s="1809"/>
      <c r="D149" s="214"/>
      <c r="E149" s="718"/>
      <c r="F149" s="1809"/>
      <c r="G149" s="165" t="s">
        <v>6</v>
      </c>
      <c r="H149" s="85">
        <f>SUM(H146:H148)</f>
        <v>4377.5</v>
      </c>
      <c r="I149" s="250">
        <f>SUM(I146:I148)</f>
        <v>639.5</v>
      </c>
      <c r="J149" s="85">
        <f>SUM(J146:J148)</f>
        <v>0</v>
      </c>
      <c r="K149" s="698"/>
      <c r="L149" s="171"/>
      <c r="M149" s="587"/>
      <c r="N149" s="497"/>
    </row>
    <row r="150" spans="1:14" ht="14.25" customHeight="1" thickBot="1" x14ac:dyDescent="0.25">
      <c r="A150" s="86" t="s">
        <v>5</v>
      </c>
      <c r="B150" s="247" t="s">
        <v>7</v>
      </c>
      <c r="C150" s="1766" t="s">
        <v>8</v>
      </c>
      <c r="D150" s="1767"/>
      <c r="E150" s="1767"/>
      <c r="F150" s="1767"/>
      <c r="G150" s="1767"/>
      <c r="H150" s="132">
        <f>H149+H145+H136</f>
        <v>10769.6</v>
      </c>
      <c r="I150" s="132">
        <f t="shared" ref="I150:J150" si="7">I149+I145+I136</f>
        <v>6329.2</v>
      </c>
      <c r="J150" s="132">
        <f t="shared" si="7"/>
        <v>5711.8</v>
      </c>
      <c r="K150" s="1800"/>
      <c r="L150" s="1800"/>
      <c r="M150" s="1800"/>
      <c r="N150" s="1801"/>
    </row>
    <row r="151" spans="1:14" ht="18" customHeight="1" thickBot="1" x14ac:dyDescent="0.25">
      <c r="A151" s="74" t="s">
        <v>5</v>
      </c>
      <c r="B151" s="247" t="s">
        <v>28</v>
      </c>
      <c r="C151" s="1771" t="s">
        <v>110</v>
      </c>
      <c r="D151" s="1802"/>
      <c r="E151" s="1802"/>
      <c r="F151" s="1802"/>
      <c r="G151" s="1802"/>
      <c r="H151" s="1802"/>
      <c r="I151" s="1802"/>
      <c r="J151" s="1802"/>
      <c r="K151" s="1802"/>
      <c r="L151" s="1802"/>
      <c r="M151" s="1802"/>
      <c r="N151" s="1803"/>
    </row>
    <row r="152" spans="1:14" ht="14.1" customHeight="1" x14ac:dyDescent="0.2">
      <c r="A152" s="1059" t="s">
        <v>5</v>
      </c>
      <c r="B152" s="246" t="s">
        <v>28</v>
      </c>
      <c r="C152" s="1138" t="s">
        <v>5</v>
      </c>
      <c r="D152" s="1647" t="s">
        <v>107</v>
      </c>
      <c r="E152" s="717" t="s">
        <v>230</v>
      </c>
      <c r="F152" s="369" t="s">
        <v>37</v>
      </c>
      <c r="G152" s="169" t="s">
        <v>25</v>
      </c>
      <c r="H152" s="316">
        <f>76.5+40</f>
        <v>116.5</v>
      </c>
      <c r="I152" s="316"/>
      <c r="J152" s="316"/>
      <c r="K152" s="308"/>
      <c r="L152" s="204"/>
      <c r="M152" s="204"/>
      <c r="N152" s="205"/>
    </row>
    <row r="153" spans="1:14" ht="14.1" customHeight="1" x14ac:dyDescent="0.2">
      <c r="A153" s="1108"/>
      <c r="B153" s="1125"/>
      <c r="C153" s="1106"/>
      <c r="D153" s="1648"/>
      <c r="E153" s="452"/>
      <c r="F153" s="1121"/>
      <c r="G153" s="58" t="s">
        <v>60</v>
      </c>
      <c r="H153" s="123">
        <v>31.9</v>
      </c>
      <c r="I153" s="79"/>
      <c r="J153" s="79"/>
      <c r="K153" s="1115"/>
      <c r="L153" s="36"/>
      <c r="M153" s="36"/>
      <c r="N153" s="37"/>
    </row>
    <row r="154" spans="1:14" ht="14.1" customHeight="1" x14ac:dyDescent="0.2">
      <c r="A154" s="1108"/>
      <c r="B154" s="1125"/>
      <c r="C154" s="1106"/>
      <c r="D154" s="1648"/>
      <c r="E154" s="452"/>
      <c r="F154" s="1121"/>
      <c r="G154" s="58" t="s">
        <v>68</v>
      </c>
      <c r="H154" s="123">
        <v>821.1</v>
      </c>
      <c r="I154" s="123">
        <v>777.8</v>
      </c>
      <c r="J154" s="123">
        <v>787.8</v>
      </c>
      <c r="K154" s="1115"/>
      <c r="L154" s="36"/>
      <c r="M154" s="36"/>
      <c r="N154" s="37"/>
    </row>
    <row r="155" spans="1:14" ht="14.1" customHeight="1" x14ac:dyDescent="0.2">
      <c r="A155" s="1108"/>
      <c r="B155" s="1125"/>
      <c r="C155" s="1106"/>
      <c r="D155" s="1648"/>
      <c r="E155" s="452"/>
      <c r="F155" s="1121"/>
      <c r="G155" s="58" t="s">
        <v>75</v>
      </c>
      <c r="H155" s="123">
        <f>36.6+1.4</f>
        <v>38</v>
      </c>
      <c r="I155" s="79"/>
      <c r="J155" s="79"/>
      <c r="K155" s="1115"/>
      <c r="L155" s="36"/>
      <c r="M155" s="36"/>
      <c r="N155" s="37"/>
    </row>
    <row r="156" spans="1:14" ht="14.1" customHeight="1" x14ac:dyDescent="0.2">
      <c r="A156" s="1108"/>
      <c r="B156" s="1125"/>
      <c r="C156" s="1106"/>
      <c r="D156" s="1649"/>
      <c r="E156" s="452"/>
      <c r="F156" s="1121"/>
      <c r="G156" s="1010" t="s">
        <v>99</v>
      </c>
      <c r="H156" s="124">
        <f>344-125</f>
        <v>219</v>
      </c>
      <c r="I156" s="124">
        <f>240+169</f>
        <v>409</v>
      </c>
      <c r="J156" s="124">
        <v>240</v>
      </c>
      <c r="K156" s="1145"/>
      <c r="L156" s="38"/>
      <c r="M156" s="38"/>
      <c r="N156" s="40"/>
    </row>
    <row r="157" spans="1:14" ht="25.5" customHeight="1" x14ac:dyDescent="0.2">
      <c r="A157" s="1040"/>
      <c r="B157" s="1050"/>
      <c r="C157" s="1106"/>
      <c r="D157" s="1123" t="s">
        <v>105</v>
      </c>
      <c r="E157" s="1817" t="s">
        <v>76</v>
      </c>
      <c r="F157" s="1126"/>
      <c r="G157" s="71"/>
      <c r="H157" s="123"/>
      <c r="I157" s="58"/>
      <c r="J157" s="58"/>
      <c r="K157" s="1141" t="s">
        <v>111</v>
      </c>
      <c r="L157" s="206">
        <v>14.5</v>
      </c>
      <c r="M157" s="36">
        <v>14.5</v>
      </c>
      <c r="N157" s="37">
        <v>14.5</v>
      </c>
    </row>
    <row r="158" spans="1:14" ht="15" customHeight="1" x14ac:dyDescent="0.2">
      <c r="A158" s="1040"/>
      <c r="B158" s="1050"/>
      <c r="C158" s="1106"/>
      <c r="D158" s="1103"/>
      <c r="E158" s="1818"/>
      <c r="F158" s="1121"/>
      <c r="G158" s="58"/>
      <c r="H158" s="123"/>
      <c r="I158" s="58"/>
      <c r="J158" s="58"/>
      <c r="K158" s="1175" t="s">
        <v>38</v>
      </c>
      <c r="L158" s="23">
        <f>66+5</f>
        <v>71</v>
      </c>
      <c r="M158" s="155">
        <v>71</v>
      </c>
      <c r="N158" s="24">
        <v>71</v>
      </c>
    </row>
    <row r="159" spans="1:14" ht="15.75" customHeight="1" x14ac:dyDescent="0.2">
      <c r="A159" s="1040"/>
      <c r="B159" s="1050"/>
      <c r="C159" s="1106"/>
      <c r="D159" s="1103"/>
      <c r="E159" s="1764"/>
      <c r="F159" s="1121"/>
      <c r="G159" s="58"/>
      <c r="H159" s="123"/>
      <c r="I159" s="58"/>
      <c r="J159" s="58"/>
      <c r="K159" s="806" t="s">
        <v>300</v>
      </c>
      <c r="L159" s="23">
        <v>100</v>
      </c>
      <c r="M159" s="830"/>
      <c r="N159" s="831"/>
    </row>
    <row r="160" spans="1:14" ht="13.5" customHeight="1" x14ac:dyDescent="0.2">
      <c r="A160" s="1040"/>
      <c r="B160" s="1050"/>
      <c r="C160" s="1106"/>
      <c r="D160" s="1103"/>
      <c r="E160" s="1063"/>
      <c r="F160" s="1043"/>
      <c r="G160" s="58"/>
      <c r="H160" s="123"/>
      <c r="I160" s="58"/>
      <c r="J160" s="58"/>
      <c r="K160" s="1812" t="s">
        <v>327</v>
      </c>
      <c r="L160" s="1142">
        <v>10</v>
      </c>
      <c r="M160" s="1080">
        <v>100</v>
      </c>
      <c r="N160" s="37"/>
    </row>
    <row r="161" spans="1:14" ht="14.25" customHeight="1" x14ac:dyDescent="0.2">
      <c r="A161" s="1040"/>
      <c r="B161" s="1050"/>
      <c r="C161" s="1106"/>
      <c r="D161" s="1103"/>
      <c r="E161" s="1063"/>
      <c r="F161" s="1043"/>
      <c r="G161" s="58"/>
      <c r="H161" s="123"/>
      <c r="I161" s="58"/>
      <c r="J161" s="58"/>
      <c r="K161" s="1813"/>
      <c r="L161" s="633"/>
      <c r="M161" s="804"/>
      <c r="N161" s="805"/>
    </row>
    <row r="162" spans="1:14" ht="27" customHeight="1" x14ac:dyDescent="0.2">
      <c r="A162" s="1040"/>
      <c r="B162" s="1050"/>
      <c r="C162" s="1106"/>
      <c r="D162" s="1103"/>
      <c r="E162" s="1063"/>
      <c r="F162" s="1043"/>
      <c r="G162" s="58"/>
      <c r="H162" s="123"/>
      <c r="I162" s="58"/>
      <c r="J162" s="58"/>
      <c r="K162" s="1175" t="s">
        <v>328</v>
      </c>
      <c r="L162" s="23">
        <v>1</v>
      </c>
      <c r="M162" s="808"/>
      <c r="N162" s="809"/>
    </row>
    <row r="163" spans="1:14" ht="19.5" customHeight="1" x14ac:dyDescent="0.2">
      <c r="A163" s="1040"/>
      <c r="B163" s="1050"/>
      <c r="C163" s="1106"/>
      <c r="D163" s="1103"/>
      <c r="E163" s="1063"/>
      <c r="F163" s="1043"/>
      <c r="G163" s="58"/>
      <c r="H163" s="364"/>
      <c r="I163" s="233"/>
      <c r="J163" s="233"/>
      <c r="K163" s="1814" t="s">
        <v>355</v>
      </c>
      <c r="L163" s="1142">
        <v>5</v>
      </c>
      <c r="M163" s="1480">
        <v>3</v>
      </c>
      <c r="N163" s="537"/>
    </row>
    <row r="164" spans="1:14" ht="60" customHeight="1" x14ac:dyDescent="0.2">
      <c r="A164" s="1040"/>
      <c r="B164" s="1050"/>
      <c r="C164" s="1106"/>
      <c r="D164" s="1103"/>
      <c r="E164" s="1063"/>
      <c r="F164" s="1043"/>
      <c r="G164" s="1010"/>
      <c r="H164" s="801"/>
      <c r="I164" s="800"/>
      <c r="J164" s="800"/>
      <c r="K164" s="1815"/>
      <c r="L164" s="633"/>
      <c r="M164" s="699"/>
      <c r="N164" s="572"/>
    </row>
    <row r="165" spans="1:14" ht="14.25" customHeight="1" x14ac:dyDescent="0.2">
      <c r="A165" s="1040"/>
      <c r="B165" s="1050"/>
      <c r="C165" s="1106"/>
      <c r="D165" s="1123" t="s">
        <v>64</v>
      </c>
      <c r="E165" s="297"/>
      <c r="F165" s="1042"/>
      <c r="G165" s="58"/>
      <c r="H165" s="122"/>
      <c r="I165" s="1009"/>
      <c r="J165" s="1009"/>
      <c r="K165" s="1130" t="s">
        <v>81</v>
      </c>
      <c r="L165" s="1132">
        <v>1</v>
      </c>
      <c r="M165" s="1135">
        <v>1</v>
      </c>
      <c r="N165" s="1143">
        <v>1</v>
      </c>
    </row>
    <row r="166" spans="1:14" ht="6.75" customHeight="1" x14ac:dyDescent="0.2">
      <c r="A166" s="1040"/>
      <c r="B166" s="1050"/>
      <c r="C166" s="1106"/>
      <c r="D166" s="1109"/>
      <c r="E166" s="130"/>
      <c r="F166" s="1042"/>
      <c r="G166" s="1010"/>
      <c r="H166" s="124"/>
      <c r="I166" s="82"/>
      <c r="J166" s="82"/>
      <c r="K166" s="193"/>
      <c r="L166" s="19"/>
      <c r="M166" s="283"/>
      <c r="N166" s="20"/>
    </row>
    <row r="167" spans="1:14" ht="13.5" customHeight="1" x14ac:dyDescent="0.2">
      <c r="A167" s="1040"/>
      <c r="B167" s="1050"/>
      <c r="C167" s="1106"/>
      <c r="D167" s="1709" t="s">
        <v>113</v>
      </c>
      <c r="E167" s="701"/>
      <c r="F167" s="423"/>
      <c r="G167" s="1009"/>
      <c r="H167" s="122"/>
      <c r="I167" s="122"/>
      <c r="J167" s="122"/>
      <c r="K167" s="1697" t="s">
        <v>329</v>
      </c>
      <c r="L167" s="1132">
        <v>14</v>
      </c>
      <c r="M167" s="1131">
        <v>14</v>
      </c>
      <c r="N167" s="1143">
        <v>14</v>
      </c>
    </row>
    <row r="168" spans="1:14" ht="15.75" customHeight="1" x14ac:dyDescent="0.2">
      <c r="A168" s="1040"/>
      <c r="B168" s="1050"/>
      <c r="C168" s="1106"/>
      <c r="D168" s="1816"/>
      <c r="E168" s="549"/>
      <c r="F168" s="423"/>
      <c r="G168" s="1010"/>
      <c r="H168" s="82"/>
      <c r="I168" s="82"/>
      <c r="J168" s="82"/>
      <c r="K168" s="1752"/>
      <c r="L168" s="19"/>
      <c r="M168" s="283"/>
      <c r="N168" s="20"/>
    </row>
    <row r="169" spans="1:14" ht="29.25" customHeight="1" x14ac:dyDescent="0.2">
      <c r="A169" s="1040"/>
      <c r="B169" s="1050"/>
      <c r="C169" s="1106"/>
      <c r="D169" s="556" t="s">
        <v>106</v>
      </c>
      <c r="E169" s="1176"/>
      <c r="F169" s="632"/>
      <c r="G169" s="1010"/>
      <c r="H169" s="683"/>
      <c r="I169" s="683"/>
      <c r="J169" s="683"/>
      <c r="K169" s="193" t="s">
        <v>134</v>
      </c>
      <c r="L169" s="50">
        <v>172</v>
      </c>
      <c r="M169" s="50">
        <v>174</v>
      </c>
      <c r="N169" s="1177">
        <v>175</v>
      </c>
    </row>
    <row r="170" spans="1:14" ht="14.25" customHeight="1" x14ac:dyDescent="0.2">
      <c r="A170" s="1046"/>
      <c r="B170" s="1050"/>
      <c r="C170" s="200"/>
      <c r="D170" s="1796" t="s">
        <v>149</v>
      </c>
      <c r="E170" s="1127" t="s">
        <v>47</v>
      </c>
      <c r="F170" s="545"/>
      <c r="G170" s="58"/>
      <c r="H170" s="79"/>
      <c r="I170" s="79"/>
      <c r="J170" s="79"/>
      <c r="K170" s="1778" t="s">
        <v>131</v>
      </c>
      <c r="L170" s="425">
        <v>15</v>
      </c>
      <c r="M170" s="442"/>
      <c r="N170" s="190"/>
    </row>
    <row r="171" spans="1:14" ht="14.25" customHeight="1" x14ac:dyDescent="0.2">
      <c r="A171" s="1046"/>
      <c r="B171" s="1050"/>
      <c r="C171" s="89"/>
      <c r="D171" s="1796"/>
      <c r="E171" s="1179"/>
      <c r="F171" s="1126"/>
      <c r="G171" s="1010"/>
      <c r="H171" s="124"/>
      <c r="I171" s="124"/>
      <c r="J171" s="124"/>
      <c r="K171" s="1822"/>
      <c r="L171" s="425"/>
      <c r="M171" s="442"/>
      <c r="N171" s="190"/>
    </row>
    <row r="172" spans="1:14" ht="16.5" customHeight="1" thickBot="1" x14ac:dyDescent="0.25">
      <c r="A172" s="1128"/>
      <c r="B172" s="1125"/>
      <c r="C172" s="96"/>
      <c r="D172" s="214"/>
      <c r="E172" s="1178"/>
      <c r="F172" s="84"/>
      <c r="G172" s="129" t="s">
        <v>6</v>
      </c>
      <c r="H172" s="142">
        <f>SUM(H152:H171)</f>
        <v>1226.5</v>
      </c>
      <c r="I172" s="142">
        <f t="shared" ref="I172:J172" si="8">SUM(I152:I171)</f>
        <v>1186.8</v>
      </c>
      <c r="J172" s="142">
        <f t="shared" si="8"/>
        <v>1027.8</v>
      </c>
      <c r="K172" s="481"/>
      <c r="L172" s="171"/>
      <c r="M172" s="587"/>
      <c r="N172" s="497"/>
    </row>
    <row r="173" spans="1:14" ht="13.5" customHeight="1" x14ac:dyDescent="0.2">
      <c r="A173" s="1902" t="s">
        <v>5</v>
      </c>
      <c r="B173" s="1904" t="s">
        <v>28</v>
      </c>
      <c r="C173" s="1906" t="s">
        <v>7</v>
      </c>
      <c r="D173" s="1907" t="s">
        <v>303</v>
      </c>
      <c r="E173" s="1909" t="s">
        <v>230</v>
      </c>
      <c r="F173" s="1823" t="s">
        <v>55</v>
      </c>
      <c r="G173" s="92" t="s">
        <v>25</v>
      </c>
      <c r="H173" s="169">
        <v>136.80000000000001</v>
      </c>
      <c r="I173" s="197">
        <v>146.69999999999999</v>
      </c>
      <c r="J173" s="197">
        <v>146.69999999999999</v>
      </c>
      <c r="K173" s="215" t="s">
        <v>67</v>
      </c>
      <c r="L173" s="242">
        <v>18</v>
      </c>
      <c r="M173" s="576">
        <v>18</v>
      </c>
      <c r="N173" s="603">
        <v>18</v>
      </c>
    </row>
    <row r="174" spans="1:14" ht="12.75" customHeight="1" x14ac:dyDescent="0.2">
      <c r="A174" s="1704"/>
      <c r="B174" s="1705"/>
      <c r="C174" s="1808"/>
      <c r="D174" s="1796"/>
      <c r="E174" s="1910"/>
      <c r="F174" s="1681"/>
      <c r="G174" s="69"/>
      <c r="H174" s="53"/>
      <c r="I174" s="139"/>
      <c r="J174" s="53"/>
      <c r="K174" s="1052" t="s">
        <v>82</v>
      </c>
      <c r="L174" s="1098">
        <v>7</v>
      </c>
      <c r="M174" s="282">
        <v>7</v>
      </c>
      <c r="N174" s="1078">
        <v>7</v>
      </c>
    </row>
    <row r="175" spans="1:14" ht="16.5" customHeight="1" thickBot="1" x14ac:dyDescent="0.25">
      <c r="A175" s="1903"/>
      <c r="B175" s="1905"/>
      <c r="C175" s="1809"/>
      <c r="D175" s="1908"/>
      <c r="E175" s="1911"/>
      <c r="F175" s="1824"/>
      <c r="G175" s="129" t="s">
        <v>6</v>
      </c>
      <c r="H175" s="142">
        <f>SUM(H173:H174)</f>
        <v>136.80000000000001</v>
      </c>
      <c r="I175" s="189">
        <f>SUM(I173:I174)</f>
        <v>146.69999999999999</v>
      </c>
      <c r="J175" s="189">
        <f>SUM(J173:J174)</f>
        <v>146.69999999999999</v>
      </c>
      <c r="K175" s="481"/>
      <c r="L175" s="171"/>
      <c r="M175" s="587"/>
      <c r="N175" s="497"/>
    </row>
    <row r="176" spans="1:14" ht="12" customHeight="1" x14ac:dyDescent="0.2">
      <c r="A176" s="1055" t="s">
        <v>5</v>
      </c>
      <c r="B176" s="540" t="s">
        <v>28</v>
      </c>
      <c r="C176" s="1120" t="s">
        <v>28</v>
      </c>
      <c r="D176" s="1825" t="s">
        <v>166</v>
      </c>
      <c r="E176" s="1827" t="s">
        <v>229</v>
      </c>
      <c r="F176" s="536">
        <v>5</v>
      </c>
      <c r="G176" s="169" t="s">
        <v>25</v>
      </c>
      <c r="H176" s="169">
        <f>263.9</f>
        <v>263.89999999999998</v>
      </c>
      <c r="I176" s="169">
        <f>55.6+3.5</f>
        <v>59.1</v>
      </c>
      <c r="J176" s="169">
        <v>5</v>
      </c>
      <c r="K176" s="544"/>
      <c r="L176" s="166"/>
      <c r="M176" s="198"/>
      <c r="N176" s="205"/>
    </row>
    <row r="177" spans="1:14" ht="11.25" customHeight="1" x14ac:dyDescent="0.2">
      <c r="A177" s="1100"/>
      <c r="B177" s="1101"/>
      <c r="C177" s="1102"/>
      <c r="D177" s="1826"/>
      <c r="E177" s="1828"/>
      <c r="F177" s="1121"/>
      <c r="G177" s="58" t="s">
        <v>60</v>
      </c>
      <c r="H177" s="58">
        <v>289.60000000000002</v>
      </c>
      <c r="I177" s="58"/>
      <c r="J177" s="58"/>
      <c r="K177" s="1180"/>
      <c r="L177" s="206"/>
      <c r="M177" s="95"/>
      <c r="N177" s="37"/>
    </row>
    <row r="178" spans="1:14" ht="11.25" customHeight="1" x14ac:dyDescent="0.2">
      <c r="A178" s="1100"/>
      <c r="B178" s="1101"/>
      <c r="C178" s="1102"/>
      <c r="D178" s="1826"/>
      <c r="E178" s="1828"/>
      <c r="F178" s="1121"/>
      <c r="G178" s="58" t="s">
        <v>48</v>
      </c>
      <c r="H178" s="58"/>
      <c r="I178" s="79">
        <v>1500</v>
      </c>
      <c r="J178" s="58">
        <v>1000</v>
      </c>
      <c r="K178" s="1180"/>
      <c r="L178" s="206"/>
      <c r="M178" s="95"/>
      <c r="N178" s="37"/>
    </row>
    <row r="179" spans="1:14" ht="12.75" customHeight="1" x14ac:dyDescent="0.2">
      <c r="A179" s="1218"/>
      <c r="B179" s="1220"/>
      <c r="C179" s="1219"/>
      <c r="D179" s="1826"/>
      <c r="E179" s="1828"/>
      <c r="F179" s="1217"/>
      <c r="G179" s="58" t="s">
        <v>223</v>
      </c>
      <c r="H179" s="58">
        <v>83.3</v>
      </c>
      <c r="I179" s="79"/>
      <c r="J179" s="58"/>
      <c r="K179" s="1221"/>
      <c r="L179" s="206"/>
      <c r="M179" s="95"/>
      <c r="N179" s="37"/>
    </row>
    <row r="180" spans="1:14" ht="13.5" customHeight="1" x14ac:dyDescent="0.2">
      <c r="A180" s="1056"/>
      <c r="B180" s="1067"/>
      <c r="C180" s="1102"/>
      <c r="D180" s="1810"/>
      <c r="E180" s="1829"/>
      <c r="F180" s="1088"/>
      <c r="G180" s="1010" t="s">
        <v>44</v>
      </c>
      <c r="H180" s="1010">
        <v>919.1</v>
      </c>
      <c r="I180" s="1010">
        <v>442</v>
      </c>
      <c r="J180" s="1010">
        <v>126.2</v>
      </c>
      <c r="K180" s="1180"/>
      <c r="L180" s="206"/>
      <c r="M180" s="95"/>
      <c r="N180" s="37"/>
    </row>
    <row r="181" spans="1:14" ht="14.1" customHeight="1" x14ac:dyDescent="0.2">
      <c r="A181" s="1100"/>
      <c r="B181" s="1101"/>
      <c r="C181" s="1102"/>
      <c r="D181" s="935"/>
      <c r="E181" s="1182"/>
      <c r="F181" s="557" t="s">
        <v>37</v>
      </c>
      <c r="G181" s="1009" t="s">
        <v>68</v>
      </c>
      <c r="H181" s="1009">
        <v>12</v>
      </c>
      <c r="I181" s="83">
        <v>6</v>
      </c>
      <c r="J181" s="1009">
        <v>6</v>
      </c>
      <c r="K181" s="1180"/>
      <c r="L181" s="206"/>
      <c r="M181" s="95"/>
      <c r="N181" s="37"/>
    </row>
    <row r="182" spans="1:14" ht="14.1" customHeight="1" x14ac:dyDescent="0.2">
      <c r="A182" s="1100"/>
      <c r="B182" s="1101"/>
      <c r="C182" s="1102"/>
      <c r="D182" s="935"/>
      <c r="E182" s="1181"/>
      <c r="F182" s="1148"/>
      <c r="G182" s="1010" t="s">
        <v>75</v>
      </c>
      <c r="H182" s="1010">
        <v>24.2</v>
      </c>
      <c r="I182" s="448"/>
      <c r="J182" s="447"/>
      <c r="K182" s="1122"/>
      <c r="L182" s="39"/>
      <c r="M182" s="143"/>
      <c r="N182" s="40"/>
    </row>
    <row r="183" spans="1:14" ht="24.75" customHeight="1" x14ac:dyDescent="0.2">
      <c r="A183" s="1804"/>
      <c r="B183" s="1819"/>
      <c r="C183" s="1808"/>
      <c r="D183" s="1795" t="s">
        <v>330</v>
      </c>
      <c r="E183" s="1817" t="s">
        <v>233</v>
      </c>
      <c r="F183" s="1066">
        <v>5</v>
      </c>
      <c r="G183" s="1009"/>
      <c r="H183" s="1009"/>
      <c r="I183" s="83"/>
      <c r="J183" s="1009"/>
      <c r="K183" s="1136" t="s">
        <v>126</v>
      </c>
      <c r="L183" s="1116"/>
      <c r="M183" s="589"/>
      <c r="N183" s="1124">
        <v>100</v>
      </c>
    </row>
    <row r="184" spans="1:14" ht="24.75" customHeight="1" x14ac:dyDescent="0.2">
      <c r="A184" s="1804"/>
      <c r="B184" s="1819"/>
      <c r="C184" s="1808"/>
      <c r="D184" s="1820"/>
      <c r="E184" s="1821"/>
      <c r="F184" s="1043"/>
      <c r="G184" s="1010"/>
      <c r="H184" s="1010"/>
      <c r="I184" s="82"/>
      <c r="J184" s="1010"/>
      <c r="K184" s="1184" t="s">
        <v>216</v>
      </c>
      <c r="L184" s="496">
        <v>1</v>
      </c>
      <c r="M184" s="832"/>
      <c r="N184" s="1185"/>
    </row>
    <row r="185" spans="1:14" ht="15.75" customHeight="1" x14ac:dyDescent="0.2">
      <c r="A185" s="1804"/>
      <c r="B185" s="1819"/>
      <c r="C185" s="1808"/>
      <c r="D185" s="1696" t="s">
        <v>186</v>
      </c>
      <c r="E185" s="1836" t="s">
        <v>231</v>
      </c>
      <c r="F185" s="1058"/>
      <c r="G185" s="58"/>
      <c r="H185" s="58"/>
      <c r="I185" s="79"/>
      <c r="J185" s="58"/>
      <c r="K185" s="1183" t="s">
        <v>158</v>
      </c>
      <c r="L185" s="319">
        <v>1</v>
      </c>
      <c r="M185" s="1080"/>
      <c r="N185" s="1078"/>
    </row>
    <row r="186" spans="1:14" ht="20.25" customHeight="1" x14ac:dyDescent="0.2">
      <c r="A186" s="1804"/>
      <c r="B186" s="1819"/>
      <c r="C186" s="1808"/>
      <c r="D186" s="1832"/>
      <c r="E186" s="1837"/>
      <c r="F186" s="1042"/>
      <c r="G186" s="58"/>
      <c r="H186" s="58"/>
      <c r="I186" s="79"/>
      <c r="J186" s="58"/>
      <c r="K186" s="1830" t="s">
        <v>187</v>
      </c>
      <c r="L186" s="473"/>
      <c r="M186" s="472"/>
      <c r="N186" s="188">
        <v>1</v>
      </c>
    </row>
    <row r="187" spans="1:14" ht="19.5" customHeight="1" x14ac:dyDescent="0.2">
      <c r="A187" s="299"/>
      <c r="B187" s="1067"/>
      <c r="C187" s="1186"/>
      <c r="D187" s="1832"/>
      <c r="E187" s="1838"/>
      <c r="F187" s="1042"/>
      <c r="G187" s="58"/>
      <c r="H187" s="58"/>
      <c r="I187" s="79"/>
      <c r="J187" s="58"/>
      <c r="K187" s="1831"/>
      <c r="L187" s="44"/>
      <c r="M187" s="19"/>
      <c r="N187" s="674"/>
    </row>
    <row r="188" spans="1:14" ht="14.25" customHeight="1" x14ac:dyDescent="0.2">
      <c r="A188" s="1704"/>
      <c r="B188" s="1705"/>
      <c r="C188" s="1808"/>
      <c r="D188" s="1695" t="s">
        <v>154</v>
      </c>
      <c r="E188" s="1817" t="s">
        <v>122</v>
      </c>
      <c r="F188" s="1808"/>
      <c r="G188" s="178"/>
      <c r="H188" s="1009"/>
      <c r="I188" s="83"/>
      <c r="J188" s="1009"/>
      <c r="K188" s="1585" t="s">
        <v>188</v>
      </c>
      <c r="L188" s="357">
        <v>6</v>
      </c>
      <c r="M188" s="695"/>
      <c r="N188" s="1584"/>
    </row>
    <row r="189" spans="1:14" ht="11.25" customHeight="1" x14ac:dyDescent="0.2">
      <c r="A189" s="1704"/>
      <c r="B189" s="1705"/>
      <c r="C189" s="1808"/>
      <c r="D189" s="1832"/>
      <c r="E189" s="1834"/>
      <c r="F189" s="1808"/>
      <c r="G189" s="58"/>
      <c r="H189" s="58"/>
      <c r="I189" s="79"/>
      <c r="J189" s="58"/>
      <c r="K189" s="1585"/>
      <c r="L189" s="357"/>
      <c r="M189" s="1587"/>
      <c r="N189" s="1588"/>
    </row>
    <row r="190" spans="1:14" ht="14.25" customHeight="1" x14ac:dyDescent="0.2">
      <c r="A190" s="1704"/>
      <c r="B190" s="1705"/>
      <c r="C190" s="1808"/>
      <c r="D190" s="1833"/>
      <c r="E190" s="1835"/>
      <c r="F190" s="1808"/>
      <c r="G190" s="69"/>
      <c r="H190" s="1010"/>
      <c r="I190" s="82"/>
      <c r="J190" s="53"/>
      <c r="K190" s="18"/>
      <c r="L190" s="50"/>
      <c r="M190" s="44"/>
      <c r="N190" s="20"/>
    </row>
    <row r="191" spans="1:14" ht="14.25" customHeight="1" x14ac:dyDescent="0.2">
      <c r="A191" s="1704"/>
      <c r="B191" s="1705"/>
      <c r="C191" s="1808"/>
      <c r="D191" s="1695" t="s">
        <v>365</v>
      </c>
      <c r="E191" s="1817" t="s">
        <v>122</v>
      </c>
      <c r="F191" s="1808"/>
      <c r="G191" s="178"/>
      <c r="H191" s="1009"/>
      <c r="I191" s="83"/>
      <c r="J191" s="1009"/>
      <c r="K191" s="1585" t="s">
        <v>366</v>
      </c>
      <c r="L191" s="357"/>
      <c r="M191" s="695">
        <v>1</v>
      </c>
      <c r="N191" s="1583"/>
    </row>
    <row r="192" spans="1:14" ht="11.25" customHeight="1" x14ac:dyDescent="0.2">
      <c r="A192" s="1704"/>
      <c r="B192" s="1705"/>
      <c r="C192" s="1808"/>
      <c r="D192" s="1832"/>
      <c r="E192" s="1912"/>
      <c r="F192" s="1808"/>
      <c r="G192" s="58"/>
      <c r="H192" s="58"/>
      <c r="I192" s="79"/>
      <c r="J192" s="58"/>
      <c r="K192" s="1585" t="s">
        <v>367</v>
      </c>
      <c r="L192" s="357"/>
      <c r="M192" s="1587"/>
      <c r="N192" s="181" t="s">
        <v>388</v>
      </c>
    </row>
    <row r="193" spans="1:14" ht="14.25" customHeight="1" x14ac:dyDescent="0.2">
      <c r="A193" s="1704"/>
      <c r="B193" s="1705"/>
      <c r="C193" s="1808"/>
      <c r="D193" s="1833"/>
      <c r="E193" s="1913"/>
      <c r="F193" s="1808"/>
      <c r="G193" s="69"/>
      <c r="H193" s="1010"/>
      <c r="I193" s="82"/>
      <c r="J193" s="53"/>
      <c r="K193" s="18"/>
      <c r="L193" s="50"/>
      <c r="M193" s="44"/>
      <c r="N193" s="20"/>
    </row>
    <row r="194" spans="1:14" ht="14.25" customHeight="1" x14ac:dyDescent="0.2">
      <c r="A194" s="1704"/>
      <c r="B194" s="1705"/>
      <c r="C194" s="1808"/>
      <c r="D194" s="1695" t="s">
        <v>382</v>
      </c>
      <c r="E194" s="1817" t="s">
        <v>122</v>
      </c>
      <c r="F194" s="1808"/>
      <c r="G194" s="178"/>
      <c r="H194" s="1009"/>
      <c r="I194" s="83"/>
      <c r="J194" s="690"/>
      <c r="K194" s="1585" t="s">
        <v>383</v>
      </c>
      <c r="L194" s="357"/>
      <c r="M194" s="695"/>
      <c r="N194" s="494" t="s">
        <v>381</v>
      </c>
    </row>
    <row r="195" spans="1:14" ht="11.25" customHeight="1" x14ac:dyDescent="0.2">
      <c r="A195" s="1704"/>
      <c r="B195" s="1705"/>
      <c r="C195" s="1808"/>
      <c r="D195" s="1832"/>
      <c r="E195" s="1839"/>
      <c r="F195" s="1808"/>
      <c r="G195" s="58"/>
      <c r="H195" s="58"/>
      <c r="I195" s="79"/>
      <c r="J195" s="458"/>
      <c r="K195" s="1585"/>
      <c r="L195" s="357"/>
      <c r="M195" s="1587"/>
      <c r="N195" s="1588"/>
    </row>
    <row r="196" spans="1:14" ht="14.25" customHeight="1" x14ac:dyDescent="0.2">
      <c r="A196" s="1704"/>
      <c r="B196" s="1705"/>
      <c r="C196" s="1808"/>
      <c r="D196" s="1833"/>
      <c r="E196" s="1821"/>
      <c r="F196" s="1808"/>
      <c r="G196" s="69"/>
      <c r="H196" s="1010"/>
      <c r="I196" s="82"/>
      <c r="J196" s="704"/>
      <c r="K196" s="18"/>
      <c r="L196" s="50"/>
      <c r="M196" s="44"/>
      <c r="N196" s="20"/>
    </row>
    <row r="197" spans="1:14" ht="39" customHeight="1" x14ac:dyDescent="0.2">
      <c r="A197" s="1040"/>
      <c r="B197" s="1041"/>
      <c r="C197" s="1106"/>
      <c r="D197" s="1112" t="s">
        <v>331</v>
      </c>
      <c r="E197" s="574" t="s">
        <v>162</v>
      </c>
      <c r="F197" s="557" t="s">
        <v>37</v>
      </c>
      <c r="G197" s="450"/>
      <c r="H197" s="450"/>
      <c r="I197" s="560"/>
      <c r="J197" s="559"/>
      <c r="K197" s="66" t="s">
        <v>83</v>
      </c>
      <c r="L197" s="554">
        <v>1</v>
      </c>
      <c r="M197" s="554"/>
      <c r="N197" s="555"/>
    </row>
    <row r="198" spans="1:14" ht="15.75" customHeight="1" x14ac:dyDescent="0.2">
      <c r="A198" s="1704"/>
      <c r="B198" s="1705"/>
      <c r="C198" s="1808"/>
      <c r="D198" s="1695" t="s">
        <v>211</v>
      </c>
      <c r="E198" s="1817" t="s">
        <v>122</v>
      </c>
      <c r="F198" s="1898"/>
      <c r="G198" s="1009"/>
      <c r="H198" s="1009"/>
      <c r="I198" s="83"/>
      <c r="J198" s="1009"/>
      <c r="K198" s="1682" t="s">
        <v>226</v>
      </c>
      <c r="L198" s="1139">
        <v>11</v>
      </c>
      <c r="M198" s="1131">
        <v>12</v>
      </c>
      <c r="N198" s="1143">
        <v>14</v>
      </c>
    </row>
    <row r="199" spans="1:14" ht="9" customHeight="1" x14ac:dyDescent="0.2">
      <c r="A199" s="1704"/>
      <c r="B199" s="1705"/>
      <c r="C199" s="1808"/>
      <c r="D199" s="1696"/>
      <c r="E199" s="1836"/>
      <c r="F199" s="1898"/>
      <c r="G199" s="58"/>
      <c r="H199" s="60"/>
      <c r="I199" s="79"/>
      <c r="J199" s="58"/>
      <c r="K199" s="1683"/>
      <c r="L199" s="357"/>
      <c r="M199" s="1150"/>
      <c r="N199" s="1133"/>
    </row>
    <row r="200" spans="1:14" ht="13.5" customHeight="1" x14ac:dyDescent="0.2">
      <c r="A200" s="1704"/>
      <c r="B200" s="1705"/>
      <c r="C200" s="1808"/>
      <c r="D200" s="1832"/>
      <c r="E200" s="1839"/>
      <c r="F200" s="1898"/>
      <c r="G200" s="1010"/>
      <c r="H200" s="693"/>
      <c r="I200" s="1189"/>
      <c r="J200" s="693"/>
      <c r="K200" s="1149"/>
      <c r="L200" s="357"/>
      <c r="M200" s="1150"/>
      <c r="N200" s="1133"/>
    </row>
    <row r="201" spans="1:14" ht="16.5" customHeight="1" thickBot="1" x14ac:dyDescent="0.25">
      <c r="A201" s="1128"/>
      <c r="B201" s="1105"/>
      <c r="C201" s="1186"/>
      <c r="D201" s="1187"/>
      <c r="E201" s="1188"/>
      <c r="F201" s="1186"/>
      <c r="G201" s="129" t="s">
        <v>6</v>
      </c>
      <c r="H201" s="142">
        <f>SUM(H176:H200)</f>
        <v>1592.1</v>
      </c>
      <c r="I201" s="142">
        <f>SUM(I176:I200)</f>
        <v>2007.1</v>
      </c>
      <c r="J201" s="142">
        <f>SUM(J176:J200)</f>
        <v>1137.2</v>
      </c>
      <c r="K201" s="481"/>
      <c r="L201" s="171"/>
      <c r="M201" s="587"/>
      <c r="N201" s="497"/>
    </row>
    <row r="202" spans="1:14" ht="14.25" customHeight="1" thickBot="1" x14ac:dyDescent="0.25">
      <c r="A202" s="86" t="s">
        <v>5</v>
      </c>
      <c r="B202" s="75" t="s">
        <v>28</v>
      </c>
      <c r="C202" s="1767" t="s">
        <v>8</v>
      </c>
      <c r="D202" s="1767"/>
      <c r="E202" s="1767"/>
      <c r="F202" s="1767"/>
      <c r="G202" s="1768"/>
      <c r="H202" s="194">
        <f>H201+H175+H172</f>
        <v>2955.4</v>
      </c>
      <c r="I202" s="194">
        <f>I201+I175+I172</f>
        <v>3340.6</v>
      </c>
      <c r="J202" s="194">
        <f>J201+J175+J172</f>
        <v>2311.6999999999998</v>
      </c>
      <c r="K202" s="1800"/>
      <c r="L202" s="1800"/>
      <c r="M202" s="1800"/>
      <c r="N202" s="1801"/>
    </row>
    <row r="203" spans="1:14" ht="14.25" customHeight="1" thickBot="1" x14ac:dyDescent="0.25">
      <c r="A203" s="74" t="s">
        <v>5</v>
      </c>
      <c r="B203" s="75" t="s">
        <v>33</v>
      </c>
      <c r="C203" s="1771" t="s">
        <v>165</v>
      </c>
      <c r="D203" s="1802"/>
      <c r="E203" s="1802"/>
      <c r="F203" s="1802"/>
      <c r="G203" s="1802"/>
      <c r="H203" s="1802"/>
      <c r="I203" s="1802"/>
      <c r="J203" s="1802"/>
      <c r="K203" s="1802"/>
      <c r="L203" s="1802"/>
      <c r="M203" s="1802"/>
      <c r="N203" s="1803"/>
    </row>
    <row r="204" spans="1:14" ht="12" customHeight="1" x14ac:dyDescent="0.2">
      <c r="A204" s="1117" t="s">
        <v>5</v>
      </c>
      <c r="B204" s="1118" t="s">
        <v>33</v>
      </c>
      <c r="C204" s="231" t="s">
        <v>5</v>
      </c>
      <c r="D204" s="1647" t="s">
        <v>104</v>
      </c>
      <c r="E204" s="320"/>
      <c r="F204" s="1120">
        <v>6</v>
      </c>
      <c r="G204" s="169" t="s">
        <v>25</v>
      </c>
      <c r="H204" s="169">
        <f>1730.7-40</f>
        <v>1690.7</v>
      </c>
      <c r="I204" s="169">
        <v>1816.4</v>
      </c>
      <c r="J204" s="169">
        <v>1822.7</v>
      </c>
      <c r="K204" s="612"/>
      <c r="L204" s="166"/>
      <c r="M204" s="198"/>
      <c r="N204" s="205"/>
    </row>
    <row r="205" spans="1:14" ht="12" customHeight="1" x14ac:dyDescent="0.2">
      <c r="A205" s="1108"/>
      <c r="B205" s="1105"/>
      <c r="C205" s="200"/>
      <c r="D205" s="1648"/>
      <c r="E205" s="1107"/>
      <c r="F205" s="1110"/>
      <c r="G205" s="58" t="s">
        <v>60</v>
      </c>
      <c r="H205" s="58">
        <v>134.9</v>
      </c>
      <c r="I205" s="58"/>
      <c r="J205" s="58"/>
      <c r="K205" s="1134"/>
      <c r="L205" s="206"/>
      <c r="M205" s="95"/>
      <c r="N205" s="37"/>
    </row>
    <row r="206" spans="1:14" ht="12" customHeight="1" x14ac:dyDescent="0.2">
      <c r="A206" s="1108"/>
      <c r="B206" s="1105"/>
      <c r="C206" s="200"/>
      <c r="D206" s="1648"/>
      <c r="E206" s="1107"/>
      <c r="F206" s="1110"/>
      <c r="G206" s="58" t="s">
        <v>68</v>
      </c>
      <c r="H206" s="58">
        <f>268-48-30+5</f>
        <v>195</v>
      </c>
      <c r="I206" s="58">
        <f>447-30+34.1</f>
        <v>451.1</v>
      </c>
      <c r="J206" s="58">
        <f>417+98.4</f>
        <v>515.4</v>
      </c>
      <c r="K206" s="1134"/>
      <c r="L206" s="206"/>
      <c r="M206" s="95"/>
      <c r="N206" s="37"/>
    </row>
    <row r="207" spans="1:14" ht="14.1" customHeight="1" x14ac:dyDescent="0.2">
      <c r="A207" s="1108"/>
      <c r="B207" s="1105"/>
      <c r="C207" s="200"/>
      <c r="D207" s="1648"/>
      <c r="E207" s="1107"/>
      <c r="F207" s="1110"/>
      <c r="G207" s="58" t="s">
        <v>75</v>
      </c>
      <c r="H207" s="58">
        <f>270+17.9</f>
        <v>287.89999999999998</v>
      </c>
      <c r="I207" s="58"/>
      <c r="J207" s="58"/>
      <c r="K207" s="1134"/>
      <c r="L207" s="206"/>
      <c r="M207" s="95"/>
      <c r="N207" s="37"/>
    </row>
    <row r="208" spans="1:14" ht="14.1" customHeight="1" x14ac:dyDescent="0.2">
      <c r="A208" s="1108"/>
      <c r="B208" s="1105"/>
      <c r="C208" s="90"/>
      <c r="D208" s="1649"/>
      <c r="E208" s="1107"/>
      <c r="F208" s="1110"/>
      <c r="G208" s="1010" t="s">
        <v>99</v>
      </c>
      <c r="H208" s="1010">
        <v>1729.3</v>
      </c>
      <c r="I208" s="1010">
        <v>1538.3</v>
      </c>
      <c r="J208" s="1010">
        <v>1600.3</v>
      </c>
      <c r="K208" s="1134"/>
      <c r="L208" s="206"/>
      <c r="M208" s="95"/>
      <c r="N208" s="37"/>
    </row>
    <row r="209" spans="1:14" ht="15.75" customHeight="1" x14ac:dyDescent="0.2">
      <c r="A209" s="1108"/>
      <c r="B209" s="1105"/>
      <c r="C209" s="1211"/>
      <c r="D209" s="397" t="s">
        <v>101</v>
      </c>
      <c r="E209" s="1212"/>
      <c r="F209" s="1213"/>
      <c r="G209" s="450"/>
      <c r="H209" s="450"/>
      <c r="I209" s="450"/>
      <c r="J209" s="450"/>
      <c r="K209" s="216"/>
      <c r="L209" s="1214"/>
      <c r="M209" s="1215"/>
      <c r="N209" s="1216"/>
    </row>
    <row r="210" spans="1:14" ht="14.25" customHeight="1" x14ac:dyDescent="0.2">
      <c r="A210" s="1108"/>
      <c r="B210" s="1105"/>
      <c r="C210" s="1899" t="s">
        <v>169</v>
      </c>
      <c r="D210" s="1114" t="s">
        <v>258</v>
      </c>
      <c r="E210" s="1107"/>
      <c r="F210" s="1110"/>
      <c r="G210" s="58"/>
      <c r="H210" s="58"/>
      <c r="I210" s="58"/>
      <c r="J210" s="58"/>
      <c r="K210" s="1115" t="s">
        <v>66</v>
      </c>
      <c r="L210" s="206">
        <v>5.9</v>
      </c>
      <c r="M210" s="95"/>
      <c r="N210" s="37"/>
    </row>
    <row r="211" spans="1:14" ht="13.5" customHeight="1" x14ac:dyDescent="0.2">
      <c r="A211" s="1108"/>
      <c r="B211" s="1105"/>
      <c r="C211" s="1899"/>
      <c r="D211" s="213" t="s">
        <v>171</v>
      </c>
      <c r="E211" s="1107"/>
      <c r="F211" s="1110"/>
      <c r="G211" s="58"/>
      <c r="H211" s="58"/>
      <c r="I211" s="58"/>
      <c r="J211" s="58"/>
      <c r="K211" s="1115"/>
      <c r="L211" s="206"/>
      <c r="M211" s="95"/>
      <c r="N211" s="37"/>
    </row>
    <row r="212" spans="1:14" ht="14.25" customHeight="1" x14ac:dyDescent="0.2">
      <c r="A212" s="1108"/>
      <c r="B212" s="1105"/>
      <c r="C212" s="1899"/>
      <c r="D212" s="213" t="s">
        <v>168</v>
      </c>
      <c r="E212" s="1107"/>
      <c r="F212" s="1110"/>
      <c r="G212" s="58"/>
      <c r="H212" s="58"/>
      <c r="I212" s="58"/>
      <c r="J212" s="58"/>
      <c r="K212" s="1115"/>
      <c r="L212" s="206"/>
      <c r="M212" s="95"/>
      <c r="N212" s="37"/>
    </row>
    <row r="213" spans="1:14" ht="14.25" customHeight="1" x14ac:dyDescent="0.2">
      <c r="A213" s="1108"/>
      <c r="B213" s="1105"/>
      <c r="C213" s="1899"/>
      <c r="D213" s="1114" t="s">
        <v>173</v>
      </c>
      <c r="E213" s="1107"/>
      <c r="F213" s="1110"/>
      <c r="G213" s="58"/>
      <c r="H213" s="58"/>
      <c r="I213" s="58"/>
      <c r="J213" s="58"/>
      <c r="K213" s="1115"/>
      <c r="L213" s="206"/>
      <c r="M213" s="95"/>
      <c r="N213" s="37"/>
    </row>
    <row r="214" spans="1:14" ht="29.25" customHeight="1" x14ac:dyDescent="0.2">
      <c r="A214" s="1108"/>
      <c r="B214" s="1105"/>
      <c r="C214" s="1899"/>
      <c r="D214" s="213" t="s">
        <v>332</v>
      </c>
      <c r="E214" s="1107"/>
      <c r="F214" s="1110"/>
      <c r="G214" s="58"/>
      <c r="H214" s="58"/>
      <c r="I214" s="58"/>
      <c r="J214" s="58"/>
      <c r="K214" s="1115"/>
      <c r="L214" s="206"/>
      <c r="M214" s="95"/>
      <c r="N214" s="37"/>
    </row>
    <row r="215" spans="1:14" ht="26.25" customHeight="1" x14ac:dyDescent="0.2">
      <c r="A215" s="1108"/>
      <c r="B215" s="1105"/>
      <c r="C215" s="1899"/>
      <c r="D215" s="1190" t="s">
        <v>333</v>
      </c>
      <c r="E215" s="1107"/>
      <c r="F215" s="1110"/>
      <c r="G215" s="58"/>
      <c r="H215" s="58"/>
      <c r="I215" s="58"/>
      <c r="J215" s="58"/>
      <c r="K215" s="1115"/>
      <c r="L215" s="206"/>
      <c r="M215" s="95"/>
      <c r="N215" s="37"/>
    </row>
    <row r="216" spans="1:14" ht="27" customHeight="1" x14ac:dyDescent="0.2">
      <c r="A216" s="1108"/>
      <c r="B216" s="1105"/>
      <c r="C216" s="1899"/>
      <c r="D216" s="213" t="s">
        <v>335</v>
      </c>
      <c r="E216" s="1107"/>
      <c r="F216" s="1110"/>
      <c r="G216" s="58"/>
      <c r="H216" s="58"/>
      <c r="I216" s="58"/>
      <c r="J216" s="58"/>
      <c r="K216" s="1115"/>
      <c r="L216" s="206"/>
      <c r="M216" s="95"/>
      <c r="N216" s="37"/>
    </row>
    <row r="217" spans="1:14" ht="27" customHeight="1" x14ac:dyDescent="0.2">
      <c r="A217" s="1108"/>
      <c r="B217" s="1105"/>
      <c r="C217" s="1202"/>
      <c r="D217" s="1199" t="s">
        <v>334</v>
      </c>
      <c r="E217" s="1107"/>
      <c r="F217" s="1110"/>
      <c r="G217" s="58"/>
      <c r="H217" s="58"/>
      <c r="I217" s="58"/>
      <c r="J217" s="58"/>
      <c r="K217" s="1115"/>
      <c r="L217" s="206"/>
      <c r="M217" s="95"/>
      <c r="N217" s="37"/>
    </row>
    <row r="218" spans="1:14" ht="15" customHeight="1" x14ac:dyDescent="0.2">
      <c r="A218" s="1108"/>
      <c r="B218" s="1105"/>
      <c r="C218" s="1900" t="s">
        <v>349</v>
      </c>
      <c r="D218" s="1207" t="s">
        <v>172</v>
      </c>
      <c r="E218" s="1208"/>
      <c r="F218" s="1209"/>
      <c r="G218" s="71"/>
      <c r="H218" s="71"/>
      <c r="I218" s="71"/>
      <c r="J218" s="71"/>
      <c r="K218" s="1196" t="s">
        <v>66</v>
      </c>
      <c r="L218" s="721"/>
      <c r="M218" s="853">
        <v>7.9</v>
      </c>
      <c r="N218" s="1210">
        <v>7.5</v>
      </c>
    </row>
    <row r="219" spans="1:14" ht="16.5" customHeight="1" x14ac:dyDescent="0.2">
      <c r="A219" s="1108"/>
      <c r="B219" s="1105"/>
      <c r="C219" s="1899"/>
      <c r="D219" s="1190" t="s">
        <v>167</v>
      </c>
      <c r="E219" s="1197"/>
      <c r="F219" s="1198"/>
      <c r="G219" s="58"/>
      <c r="H219" s="58"/>
      <c r="I219" s="58"/>
      <c r="J219" s="58"/>
      <c r="K219" s="1203"/>
      <c r="L219" s="206"/>
      <c r="M219" s="95"/>
      <c r="N219" s="37"/>
    </row>
    <row r="220" spans="1:14" ht="15.75" customHeight="1" x14ac:dyDescent="0.2">
      <c r="A220" s="1108"/>
      <c r="B220" s="1105"/>
      <c r="C220" s="1899"/>
      <c r="D220" s="213" t="s">
        <v>174</v>
      </c>
      <c r="E220" s="1197"/>
      <c r="F220" s="1198"/>
      <c r="G220" s="58"/>
      <c r="H220" s="58"/>
      <c r="I220" s="58"/>
      <c r="J220" s="58"/>
      <c r="K220" s="1203"/>
      <c r="L220" s="206"/>
      <c r="M220" s="95"/>
      <c r="N220" s="37"/>
    </row>
    <row r="221" spans="1:14" ht="15.75" customHeight="1" x14ac:dyDescent="0.2">
      <c r="A221" s="1108"/>
      <c r="B221" s="1105"/>
      <c r="C221" s="1899"/>
      <c r="D221" s="213" t="s">
        <v>263</v>
      </c>
      <c r="E221" s="1197"/>
      <c r="F221" s="1198"/>
      <c r="G221" s="58"/>
      <c r="H221" s="58"/>
      <c r="I221" s="58"/>
      <c r="J221" s="58"/>
      <c r="K221" s="1203"/>
      <c r="L221" s="206"/>
      <c r="M221" s="95"/>
      <c r="N221" s="37"/>
    </row>
    <row r="222" spans="1:14" ht="14.25" customHeight="1" x14ac:dyDescent="0.2">
      <c r="A222" s="1108"/>
      <c r="B222" s="1105"/>
      <c r="C222" s="1901"/>
      <c r="D222" s="1200" t="s">
        <v>336</v>
      </c>
      <c r="E222" s="1205"/>
      <c r="F222" s="1201"/>
      <c r="G222" s="1010"/>
      <c r="H222" s="1010"/>
      <c r="I222" s="1010"/>
      <c r="J222" s="1010"/>
      <c r="K222" s="1204"/>
      <c r="L222" s="39"/>
      <c r="M222" s="38"/>
      <c r="N222" s="40"/>
    </row>
    <row r="223" spans="1:14" ht="27" customHeight="1" x14ac:dyDescent="0.2">
      <c r="A223" s="1108"/>
      <c r="B223" s="1105"/>
      <c r="C223" s="200"/>
      <c r="D223" s="1714" t="s">
        <v>103</v>
      </c>
      <c r="E223" s="1197"/>
      <c r="F223" s="1121"/>
      <c r="G223" s="58"/>
      <c r="H223" s="206"/>
      <c r="I223" s="58"/>
      <c r="J223" s="58"/>
      <c r="K223" s="1206" t="s">
        <v>293</v>
      </c>
      <c r="L223" s="34" t="s">
        <v>292</v>
      </c>
      <c r="M223" s="933" t="s">
        <v>292</v>
      </c>
      <c r="N223" s="934" t="s">
        <v>292</v>
      </c>
    </row>
    <row r="224" spans="1:14" ht="27" customHeight="1" x14ac:dyDescent="0.2">
      <c r="A224" s="1579"/>
      <c r="B224" s="1580"/>
      <c r="C224" s="200"/>
      <c r="D224" s="1714"/>
      <c r="E224" s="1581"/>
      <c r="F224" s="1582"/>
      <c r="G224" s="58"/>
      <c r="H224" s="206"/>
      <c r="I224" s="58"/>
      <c r="J224" s="58"/>
      <c r="K224" s="81" t="s">
        <v>379</v>
      </c>
      <c r="L224" s="176" t="s">
        <v>380</v>
      </c>
      <c r="M224" s="592"/>
      <c r="N224" s="706"/>
    </row>
    <row r="225" spans="1:14" ht="26.25" customHeight="1" x14ac:dyDescent="0.2">
      <c r="A225" s="1108"/>
      <c r="B225" s="1105"/>
      <c r="C225" s="200"/>
      <c r="D225" s="1714"/>
      <c r="E225" s="1107"/>
      <c r="F225" s="1121"/>
      <c r="G225" s="58"/>
      <c r="H225" s="206"/>
      <c r="I225" s="58"/>
      <c r="J225" s="58"/>
      <c r="K225" s="1418" t="s">
        <v>40</v>
      </c>
      <c r="L225" s="756" t="s">
        <v>294</v>
      </c>
      <c r="M225" s="1598" t="s">
        <v>294</v>
      </c>
      <c r="N225" s="1605" t="s">
        <v>294</v>
      </c>
    </row>
    <row r="226" spans="1:14" ht="17.25" customHeight="1" x14ac:dyDescent="0.2">
      <c r="A226" s="1108"/>
      <c r="B226" s="1105"/>
      <c r="C226" s="200"/>
      <c r="D226" s="1715"/>
      <c r="E226" s="1144"/>
      <c r="F226" s="1121"/>
      <c r="G226" s="69"/>
      <c r="H226" s="1010"/>
      <c r="I226" s="1010"/>
      <c r="J226" s="1010"/>
      <c r="K226" s="1145" t="s">
        <v>65</v>
      </c>
      <c r="L226" s="1035" t="s">
        <v>288</v>
      </c>
      <c r="M226" s="915" t="s">
        <v>288</v>
      </c>
      <c r="N226" s="916" t="s">
        <v>288</v>
      </c>
    </row>
    <row r="227" spans="1:14" ht="15.75" customHeight="1" x14ac:dyDescent="0.2">
      <c r="A227" s="1704"/>
      <c r="B227" s="1705"/>
      <c r="C227" s="1706"/>
      <c r="D227" s="1707" t="s">
        <v>53</v>
      </c>
      <c r="E227" s="1107"/>
      <c r="F227" s="1121"/>
      <c r="G227" s="58"/>
      <c r="H227" s="58"/>
      <c r="I227" s="58"/>
      <c r="J227" s="58"/>
      <c r="K227" s="1682" t="s">
        <v>290</v>
      </c>
      <c r="L227" s="323" t="s">
        <v>289</v>
      </c>
      <c r="M227" s="755" t="s">
        <v>289</v>
      </c>
      <c r="N227" s="408" t="s">
        <v>289</v>
      </c>
    </row>
    <row r="228" spans="1:14" ht="18" customHeight="1" x14ac:dyDescent="0.2">
      <c r="A228" s="1704"/>
      <c r="B228" s="1705"/>
      <c r="C228" s="1706"/>
      <c r="D228" s="1708"/>
      <c r="E228" s="1144"/>
      <c r="F228" s="1121"/>
      <c r="G228" s="707"/>
      <c r="H228" s="707"/>
      <c r="I228" s="707"/>
      <c r="J228" s="1010"/>
      <c r="K228" s="1849"/>
      <c r="L228" s="39"/>
      <c r="M228" s="143"/>
      <c r="N228" s="40"/>
    </row>
    <row r="229" spans="1:14" ht="14.25" customHeight="1" x14ac:dyDescent="0.2">
      <c r="A229" s="1704"/>
      <c r="B229" s="1705"/>
      <c r="C229" s="1706"/>
      <c r="D229" s="1695" t="s">
        <v>271</v>
      </c>
      <c r="E229" s="1836"/>
      <c r="F229" s="1706"/>
      <c r="G229" s="58"/>
      <c r="H229" s="58"/>
      <c r="I229" s="58"/>
      <c r="J229" s="58"/>
      <c r="K229" s="1140" t="s">
        <v>295</v>
      </c>
      <c r="L229" s="756" t="s">
        <v>356</v>
      </c>
      <c r="M229" s="600" t="s">
        <v>299</v>
      </c>
      <c r="N229" s="488" t="s">
        <v>299</v>
      </c>
    </row>
    <row r="230" spans="1:14" ht="13.5" customHeight="1" x14ac:dyDescent="0.2">
      <c r="A230" s="1704"/>
      <c r="B230" s="1705"/>
      <c r="C230" s="1706"/>
      <c r="D230" s="1810"/>
      <c r="E230" s="1836"/>
      <c r="F230" s="1706"/>
      <c r="G230" s="58"/>
      <c r="H230" s="58"/>
      <c r="I230" s="58"/>
      <c r="J230" s="58"/>
      <c r="K230" s="1115" t="s">
        <v>291</v>
      </c>
      <c r="L230" s="34" t="s">
        <v>358</v>
      </c>
      <c r="M230" s="34" t="s">
        <v>312</v>
      </c>
      <c r="N230" s="314" t="s">
        <v>312</v>
      </c>
    </row>
    <row r="231" spans="1:14" ht="28.5" customHeight="1" x14ac:dyDescent="0.2">
      <c r="A231" s="1704"/>
      <c r="B231" s="1705"/>
      <c r="C231" s="1706"/>
      <c r="D231" s="935"/>
      <c r="E231" s="1836"/>
      <c r="F231" s="1706"/>
      <c r="G231" s="58"/>
      <c r="H231" s="58"/>
      <c r="I231" s="58"/>
      <c r="J231" s="58"/>
      <c r="K231" s="1400" t="s">
        <v>337</v>
      </c>
      <c r="L231" s="346"/>
      <c r="M231" s="346" t="s">
        <v>286</v>
      </c>
      <c r="N231" s="410"/>
    </row>
    <row r="232" spans="1:14" ht="39" customHeight="1" x14ac:dyDescent="0.2">
      <c r="A232" s="1704"/>
      <c r="B232" s="1705"/>
      <c r="C232" s="1681"/>
      <c r="D232" s="935"/>
      <c r="E232" s="1836"/>
      <c r="F232" s="1706"/>
      <c r="G232" s="58"/>
      <c r="H232" s="58"/>
      <c r="I232" s="58"/>
      <c r="J232" s="58"/>
      <c r="K232" s="81" t="s">
        <v>297</v>
      </c>
      <c r="L232" s="176"/>
      <c r="M232" s="176" t="s">
        <v>287</v>
      </c>
      <c r="N232" s="1408"/>
    </row>
    <row r="233" spans="1:14" ht="25.5" customHeight="1" x14ac:dyDescent="0.2">
      <c r="A233" s="1704"/>
      <c r="B233" s="1705"/>
      <c r="C233" s="1681"/>
      <c r="D233" s="1111"/>
      <c r="E233" s="1836"/>
      <c r="F233" s="1706"/>
      <c r="G233" s="1010"/>
      <c r="H233" s="1010"/>
      <c r="I233" s="1010"/>
      <c r="J233" s="1010"/>
      <c r="K233" s="1404" t="s">
        <v>348</v>
      </c>
      <c r="L233" s="286" t="s">
        <v>55</v>
      </c>
      <c r="M233" s="468"/>
      <c r="N233" s="411"/>
    </row>
    <row r="234" spans="1:14" ht="17.25" customHeight="1" x14ac:dyDescent="0.2">
      <c r="A234" s="1108"/>
      <c r="B234" s="1105"/>
      <c r="C234" s="1121"/>
      <c r="D234" s="1696" t="s">
        <v>102</v>
      </c>
      <c r="E234" s="1107"/>
      <c r="F234" s="1121"/>
      <c r="G234" s="58"/>
      <c r="H234" s="58"/>
      <c r="I234" s="58"/>
      <c r="J234" s="58"/>
      <c r="K234" s="1840" t="s">
        <v>146</v>
      </c>
      <c r="L234" s="1142">
        <v>14</v>
      </c>
      <c r="M234" s="399">
        <v>12</v>
      </c>
      <c r="N234" s="1137">
        <v>6</v>
      </c>
    </row>
    <row r="235" spans="1:14" ht="15" customHeight="1" x14ac:dyDescent="0.2">
      <c r="A235" s="1108"/>
      <c r="B235" s="1105"/>
      <c r="C235" s="1121"/>
      <c r="D235" s="1894"/>
      <c r="E235" s="1144"/>
      <c r="F235" s="1121"/>
      <c r="G235" s="1010"/>
      <c r="H235" s="1010"/>
      <c r="I235" s="1010"/>
      <c r="J235" s="1010"/>
      <c r="K235" s="1841"/>
      <c r="L235" s="19"/>
      <c r="M235" s="283"/>
      <c r="N235" s="20"/>
    </row>
    <row r="236" spans="1:14" ht="15.75" customHeight="1" x14ac:dyDescent="0.2">
      <c r="A236" s="1128"/>
      <c r="B236" s="1105"/>
      <c r="C236" s="1121"/>
      <c r="D236" s="1707" t="s">
        <v>39</v>
      </c>
      <c r="E236" s="1113"/>
      <c r="F236" s="1121"/>
      <c r="G236" s="54"/>
      <c r="H236" s="58"/>
      <c r="I236" s="58"/>
      <c r="J236" s="58"/>
      <c r="K236" s="1104" t="s">
        <v>270</v>
      </c>
      <c r="L236" s="1132">
        <v>14</v>
      </c>
      <c r="M236" s="1135">
        <v>14</v>
      </c>
      <c r="N236" s="1143">
        <v>14</v>
      </c>
    </row>
    <row r="237" spans="1:14" ht="16.5" customHeight="1" x14ac:dyDescent="0.2">
      <c r="A237" s="1128"/>
      <c r="B237" s="1105"/>
      <c r="C237" s="1121"/>
      <c r="D237" s="1708"/>
      <c r="E237" s="1144"/>
      <c r="F237" s="1121"/>
      <c r="G237" s="1010"/>
      <c r="H237" s="1010"/>
      <c r="I237" s="1010"/>
      <c r="J237" s="82"/>
      <c r="K237" s="1115"/>
      <c r="L237" s="19"/>
      <c r="M237" s="283"/>
      <c r="N237" s="20"/>
    </row>
    <row r="238" spans="1:14" ht="15" customHeight="1" x14ac:dyDescent="0.2">
      <c r="A238" s="1128"/>
      <c r="B238" s="1105"/>
      <c r="C238" s="1121"/>
      <c r="D238" s="1707" t="s">
        <v>235</v>
      </c>
      <c r="E238" s="1107"/>
      <c r="F238" s="1121"/>
      <c r="G238" s="1007"/>
      <c r="H238" s="1009"/>
      <c r="I238" s="1009"/>
      <c r="J238" s="1009"/>
      <c r="K238" s="791" t="s">
        <v>92</v>
      </c>
      <c r="L238" s="633">
        <v>1</v>
      </c>
      <c r="M238" s="282"/>
      <c r="N238" s="1133"/>
    </row>
    <row r="239" spans="1:14" ht="27.75" customHeight="1" x14ac:dyDescent="0.2">
      <c r="A239" s="1128"/>
      <c r="B239" s="1105"/>
      <c r="C239" s="1121"/>
      <c r="D239" s="1708"/>
      <c r="E239" s="1107"/>
      <c r="F239" s="1121"/>
      <c r="G239" s="1008"/>
      <c r="H239" s="1010"/>
      <c r="I239" s="1010"/>
      <c r="J239" s="1010"/>
      <c r="K239" s="1501" t="s">
        <v>249</v>
      </c>
      <c r="L239" s="797"/>
      <c r="M239" s="797">
        <v>100</v>
      </c>
      <c r="N239" s="799"/>
    </row>
    <row r="240" spans="1:14" ht="14.25" customHeight="1" x14ac:dyDescent="0.2">
      <c r="A240" s="1128"/>
      <c r="B240" s="1105"/>
      <c r="C240" s="1106"/>
      <c r="D240" s="1123" t="s">
        <v>339</v>
      </c>
      <c r="E240" s="131"/>
      <c r="F240" s="1121"/>
      <c r="G240" s="852"/>
      <c r="H240" s="71"/>
      <c r="I240" s="853"/>
      <c r="J240" s="1009"/>
      <c r="K240" s="854" t="s">
        <v>46</v>
      </c>
      <c r="L240" s="472">
        <v>3</v>
      </c>
      <c r="M240" s="472"/>
      <c r="N240" s="188"/>
    </row>
    <row r="241" spans="1:16" ht="26.25" customHeight="1" x14ac:dyDescent="0.2">
      <c r="A241" s="1100"/>
      <c r="B241" s="1101"/>
      <c r="C241" s="1102"/>
      <c r="D241" s="855" t="s">
        <v>342</v>
      </c>
      <c r="E241" s="1920"/>
      <c r="F241" s="1922"/>
      <c r="G241" s="848"/>
      <c r="H241" s="60"/>
      <c r="I241" s="95"/>
      <c r="J241" s="58"/>
      <c r="K241" s="440" t="s">
        <v>265</v>
      </c>
      <c r="L241" s="1462"/>
      <c r="M241" s="1462">
        <v>50</v>
      </c>
      <c r="N241" s="300">
        <v>100</v>
      </c>
    </row>
    <row r="242" spans="1:16" ht="12.75" customHeight="1" x14ac:dyDescent="0.2">
      <c r="A242" s="1100"/>
      <c r="B242" s="1101"/>
      <c r="C242" s="1102"/>
      <c r="D242" s="855" t="s">
        <v>340</v>
      </c>
      <c r="E242" s="1920"/>
      <c r="F242" s="1922"/>
      <c r="G242" s="848"/>
      <c r="H242" s="60"/>
      <c r="I242" s="95"/>
      <c r="J242" s="58"/>
      <c r="K242" s="440"/>
      <c r="L242" s="1462"/>
      <c r="M242" s="1462"/>
      <c r="N242" s="300"/>
    </row>
    <row r="243" spans="1:16" ht="13.5" customHeight="1" x14ac:dyDescent="0.2">
      <c r="A243" s="1100"/>
      <c r="B243" s="1101"/>
      <c r="C243" s="1102"/>
      <c r="D243" s="1129" t="s">
        <v>341</v>
      </c>
      <c r="E243" s="1921"/>
      <c r="F243" s="1923"/>
      <c r="G243" s="849"/>
      <c r="H243" s="1008"/>
      <c r="I243" s="143"/>
      <c r="J243" s="1010"/>
      <c r="K243" s="441"/>
      <c r="L243" s="1462"/>
      <c r="M243" s="357"/>
      <c r="N243" s="300"/>
    </row>
    <row r="244" spans="1:16" ht="13.5" customHeight="1" x14ac:dyDescent="0.2">
      <c r="A244" s="1128"/>
      <c r="B244" s="1125"/>
      <c r="C244" s="89"/>
      <c r="D244" s="1707" t="s">
        <v>338</v>
      </c>
      <c r="E244" s="940" t="s">
        <v>47</v>
      </c>
      <c r="F244" s="557"/>
      <c r="G244" s="1012"/>
      <c r="H244" s="1009"/>
      <c r="I244" s="1009"/>
      <c r="J244" s="1009"/>
      <c r="K244" s="791" t="s">
        <v>92</v>
      </c>
      <c r="L244" s="792">
        <v>1</v>
      </c>
      <c r="M244" s="793"/>
      <c r="N244" s="794"/>
    </row>
    <row r="245" spans="1:16" ht="25.5" customHeight="1" x14ac:dyDescent="0.2">
      <c r="A245" s="1128"/>
      <c r="B245" s="1125"/>
      <c r="C245" s="89"/>
      <c r="D245" s="1742"/>
      <c r="E245" s="309"/>
      <c r="F245" s="1126"/>
      <c r="G245" s="1013"/>
      <c r="H245" s="1010"/>
      <c r="I245" s="1010"/>
      <c r="J245" s="1010"/>
      <c r="K245" s="440" t="s">
        <v>283</v>
      </c>
      <c r="L245" s="1191"/>
      <c r="M245" s="472">
        <v>20</v>
      </c>
      <c r="N245" s="1192">
        <v>100</v>
      </c>
    </row>
    <row r="246" spans="1:16" ht="16.5" customHeight="1" thickBot="1" x14ac:dyDescent="0.25">
      <c r="A246" s="64"/>
      <c r="B246" s="1119"/>
      <c r="C246" s="49"/>
      <c r="D246" s="1187"/>
      <c r="E246" s="1188"/>
      <c r="F246" s="49"/>
      <c r="G246" s="129" t="s">
        <v>6</v>
      </c>
      <c r="H246" s="142">
        <f>SUM(H204:H245)</f>
        <v>4037.8</v>
      </c>
      <c r="I246" s="142">
        <f>SUM(I204:I245)</f>
        <v>3805.8</v>
      </c>
      <c r="J246" s="142">
        <f>SUM(J204:J245)</f>
        <v>3938.4</v>
      </c>
      <c r="K246" s="481"/>
      <c r="L246" s="171"/>
      <c r="M246" s="587"/>
      <c r="N246" s="497"/>
    </row>
    <row r="247" spans="1:16" ht="26.25" customHeight="1" x14ac:dyDescent="0.2">
      <c r="A247" s="1046" t="s">
        <v>5</v>
      </c>
      <c r="B247" s="1041" t="s">
        <v>33</v>
      </c>
      <c r="C247" s="200" t="s">
        <v>7</v>
      </c>
      <c r="D247" s="1742" t="s">
        <v>132</v>
      </c>
      <c r="E247" s="1761" t="s">
        <v>47</v>
      </c>
      <c r="F247" s="1854" t="s">
        <v>43</v>
      </c>
      <c r="G247" s="58" t="s">
        <v>25</v>
      </c>
      <c r="H247" s="58"/>
      <c r="I247" s="58">
        <v>111</v>
      </c>
      <c r="J247" s="58">
        <v>199.3</v>
      </c>
      <c r="K247" s="1140" t="s">
        <v>140</v>
      </c>
      <c r="L247" s="633"/>
      <c r="M247" s="292">
        <v>1</v>
      </c>
      <c r="N247" s="674"/>
    </row>
    <row r="248" spans="1:16" ht="26.25" customHeight="1" x14ac:dyDescent="0.2">
      <c r="A248" s="1046"/>
      <c r="B248" s="1041"/>
      <c r="C248" s="200"/>
      <c r="D248" s="1742"/>
      <c r="E248" s="1761"/>
      <c r="F248" s="1854"/>
      <c r="G248" s="58" t="s">
        <v>60</v>
      </c>
      <c r="H248" s="58">
        <v>83.9</v>
      </c>
      <c r="I248" s="58"/>
      <c r="J248" s="58"/>
      <c r="K248" s="81" t="s">
        <v>210</v>
      </c>
      <c r="L248" s="23">
        <v>100</v>
      </c>
      <c r="M248" s="291"/>
      <c r="N248" s="24"/>
    </row>
    <row r="249" spans="1:16" ht="26.25" customHeight="1" x14ac:dyDescent="0.2">
      <c r="A249" s="1046"/>
      <c r="B249" s="1041"/>
      <c r="C249" s="200"/>
      <c r="D249" s="1742"/>
      <c r="E249" s="1761"/>
      <c r="F249" s="1855"/>
      <c r="G249" s="1010"/>
      <c r="H249" s="1010"/>
      <c r="I249" s="1010"/>
      <c r="J249" s="1010"/>
      <c r="K249" s="1082" t="s">
        <v>135</v>
      </c>
      <c r="L249" s="346"/>
      <c r="M249" s="1000">
        <v>30</v>
      </c>
      <c r="N249" s="188">
        <v>100</v>
      </c>
    </row>
    <row r="250" spans="1:16" ht="17.25" customHeight="1" thickBot="1" x14ac:dyDescent="0.25">
      <c r="A250" s="64"/>
      <c r="B250" s="1061"/>
      <c r="C250" s="91"/>
      <c r="D250" s="1852"/>
      <c r="E250" s="1853"/>
      <c r="F250" s="1856"/>
      <c r="G250" s="129" t="s">
        <v>6</v>
      </c>
      <c r="H250" s="129">
        <f>SUM(H247:H248)</f>
        <v>83.9</v>
      </c>
      <c r="I250" s="129">
        <f t="shared" ref="I250:J250" si="9">SUM(I247:I248)</f>
        <v>111</v>
      </c>
      <c r="J250" s="129">
        <f t="shared" si="9"/>
        <v>199.3</v>
      </c>
      <c r="K250" s="1069"/>
      <c r="L250" s="182"/>
      <c r="M250" s="593"/>
      <c r="N250" s="625"/>
    </row>
    <row r="251" spans="1:16" ht="14.25" customHeight="1" thickBot="1" x14ac:dyDescent="0.25">
      <c r="A251" s="64" t="s">
        <v>5</v>
      </c>
      <c r="B251" s="1061" t="s">
        <v>33</v>
      </c>
      <c r="C251" s="1857" t="s">
        <v>8</v>
      </c>
      <c r="D251" s="1857"/>
      <c r="E251" s="1857"/>
      <c r="F251" s="1857"/>
      <c r="G251" s="1858"/>
      <c r="H251" s="567">
        <f>H250+H246</f>
        <v>4121.7</v>
      </c>
      <c r="I251" s="567">
        <f t="shared" ref="I251:J251" si="10">I250+I246</f>
        <v>3916.8</v>
      </c>
      <c r="J251" s="567">
        <f t="shared" si="10"/>
        <v>4137.7</v>
      </c>
      <c r="K251" s="1842"/>
      <c r="L251" s="1842"/>
      <c r="M251" s="1842"/>
      <c r="N251" s="1843"/>
    </row>
    <row r="252" spans="1:16" ht="14.25" customHeight="1" thickBot="1" x14ac:dyDescent="0.25">
      <c r="A252" s="86" t="s">
        <v>5</v>
      </c>
      <c r="B252" s="1844" t="s">
        <v>9</v>
      </c>
      <c r="C252" s="1845"/>
      <c r="D252" s="1845"/>
      <c r="E252" s="1845"/>
      <c r="F252" s="1845"/>
      <c r="G252" s="1846"/>
      <c r="H252" s="133">
        <f>H251+H202+H150+H106</f>
        <v>27486.3</v>
      </c>
      <c r="I252" s="133">
        <f>I251+I202+I150+I106</f>
        <v>34570.199999999997</v>
      </c>
      <c r="J252" s="133">
        <f>J251+J202+J150+J106</f>
        <v>27840.799999999999</v>
      </c>
      <c r="K252" s="1847"/>
      <c r="L252" s="1847"/>
      <c r="M252" s="1847"/>
      <c r="N252" s="1848"/>
    </row>
    <row r="253" spans="1:16" ht="14.25" customHeight="1" thickBot="1" x14ac:dyDescent="0.25">
      <c r="A253" s="97" t="s">
        <v>35</v>
      </c>
      <c r="B253" s="1895" t="s">
        <v>57</v>
      </c>
      <c r="C253" s="1896"/>
      <c r="D253" s="1896"/>
      <c r="E253" s="1896"/>
      <c r="F253" s="1896"/>
      <c r="G253" s="1897"/>
      <c r="H253" s="134">
        <f>SUM(H252)</f>
        <v>27486.3</v>
      </c>
      <c r="I253" s="134">
        <f>SUM(I252)</f>
        <v>34570.199999999997</v>
      </c>
      <c r="J253" s="134">
        <f t="shared" ref="J253" si="11">SUM(J252)</f>
        <v>27840.799999999999</v>
      </c>
      <c r="K253" s="1850"/>
      <c r="L253" s="1850"/>
      <c r="M253" s="1850"/>
      <c r="N253" s="1851"/>
    </row>
    <row r="254" spans="1:16" s="5" customFormat="1" ht="17.25" customHeight="1" x14ac:dyDescent="0.2">
      <c r="A254" s="1146"/>
      <c r="B254" s="1147"/>
      <c r="C254" s="1147"/>
      <c r="D254" s="1147"/>
      <c r="E254" s="1147"/>
      <c r="F254" s="1147"/>
      <c r="G254" s="1147"/>
      <c r="H254" s="1147"/>
      <c r="I254" s="1147"/>
      <c r="J254" s="1147"/>
      <c r="K254" s="714"/>
      <c r="L254" s="714"/>
      <c r="M254" s="714"/>
      <c r="N254" s="714"/>
      <c r="P254" s="1"/>
    </row>
    <row r="255" spans="1:16" s="4" customFormat="1" ht="12" customHeight="1" x14ac:dyDescent="0.2">
      <c r="A255" s="714"/>
      <c r="B255" s="649"/>
      <c r="C255" s="649"/>
      <c r="D255" s="649"/>
      <c r="E255" s="649"/>
      <c r="F255" s="649"/>
      <c r="G255" s="649"/>
      <c r="H255" s="649"/>
      <c r="I255" s="649"/>
      <c r="J255" s="649"/>
      <c r="K255" s="649"/>
      <c r="L255" s="714"/>
      <c r="M255" s="714"/>
      <c r="N255" s="714"/>
      <c r="P255" s="1"/>
    </row>
    <row r="256" spans="1:16" s="5" customFormat="1" ht="15" customHeight="1" thickBot="1" x14ac:dyDescent="0.25">
      <c r="A256" s="1930" t="s">
        <v>13</v>
      </c>
      <c r="B256" s="1930"/>
      <c r="C256" s="1930"/>
      <c r="D256" s="1930"/>
      <c r="E256" s="1930"/>
      <c r="F256" s="1930"/>
      <c r="G256" s="1930"/>
      <c r="H256" s="144"/>
      <c r="I256" s="144"/>
      <c r="J256" s="144"/>
      <c r="K256" s="98"/>
      <c r="L256" s="98"/>
      <c r="M256" s="98"/>
      <c r="N256" s="98"/>
      <c r="P256" s="1"/>
    </row>
    <row r="257" spans="1:14" ht="62.25" customHeight="1" thickBot="1" x14ac:dyDescent="0.25">
      <c r="A257" s="1931" t="s">
        <v>10</v>
      </c>
      <c r="B257" s="1932"/>
      <c r="C257" s="1932"/>
      <c r="D257" s="1932"/>
      <c r="E257" s="1932"/>
      <c r="F257" s="1932"/>
      <c r="G257" s="1933"/>
      <c r="H257" s="669" t="s">
        <v>320</v>
      </c>
      <c r="I257" s="689" t="s">
        <v>159</v>
      </c>
      <c r="J257" s="689" t="s">
        <v>224</v>
      </c>
      <c r="K257" s="13"/>
      <c r="L257" s="13"/>
      <c r="M257" s="13"/>
      <c r="N257" s="13"/>
    </row>
    <row r="258" spans="1:14" ht="14.25" customHeight="1" x14ac:dyDescent="0.2">
      <c r="A258" s="1934" t="s">
        <v>14</v>
      </c>
      <c r="B258" s="1935"/>
      <c r="C258" s="1935"/>
      <c r="D258" s="1935"/>
      <c r="E258" s="1935"/>
      <c r="F258" s="1935"/>
      <c r="G258" s="1936"/>
      <c r="H258" s="670">
        <f>H259+H267+H268+H269+H266</f>
        <v>24778.400000000001</v>
      </c>
      <c r="I258" s="670">
        <f t="shared" ref="I258:J258" si="12">I259+I267+I268+I269+I266</f>
        <v>16218.2</v>
      </c>
      <c r="J258" s="1004">
        <f t="shared" si="12"/>
        <v>16350.8</v>
      </c>
      <c r="K258" s="13"/>
      <c r="L258" s="13"/>
      <c r="M258" s="13"/>
      <c r="N258" s="13"/>
    </row>
    <row r="259" spans="1:14" ht="14.25" customHeight="1" x14ac:dyDescent="0.2">
      <c r="A259" s="1914" t="s">
        <v>91</v>
      </c>
      <c r="B259" s="1915"/>
      <c r="C259" s="1915"/>
      <c r="D259" s="1915"/>
      <c r="E259" s="1915"/>
      <c r="F259" s="1915"/>
      <c r="G259" s="1916"/>
      <c r="H259" s="671">
        <f>SUM(H260:H265)</f>
        <v>20261.3</v>
      </c>
      <c r="I259" s="671">
        <f t="shared" ref="I259:J259" si="13">SUM(I260:I265)</f>
        <v>11026.6</v>
      </c>
      <c r="J259" s="1003">
        <f t="shared" si="13"/>
        <v>11414.1</v>
      </c>
      <c r="K259" s="13"/>
      <c r="L259" s="13"/>
      <c r="M259" s="13"/>
      <c r="N259" s="13"/>
    </row>
    <row r="260" spans="1:14" ht="14.25" customHeight="1" x14ac:dyDescent="0.2">
      <c r="A260" s="1917" t="s">
        <v>19</v>
      </c>
      <c r="B260" s="1918"/>
      <c r="C260" s="1918"/>
      <c r="D260" s="1918"/>
      <c r="E260" s="1918"/>
      <c r="F260" s="1918"/>
      <c r="G260" s="1919"/>
      <c r="H260" s="1010">
        <f>SUMIF(G13:G253,"SB",H13:H253)</f>
        <v>7994.3</v>
      </c>
      <c r="I260" s="1010">
        <f>SUMIF(G15:G253,"SB",I15:I253)</f>
        <v>9133.2000000000007</v>
      </c>
      <c r="J260" s="1010">
        <f>SUMIF(G15:G253,"SB",J15:J253)</f>
        <v>9598.7999999999993</v>
      </c>
      <c r="K260" s="13"/>
      <c r="L260" s="13"/>
      <c r="M260" s="13"/>
      <c r="N260" s="13"/>
    </row>
    <row r="261" spans="1:14" ht="14.25" customHeight="1" x14ac:dyDescent="0.2">
      <c r="A261" s="1891" t="s">
        <v>20</v>
      </c>
      <c r="B261" s="1892"/>
      <c r="C261" s="1892"/>
      <c r="D261" s="1892"/>
      <c r="E261" s="1892"/>
      <c r="F261" s="1892"/>
      <c r="G261" s="1893"/>
      <c r="H261" s="53">
        <f>SUMIF(G26:G253,"SB(P)",H26:H253)</f>
        <v>0</v>
      </c>
      <c r="I261" s="53">
        <f>SUMIF(G26:G253,"SB(P)",I26:I253)</f>
        <v>0</v>
      </c>
      <c r="J261" s="53">
        <f>SUMIF(G26:G253,"SB(P)",J26:J253)</f>
        <v>0</v>
      </c>
      <c r="K261" s="13"/>
      <c r="L261" s="13"/>
      <c r="M261" s="13"/>
      <c r="N261" s="13"/>
    </row>
    <row r="262" spans="1:14" ht="14.25" customHeight="1" x14ac:dyDescent="0.2">
      <c r="A262" s="1891" t="s">
        <v>69</v>
      </c>
      <c r="B262" s="1892"/>
      <c r="C262" s="1892"/>
      <c r="D262" s="1892"/>
      <c r="E262" s="1892"/>
      <c r="F262" s="1892"/>
      <c r="G262" s="1893"/>
      <c r="H262" s="1010">
        <f>SUMIF(G26:G253,"SB(VR)",H26:H253)</f>
        <v>1770.6</v>
      </c>
      <c r="I262" s="1010">
        <f>SUMIF(G26:G253,"SB(VR)",I26:I253)</f>
        <v>1770.6</v>
      </c>
      <c r="J262" s="1010">
        <f>SUMIF(G26:G253,"SB(VR)",J26:J253)</f>
        <v>1770.6</v>
      </c>
      <c r="K262" s="13"/>
      <c r="L262" s="13"/>
      <c r="M262" s="13"/>
      <c r="N262" s="13"/>
    </row>
    <row r="263" spans="1:14" ht="14.25" customHeight="1" x14ac:dyDescent="0.2">
      <c r="A263" s="1885" t="s">
        <v>217</v>
      </c>
      <c r="B263" s="1886"/>
      <c r="C263" s="1886"/>
      <c r="D263" s="1886"/>
      <c r="E263" s="1886"/>
      <c r="F263" s="1886"/>
      <c r="G263" s="1887"/>
      <c r="H263" s="53">
        <f>SUMIF(G16:G247,"SB(ES)",H16:H247)</f>
        <v>5830</v>
      </c>
      <c r="I263" s="53">
        <f>SUMIF(G16:G248,"SB(ES)",I16:I248)</f>
        <v>122.8</v>
      </c>
      <c r="J263" s="53">
        <f>SUMIF(G16:G247,"SB(ES)",J16:J247)</f>
        <v>0</v>
      </c>
      <c r="K263" s="13"/>
      <c r="L263" s="13"/>
      <c r="M263" s="13"/>
      <c r="N263" s="13"/>
    </row>
    <row r="264" spans="1:14" ht="14.25" customHeight="1" x14ac:dyDescent="0.2">
      <c r="A264" s="1885" t="s">
        <v>247</v>
      </c>
      <c r="B264" s="1886"/>
      <c r="C264" s="1886"/>
      <c r="D264" s="1886"/>
      <c r="E264" s="1886"/>
      <c r="F264" s="1886"/>
      <c r="G264" s="1887"/>
      <c r="H264" s="53">
        <f>SUMIF(G26:G248,"SB(VB)",H26:H248)</f>
        <v>0</v>
      </c>
      <c r="I264" s="53">
        <f>SUMIF(G26:G249,"SB(VB)",I26:I249)</f>
        <v>0</v>
      </c>
      <c r="J264" s="53">
        <f>SUMIF(G14:G248,"SB(VB)",J14:J248)</f>
        <v>44.7</v>
      </c>
      <c r="K264" s="13"/>
      <c r="L264" s="13"/>
      <c r="M264" s="13"/>
      <c r="N264" s="13"/>
    </row>
    <row r="265" spans="1:14" ht="29.25" customHeight="1" x14ac:dyDescent="0.2">
      <c r="A265" s="1924" t="s">
        <v>306</v>
      </c>
      <c r="B265" s="1925"/>
      <c r="C265" s="1925"/>
      <c r="D265" s="1925"/>
      <c r="E265" s="1925"/>
      <c r="F265" s="1925"/>
      <c r="G265" s="1926"/>
      <c r="H265" s="1010">
        <f>SUMIF(G14:G252,"SB(KPP)",H14:H252)</f>
        <v>4666.3999999999996</v>
      </c>
      <c r="I265" s="1010">
        <f>SUMIF(G24:G254,"SB(KP)",I24:I254)</f>
        <v>0</v>
      </c>
      <c r="J265" s="53">
        <f>SUMIF(G24:G254,"SB(KP)",J24:J254)</f>
        <v>0</v>
      </c>
      <c r="K265" s="13"/>
      <c r="L265" s="13"/>
      <c r="M265" s="13"/>
      <c r="N265" s="13"/>
    </row>
    <row r="266" spans="1:14" ht="15.75" customHeight="1" x14ac:dyDescent="0.2">
      <c r="A266" s="1876" t="s">
        <v>307</v>
      </c>
      <c r="B266" s="1927"/>
      <c r="C266" s="1927"/>
      <c r="D266" s="1927"/>
      <c r="E266" s="1927"/>
      <c r="F266" s="1927"/>
      <c r="G266" s="1928"/>
      <c r="H266" s="253">
        <f>SUMIF(G15:G253,"SB(KP)",H15:H253)</f>
        <v>0</v>
      </c>
      <c r="I266" s="253">
        <f>SUMIF(G13:G253,"SB(KPP)",I13:I253)</f>
        <v>5191.6000000000004</v>
      </c>
      <c r="J266" s="253">
        <f>SUMIF(G15:G253,"SB(KPP)",J15:J253)</f>
        <v>4936.7</v>
      </c>
      <c r="K266" s="13"/>
      <c r="L266" s="13"/>
      <c r="M266" s="13"/>
      <c r="N266" s="13"/>
    </row>
    <row r="267" spans="1:14" ht="14.25" customHeight="1" x14ac:dyDescent="0.2">
      <c r="A267" s="1929" t="s">
        <v>96</v>
      </c>
      <c r="B267" s="1877"/>
      <c r="C267" s="1877"/>
      <c r="D267" s="1877"/>
      <c r="E267" s="1877"/>
      <c r="F267" s="1877"/>
      <c r="G267" s="1878"/>
      <c r="H267" s="253">
        <f>SUMIF(G26:G252,"SB(VRL)",H26:H252)</f>
        <v>901</v>
      </c>
      <c r="I267" s="253">
        <f>SUMIF(G14:G252,"SB(VRL)",I14:I252)</f>
        <v>0</v>
      </c>
      <c r="J267" s="253">
        <f>SUMIF(G14:G252,"SB(VRL)",J14:J252)</f>
        <v>0</v>
      </c>
      <c r="K267" s="13"/>
      <c r="L267" s="13"/>
      <c r="M267" s="13"/>
      <c r="N267" s="13"/>
    </row>
    <row r="268" spans="1:14" ht="14.25" customHeight="1" x14ac:dyDescent="0.2">
      <c r="A268" s="1876" t="s">
        <v>97</v>
      </c>
      <c r="B268" s="1877"/>
      <c r="C268" s="1877"/>
      <c r="D268" s="1877"/>
      <c r="E268" s="1877"/>
      <c r="F268" s="1877"/>
      <c r="G268" s="1878"/>
      <c r="H268" s="253">
        <f>SUMIF(G14:G253,"SB(ŽPL)",H14:H253)</f>
        <v>480.6</v>
      </c>
      <c r="I268" s="253">
        <f>SUMIF(G26:G253,"SB(ŽPL)",I26:I253)</f>
        <v>0</v>
      </c>
      <c r="J268" s="253">
        <f>SUMIF(G26:G253,"SB(ŽPL)",J26:J253)</f>
        <v>0</v>
      </c>
      <c r="K268" s="13"/>
      <c r="L268" s="13"/>
      <c r="M268" s="13"/>
      <c r="N268" s="13"/>
    </row>
    <row r="269" spans="1:14" ht="14.25" customHeight="1" x14ac:dyDescent="0.2">
      <c r="A269" s="1879" t="s">
        <v>164</v>
      </c>
      <c r="B269" s="1880"/>
      <c r="C269" s="1880"/>
      <c r="D269" s="1880"/>
      <c r="E269" s="1880"/>
      <c r="F269" s="1880"/>
      <c r="G269" s="1881"/>
      <c r="H269" s="253">
        <f>SUMIF(G14:G253,"SB(L)",H14:H253)</f>
        <v>3135.5</v>
      </c>
      <c r="I269" s="253">
        <f>SUMIF(G14:G253,"SB(L)",I14:I253)</f>
        <v>0</v>
      </c>
      <c r="J269" s="253">
        <f>SUMIF(G14:G253,"SB(L)",J14:J253)</f>
        <v>0</v>
      </c>
      <c r="K269" s="13"/>
      <c r="L269" s="13"/>
      <c r="M269" s="13"/>
      <c r="N269" s="13"/>
    </row>
    <row r="270" spans="1:14" ht="14.25" customHeight="1" x14ac:dyDescent="0.2">
      <c r="A270" s="1882" t="s">
        <v>15</v>
      </c>
      <c r="B270" s="1883"/>
      <c r="C270" s="1883"/>
      <c r="D270" s="1883"/>
      <c r="E270" s="1883"/>
      <c r="F270" s="1883"/>
      <c r="G270" s="1884"/>
      <c r="H270" s="254">
        <f>H273+H274+H275+H271+H272</f>
        <v>2707.9</v>
      </c>
      <c r="I270" s="254">
        <f>I273+I274+I275+I271+I272</f>
        <v>18352</v>
      </c>
      <c r="J270" s="254">
        <f t="shared" ref="J270" si="14">J273+J274+J275+J271+J272</f>
        <v>11490</v>
      </c>
      <c r="K270" s="13"/>
      <c r="L270" s="13"/>
      <c r="M270" s="13"/>
      <c r="N270" s="13"/>
    </row>
    <row r="271" spans="1:14" ht="14.25" customHeight="1" x14ac:dyDescent="0.2">
      <c r="A271" s="1885" t="s">
        <v>21</v>
      </c>
      <c r="B271" s="1886"/>
      <c r="C271" s="1886"/>
      <c r="D271" s="1886"/>
      <c r="E271" s="1886"/>
      <c r="F271" s="1886"/>
      <c r="G271" s="1887"/>
      <c r="H271" s="53">
        <f>SUMIF(G12:G253,"ES",H12:H253)</f>
        <v>919.1</v>
      </c>
      <c r="I271" s="53">
        <f>SUMIF(G12:G253,"ES",I12:I253)</f>
        <v>1717</v>
      </c>
      <c r="J271" s="53">
        <f>SUMIF(G12:G253,"ES",J12:J253)</f>
        <v>1880.9</v>
      </c>
      <c r="K271" s="13"/>
      <c r="L271" s="13"/>
      <c r="M271" s="13"/>
      <c r="N271" s="13"/>
    </row>
    <row r="272" spans="1:14" ht="14.25" customHeight="1" x14ac:dyDescent="0.2">
      <c r="A272" s="1888" t="s">
        <v>305</v>
      </c>
      <c r="B272" s="1889"/>
      <c r="C272" s="1889"/>
      <c r="D272" s="1889"/>
      <c r="E272" s="1889"/>
      <c r="F272" s="1889"/>
      <c r="G272" s="1890"/>
      <c r="H272" s="672">
        <f>SUMIF(G15:G252,"KPP(VIP)",H15:H252)</f>
        <v>0</v>
      </c>
      <c r="I272" s="672">
        <f>SUMIF(G15:G252,"KPP(VIP)",I15:I252)</f>
        <v>10000</v>
      </c>
      <c r="J272" s="1002">
        <f>SUMIF(G15:G252,"KPP(VIP)",J15:J252)</f>
        <v>0</v>
      </c>
      <c r="K272" s="13"/>
      <c r="L272" s="13"/>
      <c r="M272" s="13"/>
      <c r="N272" s="13"/>
    </row>
    <row r="273" spans="1:14" ht="14.25" customHeight="1" x14ac:dyDescent="0.2">
      <c r="A273" s="1888" t="s">
        <v>22</v>
      </c>
      <c r="B273" s="1889"/>
      <c r="C273" s="1889"/>
      <c r="D273" s="1889"/>
      <c r="E273" s="1889"/>
      <c r="F273" s="1889"/>
      <c r="G273" s="1890"/>
      <c r="H273" s="53">
        <f>SUMIF(G14:G253,"KVJUD",H14:H253)</f>
        <v>1662.4</v>
      </c>
      <c r="I273" s="53">
        <f>SUMIF(G16:G253,"KVJUD",I16:I253)</f>
        <v>1500</v>
      </c>
      <c r="J273" s="53">
        <f>SUMIF(G16:G253,"KVJUD",J16:J253)</f>
        <v>1000</v>
      </c>
      <c r="K273" s="47"/>
      <c r="L273" s="47"/>
      <c r="M273" s="47"/>
      <c r="N273" s="47"/>
    </row>
    <row r="274" spans="1:14" ht="14.25" customHeight="1" x14ac:dyDescent="0.2">
      <c r="A274" s="1891" t="s">
        <v>23</v>
      </c>
      <c r="B274" s="1892"/>
      <c r="C274" s="1892"/>
      <c r="D274" s="1892"/>
      <c r="E274" s="1892"/>
      <c r="F274" s="1892"/>
      <c r="G274" s="1893"/>
      <c r="H274" s="53">
        <f>SUMIF(G26:G253,"LRVB",H26:H253)</f>
        <v>0</v>
      </c>
      <c r="I274" s="53">
        <f>SUMIF(G26:G253,"LRVB",I26:I253)</f>
        <v>5000</v>
      </c>
      <c r="J274" s="53">
        <f>SUMIF(G26:G253,"LRVB",J26:J253)</f>
        <v>8609.1</v>
      </c>
      <c r="K274" s="47"/>
      <c r="L274" s="47"/>
      <c r="M274" s="47"/>
      <c r="N274" s="47"/>
    </row>
    <row r="275" spans="1:14" ht="14.25" customHeight="1" x14ac:dyDescent="0.2">
      <c r="A275" s="1859" t="s">
        <v>24</v>
      </c>
      <c r="B275" s="1860"/>
      <c r="C275" s="1860"/>
      <c r="D275" s="1860"/>
      <c r="E275" s="1860"/>
      <c r="F275" s="1860"/>
      <c r="G275" s="1861"/>
      <c r="H275" s="53">
        <f>SUMIF(G16:G253,"Kt",H16:H253)</f>
        <v>126.4</v>
      </c>
      <c r="I275" s="53">
        <f>SUMIF(G16:G253,"Kt",I16:I253)</f>
        <v>135</v>
      </c>
      <c r="J275" s="53">
        <f>SUMIF(G16:G253,"Kt",J16:J253)</f>
        <v>0</v>
      </c>
      <c r="K275" s="47"/>
      <c r="L275" s="47"/>
      <c r="M275" s="47"/>
      <c r="N275" s="47"/>
    </row>
    <row r="276" spans="1:14" ht="14.25" customHeight="1" thickBot="1" x14ac:dyDescent="0.25">
      <c r="A276" s="1862" t="s">
        <v>16</v>
      </c>
      <c r="B276" s="1863"/>
      <c r="C276" s="1863"/>
      <c r="D276" s="1863"/>
      <c r="E276" s="1863"/>
      <c r="F276" s="1863"/>
      <c r="G276" s="1864"/>
      <c r="H276" s="255">
        <f>SUM(H258,H270)</f>
        <v>27486.3</v>
      </c>
      <c r="I276" s="255">
        <f>SUM(I258,I270)</f>
        <v>34570.199999999997</v>
      </c>
      <c r="J276" s="255">
        <f>SUM(J258,J270)</f>
        <v>27840.799999999999</v>
      </c>
      <c r="K276" s="47"/>
      <c r="L276" s="47"/>
      <c r="M276" s="47"/>
      <c r="N276" s="47"/>
    </row>
    <row r="277" spans="1:14" x14ac:dyDescent="0.2">
      <c r="G277" s="629"/>
      <c r="H277" s="630"/>
      <c r="I277" s="630"/>
      <c r="J277" s="630"/>
      <c r="K277" s="4"/>
    </row>
    <row r="278" spans="1:14" x14ac:dyDescent="0.2">
      <c r="E278" s="1643" t="s">
        <v>319</v>
      </c>
      <c r="F278" s="1643"/>
      <c r="G278" s="1643"/>
      <c r="H278" s="1643"/>
      <c r="I278" s="1643"/>
      <c r="J278" s="1643"/>
      <c r="K278" s="4"/>
    </row>
    <row r="279" spans="1:14" x14ac:dyDescent="0.2">
      <c r="G279" s="629"/>
      <c r="H279" s="651"/>
      <c r="I279" s="651"/>
      <c r="J279" s="651"/>
      <c r="K279" s="4"/>
    </row>
    <row r="280" spans="1:14" x14ac:dyDescent="0.2">
      <c r="A280" s="1"/>
      <c r="B280" s="1"/>
      <c r="C280" s="1"/>
      <c r="D280" s="1"/>
      <c r="E280" s="1"/>
      <c r="F280" s="1"/>
      <c r="G280" s="1"/>
      <c r="H280" s="47"/>
      <c r="I280" s="47"/>
      <c r="J280" s="47"/>
      <c r="K280" s="1"/>
      <c r="L280" s="1"/>
      <c r="M280" s="1"/>
      <c r="N280" s="1"/>
    </row>
    <row r="281" spans="1:14" x14ac:dyDescent="0.2">
      <c r="A281" s="1"/>
      <c r="B281" s="1"/>
      <c r="C281" s="1"/>
      <c r="D281" s="1"/>
      <c r="E281" s="1"/>
      <c r="F281" s="1"/>
      <c r="G281" s="1"/>
      <c r="H281" s="47"/>
      <c r="I281" s="47"/>
      <c r="J281" s="47"/>
      <c r="K281" s="1"/>
      <c r="L281" s="1"/>
      <c r="M281" s="1"/>
      <c r="N281" s="1"/>
    </row>
    <row r="282" spans="1:14" x14ac:dyDescent="0.2">
      <c r="I282" s="13"/>
      <c r="J282" s="13"/>
    </row>
  </sheetData>
  <mergeCells count="264">
    <mergeCell ref="A274:G274"/>
    <mergeCell ref="A259:G259"/>
    <mergeCell ref="A260:G260"/>
    <mergeCell ref="A261:G261"/>
    <mergeCell ref="D238:D239"/>
    <mergeCell ref="E241:E243"/>
    <mergeCell ref="F241:F243"/>
    <mergeCell ref="D244:D245"/>
    <mergeCell ref="A227:A228"/>
    <mergeCell ref="B227:B228"/>
    <mergeCell ref="C227:C228"/>
    <mergeCell ref="D227:D228"/>
    <mergeCell ref="A265:G265"/>
    <mergeCell ref="A266:G266"/>
    <mergeCell ref="A267:G267"/>
    <mergeCell ref="A256:G256"/>
    <mergeCell ref="A257:G257"/>
    <mergeCell ref="A258:G258"/>
    <mergeCell ref="A183:A184"/>
    <mergeCell ref="B253:G253"/>
    <mergeCell ref="A229:A233"/>
    <mergeCell ref="D223:D226"/>
    <mergeCell ref="F198:F200"/>
    <mergeCell ref="C210:C216"/>
    <mergeCell ref="C218:C222"/>
    <mergeCell ref="A173:A175"/>
    <mergeCell ref="B173:B175"/>
    <mergeCell ref="C173:C175"/>
    <mergeCell ref="D173:D175"/>
    <mergeCell ref="E173:E175"/>
    <mergeCell ref="A191:A193"/>
    <mergeCell ref="B191:B193"/>
    <mergeCell ref="C191:C193"/>
    <mergeCell ref="D191:D193"/>
    <mergeCell ref="E191:E193"/>
    <mergeCell ref="F191:F193"/>
    <mergeCell ref="A194:A196"/>
    <mergeCell ref="B194:B196"/>
    <mergeCell ref="C194:C196"/>
    <mergeCell ref="D194:D196"/>
    <mergeCell ref="E194:E196"/>
    <mergeCell ref="F194:F196"/>
    <mergeCell ref="K253:N253"/>
    <mergeCell ref="D247:D250"/>
    <mergeCell ref="E247:E250"/>
    <mergeCell ref="F247:F250"/>
    <mergeCell ref="C251:G251"/>
    <mergeCell ref="A275:G275"/>
    <mergeCell ref="A276:G276"/>
    <mergeCell ref="K1:N1"/>
    <mergeCell ref="A5:N5"/>
    <mergeCell ref="A6:N6"/>
    <mergeCell ref="A7:N7"/>
    <mergeCell ref="K8:N8"/>
    <mergeCell ref="D16:D18"/>
    <mergeCell ref="E16:E18"/>
    <mergeCell ref="A268:G268"/>
    <mergeCell ref="A269:G269"/>
    <mergeCell ref="A270:G270"/>
    <mergeCell ref="A271:G271"/>
    <mergeCell ref="A272:G272"/>
    <mergeCell ref="A273:G273"/>
    <mergeCell ref="A262:G262"/>
    <mergeCell ref="A263:G263"/>
    <mergeCell ref="A264:G264"/>
    <mergeCell ref="D234:D235"/>
    <mergeCell ref="K234:K235"/>
    <mergeCell ref="D236:D237"/>
    <mergeCell ref="E229:E233"/>
    <mergeCell ref="F229:F233"/>
    <mergeCell ref="K251:N251"/>
    <mergeCell ref="B252:G252"/>
    <mergeCell ref="K252:N252"/>
    <mergeCell ref="K227:K228"/>
    <mergeCell ref="B229:B233"/>
    <mergeCell ref="C229:C233"/>
    <mergeCell ref="D229:D230"/>
    <mergeCell ref="K198:K199"/>
    <mergeCell ref="C202:G202"/>
    <mergeCell ref="K202:N202"/>
    <mergeCell ref="C203:N203"/>
    <mergeCell ref="A198:A200"/>
    <mergeCell ref="B198:B200"/>
    <mergeCell ref="C198:C200"/>
    <mergeCell ref="D198:D200"/>
    <mergeCell ref="E198:E200"/>
    <mergeCell ref="K186:K187"/>
    <mergeCell ref="A188:A190"/>
    <mergeCell ref="B188:B190"/>
    <mergeCell ref="C188:C190"/>
    <mergeCell ref="D188:D190"/>
    <mergeCell ref="E188:E190"/>
    <mergeCell ref="F188:F190"/>
    <mergeCell ref="A185:A186"/>
    <mergeCell ref="B185:B186"/>
    <mergeCell ref="C185:C186"/>
    <mergeCell ref="D185:D187"/>
    <mergeCell ref="E185:E187"/>
    <mergeCell ref="K160:K161"/>
    <mergeCell ref="K163:K164"/>
    <mergeCell ref="D167:D168"/>
    <mergeCell ref="E157:E159"/>
    <mergeCell ref="K167:K168"/>
    <mergeCell ref="B183:B184"/>
    <mergeCell ref="C183:C184"/>
    <mergeCell ref="D183:D184"/>
    <mergeCell ref="E183:E184"/>
    <mergeCell ref="D170:D171"/>
    <mergeCell ref="K170:K171"/>
    <mergeCell ref="F173:F175"/>
    <mergeCell ref="D176:D180"/>
    <mergeCell ref="E176:E180"/>
    <mergeCell ref="K146:K148"/>
    <mergeCell ref="C150:G150"/>
    <mergeCell ref="K150:N150"/>
    <mergeCell ref="C151:N151"/>
    <mergeCell ref="A146:A149"/>
    <mergeCell ref="B146:B149"/>
    <mergeCell ref="C146:C149"/>
    <mergeCell ref="D146:D148"/>
    <mergeCell ref="D134:D135"/>
    <mergeCell ref="E138:E139"/>
    <mergeCell ref="D141:D143"/>
    <mergeCell ref="F146:F149"/>
    <mergeCell ref="D138:D140"/>
    <mergeCell ref="D132:D133"/>
    <mergeCell ref="E132:E133"/>
    <mergeCell ref="F132:F133"/>
    <mergeCell ref="L124:L125"/>
    <mergeCell ref="M124:M125"/>
    <mergeCell ref="N124:N125"/>
    <mergeCell ref="A126:A128"/>
    <mergeCell ref="B126:B128"/>
    <mergeCell ref="C126:C128"/>
    <mergeCell ref="D126:D128"/>
    <mergeCell ref="E126:E128"/>
    <mergeCell ref="F126:F128"/>
    <mergeCell ref="A132:A133"/>
    <mergeCell ref="B132:B133"/>
    <mergeCell ref="C132:C133"/>
    <mergeCell ref="D122:D123"/>
    <mergeCell ref="K122:K123"/>
    <mergeCell ref="A124:A125"/>
    <mergeCell ref="B124:B125"/>
    <mergeCell ref="C124:C125"/>
    <mergeCell ref="D124:D125"/>
    <mergeCell ref="E124:E125"/>
    <mergeCell ref="F124:F125"/>
    <mergeCell ref="K124:K125"/>
    <mergeCell ref="C106:G106"/>
    <mergeCell ref="C107:N107"/>
    <mergeCell ref="D113:D114"/>
    <mergeCell ref="D118:D119"/>
    <mergeCell ref="K118:K119"/>
    <mergeCell ref="D97:D99"/>
    <mergeCell ref="E97:E99"/>
    <mergeCell ref="K98:K99"/>
    <mergeCell ref="K102:K104"/>
    <mergeCell ref="E108:E111"/>
    <mergeCell ref="D91:D92"/>
    <mergeCell ref="E91:E92"/>
    <mergeCell ref="D93:D94"/>
    <mergeCell ref="M93:M94"/>
    <mergeCell ref="K81:K82"/>
    <mergeCell ref="D87:D88"/>
    <mergeCell ref="D89:D90"/>
    <mergeCell ref="A80:A82"/>
    <mergeCell ref="B80:B82"/>
    <mergeCell ref="C80:C82"/>
    <mergeCell ref="D80:D82"/>
    <mergeCell ref="E80:E82"/>
    <mergeCell ref="F80:F82"/>
    <mergeCell ref="K89:K90"/>
    <mergeCell ref="E84:E86"/>
    <mergeCell ref="D71:D72"/>
    <mergeCell ref="E71:E72"/>
    <mergeCell ref="F71:F72"/>
    <mergeCell ref="K71:K72"/>
    <mergeCell ref="D78:D79"/>
    <mergeCell ref="E78:E79"/>
    <mergeCell ref="F78:F79"/>
    <mergeCell ref="F64:F67"/>
    <mergeCell ref="K64:K65"/>
    <mergeCell ref="D68:D70"/>
    <mergeCell ref="F68:F70"/>
    <mergeCell ref="D74:D75"/>
    <mergeCell ref="E74:E77"/>
    <mergeCell ref="K78:K79"/>
    <mergeCell ref="A64:A67"/>
    <mergeCell ref="B64:B67"/>
    <mergeCell ref="C64:C67"/>
    <mergeCell ref="D64:D65"/>
    <mergeCell ref="E64:E67"/>
    <mergeCell ref="D54:D55"/>
    <mergeCell ref="E54:E55"/>
    <mergeCell ref="F54:F55"/>
    <mergeCell ref="D56:D57"/>
    <mergeCell ref="E56:E57"/>
    <mergeCell ref="F56:F57"/>
    <mergeCell ref="D59:D61"/>
    <mergeCell ref="E59:E63"/>
    <mergeCell ref="D40:D41"/>
    <mergeCell ref="F40:F41"/>
    <mergeCell ref="D32:D34"/>
    <mergeCell ref="K32:K33"/>
    <mergeCell ref="E33:E34"/>
    <mergeCell ref="D35:D36"/>
    <mergeCell ref="K46:K47"/>
    <mergeCell ref="A51:A53"/>
    <mergeCell ref="B51:B53"/>
    <mergeCell ref="C51:C53"/>
    <mergeCell ref="D51:D53"/>
    <mergeCell ref="F51:F53"/>
    <mergeCell ref="K51:K52"/>
    <mergeCell ref="A46:A50"/>
    <mergeCell ref="B46:B50"/>
    <mergeCell ref="C46:C50"/>
    <mergeCell ref="D46:D50"/>
    <mergeCell ref="F46:F50"/>
    <mergeCell ref="E43:E45"/>
    <mergeCell ref="D43:D45"/>
    <mergeCell ref="A37:A39"/>
    <mergeCell ref="B37:B39"/>
    <mergeCell ref="C37:C39"/>
    <mergeCell ref="D37:D39"/>
    <mergeCell ref="D23:D25"/>
    <mergeCell ref="K23:K24"/>
    <mergeCell ref="E24:E25"/>
    <mergeCell ref="E27:E29"/>
    <mergeCell ref="K28:K29"/>
    <mergeCell ref="A30:A31"/>
    <mergeCell ref="B30:B31"/>
    <mergeCell ref="C30:C31"/>
    <mergeCell ref="D30:D31"/>
    <mergeCell ref="F30:F31"/>
    <mergeCell ref="A26:A29"/>
    <mergeCell ref="B26:B29"/>
    <mergeCell ref="C26:C29"/>
    <mergeCell ref="D26:D29"/>
    <mergeCell ref="F26:F29"/>
    <mergeCell ref="E278:J278"/>
    <mergeCell ref="D84:D86"/>
    <mergeCell ref="D152:D156"/>
    <mergeCell ref="D204:D208"/>
    <mergeCell ref="I9:I11"/>
    <mergeCell ref="J9:J11"/>
    <mergeCell ref="K9:N9"/>
    <mergeCell ref="K10:K11"/>
    <mergeCell ref="L10:N10"/>
    <mergeCell ref="A12:N12"/>
    <mergeCell ref="E9:E11"/>
    <mergeCell ref="F9:F11"/>
    <mergeCell ref="G9:G11"/>
    <mergeCell ref="H9:H11"/>
    <mergeCell ref="A9:A11"/>
    <mergeCell ref="B9:B11"/>
    <mergeCell ref="C9:C11"/>
    <mergeCell ref="D9:D11"/>
    <mergeCell ref="F37:F39"/>
    <mergeCell ref="K37:K38"/>
    <mergeCell ref="E38:E39"/>
    <mergeCell ref="A13:N13"/>
    <mergeCell ref="B14:N14"/>
    <mergeCell ref="C15:N15"/>
  </mergeCells>
  <printOptions horizontalCentered="1"/>
  <pageMargins left="0.59055118110236227" right="0.19685039370078741" top="0.59055118110236227" bottom="0.39370078740157483" header="0" footer="0"/>
  <pageSetup paperSize="9" scale="69" orientation="portrait" r:id="rId1"/>
  <headerFooter alignWithMargins="0"/>
  <rowBreaks count="1" manualBreakCount="1">
    <brk id="58"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A283"/>
  <sheetViews>
    <sheetView zoomScaleNormal="100" zoomScaleSheetLayoutView="100" workbookViewId="0"/>
  </sheetViews>
  <sheetFormatPr defaultRowHeight="12.75" x14ac:dyDescent="0.2"/>
  <cols>
    <col min="1" max="3" width="2.7109375" style="2" customWidth="1"/>
    <col min="4" max="4" width="36.28515625" style="2" customWidth="1"/>
    <col min="5" max="5" width="3.28515625" style="7" customWidth="1"/>
    <col min="6" max="6" width="3" style="10" customWidth="1"/>
    <col min="7" max="7" width="7.85546875" style="3" customWidth="1"/>
    <col min="8" max="16" width="8.7109375" style="2" customWidth="1"/>
    <col min="17" max="17" width="39.85546875" style="2" customWidth="1"/>
    <col min="18" max="20" width="4.7109375" style="2" customWidth="1"/>
    <col min="21" max="21" width="38.42578125" style="2" customWidth="1"/>
    <col min="22" max="16384" width="9.140625" style="1"/>
  </cols>
  <sheetData>
    <row r="1" spans="1:53" ht="18" customHeight="1" x14ac:dyDescent="0.2">
      <c r="F1" s="1333"/>
      <c r="O1" s="594"/>
      <c r="P1" s="595"/>
      <c r="Q1" s="595"/>
      <c r="R1" s="595"/>
      <c r="S1" s="596"/>
      <c r="T1" s="1"/>
      <c r="U1" s="1334" t="s">
        <v>218</v>
      </c>
    </row>
    <row r="2" spans="1:53" s="146" customFormat="1" ht="12.75" customHeight="1" x14ac:dyDescent="0.25">
      <c r="B2" s="485"/>
      <c r="C2" s="485"/>
      <c r="D2" s="485"/>
      <c r="E2" s="485"/>
      <c r="Q2" s="1039"/>
      <c r="R2" s="1039"/>
      <c r="S2" s="1039"/>
      <c r="T2" s="1039"/>
      <c r="U2" s="1039"/>
      <c r="V2" s="485"/>
      <c r="W2" s="485"/>
      <c r="X2" s="485"/>
      <c r="Y2" s="485"/>
      <c r="Z2" s="485"/>
      <c r="AA2" s="485"/>
      <c r="AB2" s="485"/>
      <c r="AC2" s="485"/>
      <c r="AD2" s="485"/>
      <c r="AE2" s="485"/>
      <c r="AF2" s="485"/>
      <c r="AG2" s="485"/>
      <c r="AH2" s="485"/>
      <c r="AI2" s="485"/>
      <c r="AJ2" s="485"/>
      <c r="AK2" s="485"/>
      <c r="AL2" s="485"/>
      <c r="AM2" s="485"/>
      <c r="AN2" s="485"/>
      <c r="AO2" s="485"/>
      <c r="AP2" s="485"/>
      <c r="AQ2" s="485"/>
      <c r="AR2" s="485"/>
      <c r="AS2" s="485"/>
      <c r="AT2" s="485"/>
      <c r="AU2" s="485"/>
      <c r="AV2" s="485"/>
      <c r="AW2" s="485"/>
      <c r="AX2" s="485"/>
      <c r="AY2" s="485"/>
      <c r="AZ2" s="485"/>
      <c r="BA2" s="485"/>
    </row>
    <row r="3" spans="1:53" s="146" customFormat="1" ht="12" customHeight="1" x14ac:dyDescent="0.25">
      <c r="B3" s="485"/>
      <c r="C3" s="485"/>
      <c r="D3" s="485"/>
      <c r="E3" s="485"/>
      <c r="Q3" s="1039"/>
      <c r="R3" s="1039"/>
      <c r="S3" s="1039"/>
      <c r="T3" s="1039"/>
      <c r="U3" s="1039"/>
      <c r="V3" s="485"/>
      <c r="W3" s="485"/>
      <c r="X3" s="485"/>
      <c r="Y3" s="485"/>
      <c r="Z3" s="485"/>
      <c r="AA3" s="485"/>
      <c r="AB3" s="485"/>
      <c r="AC3" s="485"/>
      <c r="AD3" s="485"/>
      <c r="AE3" s="485"/>
      <c r="AF3" s="485"/>
      <c r="AG3" s="485"/>
      <c r="AH3" s="485"/>
      <c r="AI3" s="485"/>
      <c r="AJ3" s="485"/>
      <c r="AK3" s="485"/>
      <c r="AL3" s="485"/>
      <c r="AM3" s="485"/>
      <c r="AN3" s="485"/>
      <c r="AO3" s="485"/>
      <c r="AP3" s="485"/>
      <c r="AQ3" s="485"/>
      <c r="AR3" s="485"/>
      <c r="AS3" s="485"/>
      <c r="AT3" s="485"/>
      <c r="AU3" s="485"/>
      <c r="AV3" s="485"/>
      <c r="AW3" s="485"/>
      <c r="AX3" s="485"/>
      <c r="AY3" s="485"/>
      <c r="AZ3" s="485"/>
      <c r="BA3" s="485"/>
    </row>
    <row r="4" spans="1:53" s="35" customFormat="1" ht="15" x14ac:dyDescent="0.2">
      <c r="A4" s="1866" t="s">
        <v>316</v>
      </c>
      <c r="B4" s="1866"/>
      <c r="C4" s="1866"/>
      <c r="D4" s="1866"/>
      <c r="E4" s="1866"/>
      <c r="F4" s="1866"/>
      <c r="G4" s="1866"/>
      <c r="H4" s="1866"/>
      <c r="I4" s="1866"/>
      <c r="J4" s="1866"/>
      <c r="K4" s="1866"/>
      <c r="L4" s="1866"/>
      <c r="M4" s="1866"/>
      <c r="N4" s="1866"/>
      <c r="O4" s="1866"/>
      <c r="P4" s="1866"/>
      <c r="Q4" s="1866"/>
      <c r="R4" s="1866"/>
      <c r="S4" s="1866"/>
      <c r="T4" s="1866"/>
      <c r="U4" s="1866"/>
      <c r="V4" s="650"/>
      <c r="W4" s="650"/>
      <c r="X4" s="650"/>
      <c r="Y4" s="650"/>
      <c r="Z4" s="650"/>
      <c r="AA4" s="650"/>
      <c r="AB4" s="650"/>
      <c r="AC4" s="650"/>
      <c r="AD4" s="650"/>
      <c r="AE4" s="650"/>
      <c r="AF4" s="650"/>
      <c r="AG4" s="650"/>
      <c r="AH4" s="650"/>
      <c r="AI4" s="650"/>
      <c r="AJ4" s="650"/>
      <c r="AK4" s="650"/>
      <c r="AL4" s="650"/>
      <c r="AM4" s="650"/>
      <c r="AN4" s="650"/>
      <c r="AO4" s="650"/>
      <c r="AP4" s="650"/>
      <c r="AQ4" s="650"/>
      <c r="AR4" s="650"/>
      <c r="AS4" s="650"/>
      <c r="AT4" s="650"/>
      <c r="AU4" s="650"/>
      <c r="AV4" s="650"/>
      <c r="AW4" s="650"/>
      <c r="AX4" s="650"/>
      <c r="AY4" s="650"/>
      <c r="AZ4" s="650"/>
      <c r="BA4" s="650"/>
    </row>
    <row r="5" spans="1:53" ht="15.75" customHeight="1" x14ac:dyDescent="0.2">
      <c r="A5" s="1867" t="s">
        <v>29</v>
      </c>
      <c r="B5" s="1867"/>
      <c r="C5" s="1867"/>
      <c r="D5" s="1867"/>
      <c r="E5" s="1867"/>
      <c r="F5" s="1867"/>
      <c r="G5" s="1867"/>
      <c r="H5" s="1867"/>
      <c r="I5" s="1867"/>
      <c r="J5" s="1867"/>
      <c r="K5" s="1867"/>
      <c r="L5" s="1867"/>
      <c r="M5" s="1867"/>
      <c r="N5" s="1867"/>
      <c r="O5" s="1867"/>
      <c r="P5" s="1867"/>
      <c r="Q5" s="1867"/>
      <c r="R5" s="1867"/>
      <c r="S5" s="1867"/>
      <c r="T5" s="1867"/>
      <c r="U5" s="1867"/>
      <c r="V5" s="634"/>
      <c r="W5" s="634"/>
      <c r="X5" s="634"/>
      <c r="Y5" s="634"/>
      <c r="Z5" s="634"/>
      <c r="AA5" s="634"/>
      <c r="AB5" s="634"/>
      <c r="AC5" s="634"/>
      <c r="AD5" s="634"/>
      <c r="AE5" s="634"/>
      <c r="AF5" s="634"/>
      <c r="AG5" s="634"/>
      <c r="AH5" s="634"/>
      <c r="AI5" s="634"/>
      <c r="AJ5" s="634"/>
      <c r="AK5" s="634"/>
      <c r="AL5" s="634"/>
      <c r="AM5" s="634"/>
      <c r="AN5" s="634"/>
      <c r="AO5" s="634"/>
      <c r="AP5" s="634"/>
      <c r="AQ5" s="634"/>
      <c r="AR5" s="634"/>
      <c r="AS5" s="634"/>
      <c r="AT5" s="634"/>
      <c r="AU5" s="634"/>
      <c r="AV5" s="634"/>
      <c r="AW5" s="634"/>
      <c r="AX5" s="634"/>
      <c r="AY5" s="634"/>
      <c r="AZ5" s="634"/>
      <c r="BA5" s="634"/>
    </row>
    <row r="6" spans="1:53" ht="15" customHeight="1" x14ac:dyDescent="0.2">
      <c r="A6" s="1868" t="s">
        <v>17</v>
      </c>
      <c r="B6" s="1868"/>
      <c r="C6" s="1868"/>
      <c r="D6" s="1868"/>
      <c r="E6" s="1868"/>
      <c r="F6" s="1868"/>
      <c r="G6" s="1868"/>
      <c r="H6" s="1868"/>
      <c r="I6" s="1868"/>
      <c r="J6" s="1868"/>
      <c r="K6" s="1868"/>
      <c r="L6" s="1868"/>
      <c r="M6" s="1868"/>
      <c r="N6" s="1868"/>
      <c r="O6" s="1868"/>
      <c r="P6" s="1868"/>
      <c r="Q6" s="1868"/>
      <c r="R6" s="1868"/>
      <c r="S6" s="1868"/>
      <c r="T6" s="1868"/>
      <c r="U6" s="1868"/>
      <c r="V6" s="634"/>
      <c r="W6" s="634"/>
      <c r="X6" s="634"/>
      <c r="Y6" s="634"/>
      <c r="Z6" s="634"/>
      <c r="AA6" s="634"/>
      <c r="AB6" s="634"/>
      <c r="AC6" s="634"/>
      <c r="AD6" s="634"/>
      <c r="AE6" s="634"/>
      <c r="AF6" s="634"/>
      <c r="AG6" s="634"/>
      <c r="AH6" s="634"/>
      <c r="AI6" s="634"/>
      <c r="AJ6" s="634"/>
      <c r="AK6" s="634"/>
      <c r="AL6" s="634"/>
      <c r="AM6" s="634"/>
      <c r="AN6" s="634"/>
      <c r="AO6" s="634"/>
      <c r="AP6" s="634"/>
      <c r="AQ6" s="634"/>
      <c r="AR6" s="634"/>
      <c r="AS6" s="634"/>
      <c r="AT6" s="634"/>
      <c r="AU6" s="634"/>
      <c r="AV6" s="634"/>
      <c r="AW6" s="634"/>
      <c r="AX6" s="634"/>
      <c r="AY6" s="634"/>
      <c r="AZ6" s="634"/>
      <c r="BA6" s="634"/>
    </row>
    <row r="7" spans="1:53" ht="14.25" customHeight="1" thickBot="1" x14ac:dyDescent="0.25">
      <c r="A7" s="14"/>
      <c r="B7" s="14"/>
      <c r="C7" s="484"/>
      <c r="D7" s="14"/>
      <c r="E7" s="15"/>
      <c r="F7" s="16"/>
      <c r="G7" s="221"/>
      <c r="H7" s="14"/>
      <c r="I7" s="14"/>
      <c r="J7" s="14"/>
      <c r="K7" s="14"/>
      <c r="L7" s="14"/>
      <c r="M7" s="14"/>
      <c r="N7" s="14"/>
      <c r="O7" s="14"/>
      <c r="P7" s="14"/>
      <c r="Q7" s="1869" t="s">
        <v>109</v>
      </c>
      <c r="R7" s="1869"/>
      <c r="S7" s="1869"/>
      <c r="T7" s="1869"/>
      <c r="U7" s="1870"/>
      <c r="V7" s="634"/>
      <c r="W7" s="634"/>
      <c r="X7" s="634"/>
      <c r="Y7" s="634"/>
      <c r="Z7" s="634"/>
      <c r="AA7" s="634"/>
      <c r="AB7" s="634"/>
      <c r="AC7" s="634"/>
      <c r="AD7" s="634"/>
      <c r="AE7" s="634"/>
      <c r="AF7" s="634"/>
      <c r="AG7" s="634"/>
      <c r="AH7" s="634"/>
      <c r="AI7" s="634"/>
      <c r="AJ7" s="634"/>
      <c r="AK7" s="634"/>
      <c r="AL7" s="634"/>
      <c r="AM7" s="634"/>
      <c r="AN7" s="634"/>
      <c r="AO7" s="634"/>
      <c r="AP7" s="634"/>
      <c r="AQ7" s="634"/>
      <c r="AR7" s="634"/>
      <c r="AS7" s="634"/>
      <c r="AT7" s="634"/>
      <c r="AU7" s="634"/>
      <c r="AV7" s="634"/>
      <c r="AW7" s="634"/>
      <c r="AX7" s="634"/>
      <c r="AY7" s="634"/>
      <c r="AZ7" s="634"/>
      <c r="BA7" s="634"/>
    </row>
    <row r="8" spans="1:53" s="35" customFormat="1" ht="30" customHeight="1" x14ac:dyDescent="0.2">
      <c r="A8" s="1672" t="s">
        <v>18</v>
      </c>
      <c r="B8" s="1675" t="s">
        <v>0</v>
      </c>
      <c r="C8" s="1675" t="s">
        <v>1</v>
      </c>
      <c r="D8" s="1678" t="s">
        <v>12</v>
      </c>
      <c r="E8" s="1663" t="s">
        <v>2</v>
      </c>
      <c r="F8" s="1666" t="s">
        <v>3</v>
      </c>
      <c r="G8" s="1669" t="s">
        <v>4</v>
      </c>
      <c r="H8" s="1950" t="s">
        <v>228</v>
      </c>
      <c r="I8" s="1953" t="s">
        <v>343</v>
      </c>
      <c r="J8" s="1937" t="s">
        <v>220</v>
      </c>
      <c r="K8" s="1950" t="s">
        <v>159</v>
      </c>
      <c r="L8" s="1953" t="s">
        <v>221</v>
      </c>
      <c r="M8" s="1937" t="s">
        <v>220</v>
      </c>
      <c r="N8" s="1950" t="s">
        <v>224</v>
      </c>
      <c r="O8" s="1953" t="s">
        <v>344</v>
      </c>
      <c r="P8" s="1937" t="s">
        <v>220</v>
      </c>
      <c r="Q8" s="1653" t="s">
        <v>11</v>
      </c>
      <c r="R8" s="1654"/>
      <c r="S8" s="1654"/>
      <c r="T8" s="1654"/>
      <c r="U8" s="597"/>
    </row>
    <row r="9" spans="1:53" s="35" customFormat="1" ht="18.75" customHeight="1" x14ac:dyDescent="0.2">
      <c r="A9" s="1673"/>
      <c r="B9" s="1676"/>
      <c r="C9" s="1676"/>
      <c r="D9" s="1679"/>
      <c r="E9" s="1664"/>
      <c r="F9" s="1667"/>
      <c r="G9" s="1670"/>
      <c r="H9" s="1951"/>
      <c r="I9" s="1954"/>
      <c r="J9" s="1938"/>
      <c r="K9" s="1951"/>
      <c r="L9" s="1954"/>
      <c r="M9" s="1938"/>
      <c r="N9" s="1951"/>
      <c r="O9" s="1954"/>
      <c r="P9" s="1938"/>
      <c r="Q9" s="1656" t="s">
        <v>12</v>
      </c>
      <c r="R9" s="1658" t="s">
        <v>93</v>
      </c>
      <c r="S9" s="1658"/>
      <c r="T9" s="1658"/>
      <c r="U9" s="1332" t="s">
        <v>219</v>
      </c>
    </row>
    <row r="10" spans="1:53" s="35" customFormat="1" ht="72.75" customHeight="1" thickBot="1" x14ac:dyDescent="0.25">
      <c r="A10" s="1674"/>
      <c r="B10" s="1677"/>
      <c r="C10" s="1677"/>
      <c r="D10" s="1680"/>
      <c r="E10" s="1665"/>
      <c r="F10" s="1668"/>
      <c r="G10" s="1671"/>
      <c r="H10" s="1952"/>
      <c r="I10" s="1955"/>
      <c r="J10" s="1939"/>
      <c r="K10" s="1952"/>
      <c r="L10" s="1955"/>
      <c r="M10" s="1939"/>
      <c r="N10" s="1952"/>
      <c r="O10" s="1955"/>
      <c r="P10" s="1939"/>
      <c r="Q10" s="1657"/>
      <c r="R10" s="598" t="s">
        <v>118</v>
      </c>
      <c r="S10" s="598" t="s">
        <v>160</v>
      </c>
      <c r="T10" s="598" t="s">
        <v>225</v>
      </c>
      <c r="U10" s="599"/>
    </row>
    <row r="11" spans="1:53" s="9" customFormat="1" ht="14.25" customHeight="1" x14ac:dyDescent="0.2">
      <c r="A11" s="1660" t="s">
        <v>61</v>
      </c>
      <c r="B11" s="1661"/>
      <c r="C11" s="1661"/>
      <c r="D11" s="1661"/>
      <c r="E11" s="1661"/>
      <c r="F11" s="1661"/>
      <c r="G11" s="1661"/>
      <c r="H11" s="1661"/>
      <c r="I11" s="1661"/>
      <c r="J11" s="1661"/>
      <c r="K11" s="1661"/>
      <c r="L11" s="1661"/>
      <c r="M11" s="1661"/>
      <c r="N11" s="1661"/>
      <c r="O11" s="1661"/>
      <c r="P11" s="1661"/>
      <c r="Q11" s="1661"/>
      <c r="R11" s="1661"/>
      <c r="S11" s="1661"/>
      <c r="T11" s="1661"/>
      <c r="U11" s="1662"/>
    </row>
    <row r="12" spans="1:53" s="9" customFormat="1" ht="14.25" customHeight="1" x14ac:dyDescent="0.2">
      <c r="A12" s="1686" t="s">
        <v>26</v>
      </c>
      <c r="B12" s="1687"/>
      <c r="C12" s="1687"/>
      <c r="D12" s="1687"/>
      <c r="E12" s="1687"/>
      <c r="F12" s="1687"/>
      <c r="G12" s="1687"/>
      <c r="H12" s="1687"/>
      <c r="I12" s="1687"/>
      <c r="J12" s="1687"/>
      <c r="K12" s="1687"/>
      <c r="L12" s="1687"/>
      <c r="M12" s="1687"/>
      <c r="N12" s="1687"/>
      <c r="O12" s="1687"/>
      <c r="P12" s="1687"/>
      <c r="Q12" s="1687"/>
      <c r="R12" s="1687"/>
      <c r="S12" s="1687"/>
      <c r="T12" s="1687"/>
      <c r="U12" s="1688"/>
    </row>
    <row r="13" spans="1:53" ht="16.5" customHeight="1" x14ac:dyDescent="0.2">
      <c r="A13" s="17" t="s">
        <v>5</v>
      </c>
      <c r="B13" s="1689" t="s">
        <v>30</v>
      </c>
      <c r="C13" s="1690"/>
      <c r="D13" s="1690"/>
      <c r="E13" s="1690"/>
      <c r="F13" s="1690"/>
      <c r="G13" s="1690"/>
      <c r="H13" s="1690"/>
      <c r="I13" s="1690"/>
      <c r="J13" s="1690"/>
      <c r="K13" s="1690"/>
      <c r="L13" s="1690"/>
      <c r="M13" s="1690"/>
      <c r="N13" s="1690"/>
      <c r="O13" s="1690"/>
      <c r="P13" s="1690"/>
      <c r="Q13" s="1690"/>
      <c r="R13" s="1690"/>
      <c r="S13" s="1690"/>
      <c r="T13" s="1690"/>
      <c r="U13" s="1691"/>
    </row>
    <row r="14" spans="1:53" ht="15" customHeight="1" x14ac:dyDescent="0.2">
      <c r="A14" s="220" t="s">
        <v>5</v>
      </c>
      <c r="B14" s="12" t="s">
        <v>5</v>
      </c>
      <c r="C14" s="1692" t="s">
        <v>31</v>
      </c>
      <c r="D14" s="1693"/>
      <c r="E14" s="1693"/>
      <c r="F14" s="1693"/>
      <c r="G14" s="1693"/>
      <c r="H14" s="1693"/>
      <c r="I14" s="1693"/>
      <c r="J14" s="1693"/>
      <c r="K14" s="1693"/>
      <c r="L14" s="1693"/>
      <c r="M14" s="1693"/>
      <c r="N14" s="1693"/>
      <c r="O14" s="1693"/>
      <c r="P14" s="1693"/>
      <c r="Q14" s="1693"/>
      <c r="R14" s="1693"/>
      <c r="S14" s="1693"/>
      <c r="T14" s="1693"/>
      <c r="U14" s="1694"/>
    </row>
    <row r="15" spans="1:53" ht="14.1" customHeight="1" x14ac:dyDescent="0.2">
      <c r="A15" s="1272" t="s">
        <v>5</v>
      </c>
      <c r="B15" s="1273" t="s">
        <v>5</v>
      </c>
      <c r="C15" s="1274" t="s">
        <v>5</v>
      </c>
      <c r="D15" s="1871" t="s">
        <v>49</v>
      </c>
      <c r="E15" s="1874" t="s">
        <v>86</v>
      </c>
      <c r="F15" s="1271" t="s">
        <v>43</v>
      </c>
      <c r="G15" s="43" t="s">
        <v>25</v>
      </c>
      <c r="H15" s="607">
        <v>914.8</v>
      </c>
      <c r="I15" s="724">
        <v>914.8</v>
      </c>
      <c r="J15" s="613"/>
      <c r="K15" s="607">
        <v>233</v>
      </c>
      <c r="L15" s="724">
        <v>233</v>
      </c>
      <c r="M15" s="613"/>
      <c r="N15" s="607">
        <v>563.6</v>
      </c>
      <c r="O15" s="724">
        <v>563.6</v>
      </c>
      <c r="P15" s="613"/>
      <c r="Q15" s="301"/>
      <c r="R15" s="302"/>
      <c r="S15" s="315"/>
      <c r="T15" s="1341"/>
      <c r="U15" s="304"/>
    </row>
    <row r="16" spans="1:53" ht="14.1" customHeight="1" x14ac:dyDescent="0.2">
      <c r="A16" s="1272"/>
      <c r="B16" s="1273"/>
      <c r="C16" s="1274"/>
      <c r="D16" s="1872"/>
      <c r="E16" s="1875"/>
      <c r="F16" s="1271"/>
      <c r="G16" s="43" t="s">
        <v>60</v>
      </c>
      <c r="H16" s="607">
        <v>101.5</v>
      </c>
      <c r="I16" s="605">
        <v>101.5</v>
      </c>
      <c r="J16" s="613"/>
      <c r="K16" s="486"/>
      <c r="L16" s="605"/>
      <c r="M16" s="486"/>
      <c r="N16" s="607"/>
      <c r="O16" s="605"/>
      <c r="P16" s="613"/>
      <c r="Q16" s="301"/>
      <c r="R16" s="302"/>
      <c r="S16" s="315"/>
      <c r="T16" s="303"/>
      <c r="U16" s="305"/>
    </row>
    <row r="17" spans="1:21" ht="14.1" customHeight="1" x14ac:dyDescent="0.2">
      <c r="A17" s="1272"/>
      <c r="B17" s="1273"/>
      <c r="C17" s="1274"/>
      <c r="D17" s="1873"/>
      <c r="E17" s="1740"/>
      <c r="F17" s="1271"/>
      <c r="G17" s="43" t="s">
        <v>98</v>
      </c>
      <c r="H17" s="607">
        <v>480.6</v>
      </c>
      <c r="I17" s="605">
        <v>480.6</v>
      </c>
      <c r="J17" s="613"/>
      <c r="K17" s="486"/>
      <c r="L17" s="605"/>
      <c r="M17" s="486"/>
      <c r="N17" s="607"/>
      <c r="O17" s="605"/>
      <c r="P17" s="613"/>
      <c r="Q17" s="301"/>
      <c r="R17" s="302"/>
      <c r="S17" s="315"/>
      <c r="T17" s="303"/>
      <c r="U17" s="305"/>
    </row>
    <row r="18" spans="1:21" ht="14.1" customHeight="1" x14ac:dyDescent="0.2">
      <c r="A18" s="1272"/>
      <c r="B18" s="1273"/>
      <c r="C18" s="1274"/>
      <c r="D18" s="51"/>
      <c r="E18" s="1302"/>
      <c r="F18" s="1271"/>
      <c r="G18" s="43" t="s">
        <v>99</v>
      </c>
      <c r="H18" s="607">
        <v>1100</v>
      </c>
      <c r="I18" s="605">
        <v>1100</v>
      </c>
      <c r="J18" s="613"/>
      <c r="K18" s="486"/>
      <c r="L18" s="605"/>
      <c r="M18" s="486"/>
      <c r="N18" s="607">
        <v>96.4</v>
      </c>
      <c r="O18" s="605">
        <v>96.4</v>
      </c>
      <c r="P18" s="613"/>
      <c r="Q18" s="301"/>
      <c r="R18" s="302"/>
      <c r="S18" s="315"/>
      <c r="T18" s="303"/>
      <c r="U18" s="305"/>
    </row>
    <row r="19" spans="1:21" ht="14.1" customHeight="1" x14ac:dyDescent="0.2">
      <c r="A19" s="1272"/>
      <c r="B19" s="1273"/>
      <c r="C19" s="1274"/>
      <c r="D19" s="51"/>
      <c r="E19" s="1302"/>
      <c r="F19" s="1271"/>
      <c r="G19" s="43" t="s">
        <v>239</v>
      </c>
      <c r="H19" s="607"/>
      <c r="I19" s="605"/>
      <c r="J19" s="613"/>
      <c r="K19" s="607"/>
      <c r="L19" s="605"/>
      <c r="M19" s="486"/>
      <c r="N19" s="607">
        <v>44.7</v>
      </c>
      <c r="O19" s="605">
        <v>44.7</v>
      </c>
      <c r="P19" s="613"/>
      <c r="Q19" s="301"/>
      <c r="R19" s="302"/>
      <c r="S19" s="315"/>
      <c r="T19" s="303"/>
      <c r="U19" s="305"/>
    </row>
    <row r="20" spans="1:21" ht="14.1" customHeight="1" x14ac:dyDescent="0.2">
      <c r="A20" s="1272"/>
      <c r="B20" s="1273"/>
      <c r="C20" s="1274"/>
      <c r="D20" s="51"/>
      <c r="E20" s="1302"/>
      <c r="F20" s="1271"/>
      <c r="G20" s="43" t="s">
        <v>48</v>
      </c>
      <c r="H20" s="607">
        <v>162.4</v>
      </c>
      <c r="I20" s="605">
        <v>162.4</v>
      </c>
      <c r="J20" s="613"/>
      <c r="K20" s="486"/>
      <c r="L20" s="605"/>
      <c r="M20" s="486"/>
      <c r="N20" s="607"/>
      <c r="O20" s="605"/>
      <c r="P20" s="613"/>
      <c r="Q20" s="301"/>
      <c r="R20" s="302"/>
      <c r="S20" s="315"/>
      <c r="T20" s="303"/>
      <c r="U20" s="305"/>
    </row>
    <row r="21" spans="1:21" ht="14.1" customHeight="1" x14ac:dyDescent="0.2">
      <c r="A21" s="1272"/>
      <c r="B21" s="1273"/>
      <c r="C21" s="1274"/>
      <c r="D21" s="51"/>
      <c r="E21" s="1302"/>
      <c r="F21" s="1271"/>
      <c r="G21" s="43" t="s">
        <v>44</v>
      </c>
      <c r="H21" s="607"/>
      <c r="I21" s="605"/>
      <c r="J21" s="613"/>
      <c r="K21" s="486">
        <v>850</v>
      </c>
      <c r="L21" s="605">
        <v>850</v>
      </c>
      <c r="M21" s="486"/>
      <c r="N21" s="607">
        <v>1329.7</v>
      </c>
      <c r="O21" s="605">
        <v>1329.7</v>
      </c>
      <c r="P21" s="613"/>
      <c r="Q21" s="301"/>
      <c r="R21" s="302"/>
      <c r="S21" s="315"/>
      <c r="T21" s="303"/>
      <c r="U21" s="305"/>
    </row>
    <row r="22" spans="1:21" ht="18.75" customHeight="1" x14ac:dyDescent="0.2">
      <c r="A22" s="1272"/>
      <c r="B22" s="1273"/>
      <c r="C22" s="1274"/>
      <c r="D22" s="1695" t="s">
        <v>212</v>
      </c>
      <c r="E22" s="768" t="s">
        <v>47</v>
      </c>
      <c r="F22" s="1274"/>
      <c r="G22" s="1009"/>
      <c r="H22" s="83"/>
      <c r="I22" s="46"/>
      <c r="J22" s="180"/>
      <c r="K22" s="83"/>
      <c r="L22" s="46"/>
      <c r="M22" s="117"/>
      <c r="N22" s="83"/>
      <c r="O22" s="46"/>
      <c r="P22" s="180"/>
      <c r="Q22" s="1697" t="s">
        <v>321</v>
      </c>
      <c r="R22" s="323"/>
      <c r="S22" s="755" t="s">
        <v>55</v>
      </c>
      <c r="T22" s="407"/>
      <c r="U22" s="408"/>
    </row>
    <row r="23" spans="1:21" ht="33" customHeight="1" x14ac:dyDescent="0.2">
      <c r="A23" s="1272"/>
      <c r="B23" s="1273"/>
      <c r="C23" s="1274"/>
      <c r="D23" s="1696"/>
      <c r="E23" s="1699" t="s">
        <v>232</v>
      </c>
      <c r="F23" s="1271"/>
      <c r="G23" s="58"/>
      <c r="H23" s="79"/>
      <c r="I23" s="206"/>
      <c r="J23" s="56"/>
      <c r="K23" s="79"/>
      <c r="L23" s="206"/>
      <c r="M23" s="95"/>
      <c r="N23" s="79"/>
      <c r="O23" s="206"/>
      <c r="P23" s="56"/>
      <c r="Q23" s="1698"/>
      <c r="R23" s="756"/>
      <c r="S23" s="757"/>
      <c r="T23" s="600"/>
      <c r="U23" s="314"/>
    </row>
    <row r="24" spans="1:21" ht="24.75" customHeight="1" x14ac:dyDescent="0.2">
      <c r="A24" s="1272"/>
      <c r="B24" s="1273"/>
      <c r="C24" s="1274"/>
      <c r="D24" s="1696"/>
      <c r="E24" s="1700"/>
      <c r="F24" s="1271"/>
      <c r="G24" s="58"/>
      <c r="H24" s="79"/>
      <c r="I24" s="206"/>
      <c r="J24" s="56"/>
      <c r="K24" s="79"/>
      <c r="L24" s="206"/>
      <c r="M24" s="95"/>
      <c r="N24" s="82"/>
      <c r="O24" s="39"/>
      <c r="P24" s="162"/>
      <c r="Q24" s="211" t="s">
        <v>241</v>
      </c>
      <c r="R24" s="756"/>
      <c r="S24" s="757" t="s">
        <v>237</v>
      </c>
      <c r="T24" s="600" t="s">
        <v>238</v>
      </c>
      <c r="U24" s="314"/>
    </row>
    <row r="25" spans="1:21" ht="27.75" customHeight="1" x14ac:dyDescent="0.2">
      <c r="A25" s="1704"/>
      <c r="B25" s="1705"/>
      <c r="C25" s="1706"/>
      <c r="D25" s="1709" t="s">
        <v>240</v>
      </c>
      <c r="E25" s="274" t="s">
        <v>47</v>
      </c>
      <c r="F25" s="1706"/>
      <c r="G25" s="278"/>
      <c r="H25" s="352"/>
      <c r="I25" s="642"/>
      <c r="J25" s="643"/>
      <c r="K25" s="117"/>
      <c r="L25" s="46"/>
      <c r="M25" s="117"/>
      <c r="N25" s="83"/>
      <c r="O25" s="46"/>
      <c r="P25" s="180"/>
      <c r="Q25" s="1314" t="s">
        <v>137</v>
      </c>
      <c r="R25" s="1288">
        <v>2</v>
      </c>
      <c r="S25" s="407"/>
      <c r="T25" s="407"/>
      <c r="U25" s="314"/>
    </row>
    <row r="26" spans="1:21" ht="27.75" customHeight="1" x14ac:dyDescent="0.2">
      <c r="A26" s="1704"/>
      <c r="B26" s="1705"/>
      <c r="C26" s="1706"/>
      <c r="D26" s="1710"/>
      <c r="E26" s="1684" t="s">
        <v>108</v>
      </c>
      <c r="F26" s="1706"/>
      <c r="G26" s="43"/>
      <c r="H26" s="306"/>
      <c r="I26" s="348"/>
      <c r="J26" s="307"/>
      <c r="K26" s="95"/>
      <c r="L26" s="206"/>
      <c r="M26" s="95"/>
      <c r="N26" s="79"/>
      <c r="O26" s="206"/>
      <c r="P26" s="56"/>
      <c r="Q26" s="41" t="s">
        <v>227</v>
      </c>
      <c r="R26" s="319">
        <v>1</v>
      </c>
      <c r="S26" s="600"/>
      <c r="T26" s="600"/>
      <c r="U26" s="314"/>
    </row>
    <row r="27" spans="1:21" ht="23.25" customHeight="1" x14ac:dyDescent="0.2">
      <c r="A27" s="1704"/>
      <c r="B27" s="1705"/>
      <c r="C27" s="1706"/>
      <c r="D27" s="1710"/>
      <c r="E27" s="1701"/>
      <c r="F27" s="1706"/>
      <c r="G27" s="43"/>
      <c r="H27" s="306"/>
      <c r="I27" s="348"/>
      <c r="J27" s="307"/>
      <c r="K27" s="95"/>
      <c r="L27" s="206"/>
      <c r="M27" s="95"/>
      <c r="N27" s="79"/>
      <c r="O27" s="206"/>
      <c r="P27" s="56"/>
      <c r="Q27" s="1702" t="s">
        <v>248</v>
      </c>
      <c r="R27" s="1315"/>
      <c r="S27" s="181"/>
      <c r="T27" s="181" t="s">
        <v>43</v>
      </c>
      <c r="U27" s="314"/>
    </row>
    <row r="28" spans="1:21" ht="9.75" customHeight="1" x14ac:dyDescent="0.2">
      <c r="A28" s="1704"/>
      <c r="B28" s="1705"/>
      <c r="C28" s="1706"/>
      <c r="D28" s="1711"/>
      <c r="E28" s="1685"/>
      <c r="F28" s="1706"/>
      <c r="G28" s="42"/>
      <c r="H28" s="120"/>
      <c r="I28" s="708"/>
      <c r="J28" s="726"/>
      <c r="K28" s="143"/>
      <c r="L28" s="39"/>
      <c r="M28" s="143"/>
      <c r="N28" s="82"/>
      <c r="O28" s="39"/>
      <c r="P28" s="162"/>
      <c r="Q28" s="1703"/>
      <c r="R28" s="44"/>
      <c r="S28" s="287"/>
      <c r="T28" s="287"/>
      <c r="U28" s="314"/>
    </row>
    <row r="29" spans="1:21" ht="15.75" customHeight="1" x14ac:dyDescent="0.2">
      <c r="A29" s="1704"/>
      <c r="B29" s="1705"/>
      <c r="C29" s="1706"/>
      <c r="D29" s="1707" t="s">
        <v>198</v>
      </c>
      <c r="E29" s="1295" t="s">
        <v>47</v>
      </c>
      <c r="F29" s="1681"/>
      <c r="G29" s="83"/>
      <c r="H29" s="83"/>
      <c r="I29" s="46"/>
      <c r="J29" s="180"/>
      <c r="K29" s="117"/>
      <c r="L29" s="46"/>
      <c r="M29" s="117"/>
      <c r="N29" s="83"/>
      <c r="O29" s="46"/>
      <c r="P29" s="180"/>
      <c r="Q29" s="1303" t="s">
        <v>161</v>
      </c>
      <c r="R29" s="442">
        <v>100</v>
      </c>
      <c r="S29" s="601"/>
      <c r="T29" s="601"/>
      <c r="U29" s="190"/>
    </row>
    <row r="30" spans="1:21" ht="16.5" customHeight="1" x14ac:dyDescent="0.2">
      <c r="A30" s="1704"/>
      <c r="B30" s="1705"/>
      <c r="C30" s="1706"/>
      <c r="D30" s="1708"/>
      <c r="E30" s="461"/>
      <c r="F30" s="1681"/>
      <c r="G30" s="120"/>
      <c r="H30" s="82"/>
      <c r="I30" s="39"/>
      <c r="J30" s="162"/>
      <c r="K30" s="143"/>
      <c r="L30" s="39"/>
      <c r="M30" s="143"/>
      <c r="N30" s="82"/>
      <c r="O30" s="39"/>
      <c r="P30" s="162"/>
      <c r="Q30" s="391"/>
      <c r="R30" s="279"/>
      <c r="S30" s="602"/>
      <c r="T30" s="602"/>
      <c r="U30" s="532"/>
    </row>
    <row r="31" spans="1:21" ht="18.75" customHeight="1" x14ac:dyDescent="0.2">
      <c r="A31" s="1266"/>
      <c r="B31" s="1267"/>
      <c r="C31" s="200"/>
      <c r="D31" s="1713" t="s">
        <v>197</v>
      </c>
      <c r="E31" s="274" t="s">
        <v>47</v>
      </c>
      <c r="F31" s="84"/>
      <c r="G31" s="79"/>
      <c r="H31" s="79"/>
      <c r="I31" s="206"/>
      <c r="J31" s="56"/>
      <c r="K31" s="95"/>
      <c r="L31" s="206"/>
      <c r="M31" s="95"/>
      <c r="N31" s="79"/>
      <c r="O31" s="206"/>
      <c r="P31" s="56"/>
      <c r="Q31" s="1716" t="s">
        <v>141</v>
      </c>
      <c r="R31" s="1288">
        <v>1</v>
      </c>
      <c r="S31" s="1326"/>
      <c r="T31" s="1326"/>
      <c r="U31" s="300"/>
    </row>
    <row r="32" spans="1:21" ht="21" customHeight="1" x14ac:dyDescent="0.2">
      <c r="A32" s="1266"/>
      <c r="B32" s="1267"/>
      <c r="C32" s="200"/>
      <c r="D32" s="1714"/>
      <c r="E32" s="1718" t="s">
        <v>108</v>
      </c>
      <c r="F32" s="84"/>
      <c r="G32" s="79"/>
      <c r="H32" s="79"/>
      <c r="I32" s="206"/>
      <c r="J32" s="56"/>
      <c r="K32" s="95"/>
      <c r="L32" s="206"/>
      <c r="M32" s="95"/>
      <c r="N32" s="79"/>
      <c r="O32" s="206"/>
      <c r="P32" s="56"/>
      <c r="Q32" s="1717"/>
      <c r="R32" s="1315"/>
      <c r="S32" s="357"/>
      <c r="T32" s="357"/>
      <c r="U32" s="300"/>
    </row>
    <row r="33" spans="1:21" ht="29.25" customHeight="1" x14ac:dyDescent="0.2">
      <c r="A33" s="1266"/>
      <c r="B33" s="1267"/>
      <c r="C33" s="200"/>
      <c r="D33" s="1715"/>
      <c r="E33" s="1719"/>
      <c r="F33" s="84"/>
      <c r="G33" s="82"/>
      <c r="H33" s="82"/>
      <c r="I33" s="39"/>
      <c r="J33" s="162"/>
      <c r="K33" s="143"/>
      <c r="L33" s="39"/>
      <c r="M33" s="143"/>
      <c r="N33" s="82"/>
      <c r="O33" s="39"/>
      <c r="P33" s="162"/>
      <c r="Q33" s="997" t="s">
        <v>142</v>
      </c>
      <c r="R33" s="998"/>
      <c r="S33" s="998">
        <v>1</v>
      </c>
      <c r="T33" s="998"/>
      <c r="U33" s="532"/>
    </row>
    <row r="34" spans="1:21" ht="13.5" customHeight="1" x14ac:dyDescent="0.2">
      <c r="A34" s="1266"/>
      <c r="B34" s="1267"/>
      <c r="C34" s="200"/>
      <c r="D34" s="1696" t="s">
        <v>203</v>
      </c>
      <c r="E34" s="717" t="s">
        <v>47</v>
      </c>
      <c r="F34" s="1285"/>
      <c r="G34" s="79" t="s">
        <v>45</v>
      </c>
      <c r="H34" s="79">
        <v>21.5</v>
      </c>
      <c r="I34" s="206">
        <v>21.5</v>
      </c>
      <c r="J34" s="56"/>
      <c r="K34" s="477"/>
      <c r="L34" s="159"/>
      <c r="M34" s="477"/>
      <c r="N34" s="161"/>
      <c r="O34" s="159"/>
      <c r="P34" s="195"/>
      <c r="Q34" s="1303" t="s">
        <v>46</v>
      </c>
      <c r="R34" s="1315">
        <v>1</v>
      </c>
      <c r="S34" s="1315"/>
      <c r="T34" s="1315"/>
      <c r="U34" s="1278"/>
    </row>
    <row r="35" spans="1:21" ht="18" customHeight="1" x14ac:dyDescent="0.2">
      <c r="A35" s="1266"/>
      <c r="B35" s="1267"/>
      <c r="C35" s="89"/>
      <c r="D35" s="1720"/>
      <c r="E35" s="719" t="s">
        <v>230</v>
      </c>
      <c r="F35" s="1285"/>
      <c r="G35" s="82"/>
      <c r="H35" s="185"/>
      <c r="I35" s="184"/>
      <c r="J35" s="186"/>
      <c r="K35" s="478"/>
      <c r="L35" s="184"/>
      <c r="M35" s="478"/>
      <c r="N35" s="185"/>
      <c r="O35" s="184"/>
      <c r="P35" s="186"/>
      <c r="Q35" s="193"/>
      <c r="R35" s="44"/>
      <c r="S35" s="44"/>
      <c r="T35" s="44"/>
      <c r="U35" s="1278"/>
    </row>
    <row r="36" spans="1:21" ht="12" customHeight="1" x14ac:dyDescent="0.2">
      <c r="A36" s="1704"/>
      <c r="B36" s="1705"/>
      <c r="C36" s="1706"/>
      <c r="D36" s="1713" t="s">
        <v>147</v>
      </c>
      <c r="E36" s="274" t="s">
        <v>47</v>
      </c>
      <c r="F36" s="1681"/>
      <c r="G36" s="79"/>
      <c r="H36" s="79"/>
      <c r="I36" s="206"/>
      <c r="J36" s="56"/>
      <c r="K36" s="95"/>
      <c r="L36" s="206"/>
      <c r="M36" s="95"/>
      <c r="N36" s="79"/>
      <c r="O36" s="206"/>
      <c r="P36" s="56"/>
      <c r="Q36" s="1682" t="s">
        <v>236</v>
      </c>
      <c r="R36" s="474"/>
      <c r="S36" s="725"/>
      <c r="T36" s="474"/>
      <c r="U36" s="532"/>
    </row>
    <row r="37" spans="1:21" ht="15" customHeight="1" x14ac:dyDescent="0.2">
      <c r="A37" s="1704"/>
      <c r="B37" s="1705"/>
      <c r="C37" s="1706"/>
      <c r="D37" s="1714"/>
      <c r="E37" s="1684" t="s">
        <v>108</v>
      </c>
      <c r="F37" s="1681"/>
      <c r="G37" s="79"/>
      <c r="H37" s="79"/>
      <c r="I37" s="206"/>
      <c r="J37" s="56"/>
      <c r="K37" s="95"/>
      <c r="L37" s="206"/>
      <c r="M37" s="95"/>
      <c r="N37" s="79"/>
      <c r="O37" s="206"/>
      <c r="P37" s="56"/>
      <c r="Q37" s="1683"/>
      <c r="R37" s="531"/>
      <c r="S37" s="531"/>
      <c r="T37" s="531"/>
      <c r="U37" s="532"/>
    </row>
    <row r="38" spans="1:21" ht="18" customHeight="1" x14ac:dyDescent="0.2">
      <c r="A38" s="1704"/>
      <c r="B38" s="1705"/>
      <c r="C38" s="1706"/>
      <c r="D38" s="1715"/>
      <c r="E38" s="1685"/>
      <c r="F38" s="1681"/>
      <c r="G38" s="82"/>
      <c r="H38" s="608"/>
      <c r="I38" s="419"/>
      <c r="J38" s="614"/>
      <c r="K38" s="420"/>
      <c r="L38" s="419"/>
      <c r="M38" s="420"/>
      <c r="N38" s="608"/>
      <c r="O38" s="419"/>
      <c r="P38" s="614"/>
      <c r="Q38" s="1320"/>
      <c r="R38" s="44"/>
      <c r="S38" s="152"/>
      <c r="T38" s="152"/>
      <c r="U38" s="300"/>
    </row>
    <row r="39" spans="1:21" ht="13.5" customHeight="1" x14ac:dyDescent="0.2">
      <c r="A39" s="1266"/>
      <c r="B39" s="1267"/>
      <c r="C39" s="1268"/>
      <c r="D39" s="1695" t="s">
        <v>199</v>
      </c>
      <c r="E39" s="1295" t="s">
        <v>47</v>
      </c>
      <c r="F39" s="1712"/>
      <c r="G39" s="79"/>
      <c r="H39" s="79"/>
      <c r="I39" s="206"/>
      <c r="J39" s="56"/>
      <c r="K39" s="95"/>
      <c r="L39" s="206"/>
      <c r="M39" s="95"/>
      <c r="N39" s="79"/>
      <c r="O39" s="206"/>
      <c r="P39" s="56"/>
      <c r="Q39" s="1305" t="s">
        <v>143</v>
      </c>
      <c r="R39" s="1289"/>
      <c r="S39" s="1261"/>
      <c r="T39" s="1288">
        <v>1</v>
      </c>
      <c r="U39" s="1278"/>
    </row>
    <row r="40" spans="1:21" ht="9.75" customHeight="1" x14ac:dyDescent="0.2">
      <c r="A40" s="1266"/>
      <c r="B40" s="1267"/>
      <c r="C40" s="1268"/>
      <c r="D40" s="1696"/>
      <c r="E40" s="1250"/>
      <c r="F40" s="1712"/>
      <c r="G40" s="82"/>
      <c r="H40" s="82"/>
      <c r="I40" s="39"/>
      <c r="J40" s="162"/>
      <c r="K40" s="143"/>
      <c r="L40" s="39"/>
      <c r="M40" s="143"/>
      <c r="N40" s="82"/>
      <c r="O40" s="39"/>
      <c r="P40" s="162"/>
      <c r="Q40" s="1303"/>
      <c r="R40" s="1329"/>
      <c r="S40" s="282"/>
      <c r="T40" s="1315"/>
      <c r="U40" s="1278"/>
    </row>
    <row r="41" spans="1:21" ht="16.5" customHeight="1" thickBot="1" x14ac:dyDescent="0.25">
      <c r="A41" s="64"/>
      <c r="B41" s="1282"/>
      <c r="C41" s="91"/>
      <c r="D41" s="214"/>
      <c r="E41" s="718"/>
      <c r="F41" s="91"/>
      <c r="G41" s="85" t="s">
        <v>6</v>
      </c>
      <c r="H41" s="165">
        <f>SUM(H15:H40)</f>
        <v>2780.8</v>
      </c>
      <c r="I41" s="167">
        <f>SUM(I15:I40)</f>
        <v>2780.8</v>
      </c>
      <c r="J41" s="196">
        <f>SUM(J15:J40)</f>
        <v>0</v>
      </c>
      <c r="K41" s="165">
        <f t="shared" ref="K41:L41" si="0">SUM(K15:K40)</f>
        <v>1083</v>
      </c>
      <c r="L41" s="167">
        <f t="shared" si="0"/>
        <v>1083</v>
      </c>
      <c r="M41" s="196">
        <f t="shared" ref="M41:P41" si="1">SUM(M15:M40)</f>
        <v>0</v>
      </c>
      <c r="N41" s="165">
        <f t="shared" ref="N41:O41" si="2">SUM(N15:N40)</f>
        <v>2034.4</v>
      </c>
      <c r="O41" s="167">
        <f t="shared" si="2"/>
        <v>2034.4</v>
      </c>
      <c r="P41" s="196">
        <f t="shared" si="1"/>
        <v>0</v>
      </c>
      <c r="Q41" s="1279"/>
      <c r="R41" s="206"/>
      <c r="S41" s="95"/>
      <c r="T41" s="36"/>
      <c r="U41" s="37"/>
    </row>
    <row r="42" spans="1:21" ht="14.1" customHeight="1" x14ac:dyDescent="0.2">
      <c r="A42" s="1280" t="s">
        <v>5</v>
      </c>
      <c r="B42" s="1281" t="s">
        <v>5</v>
      </c>
      <c r="C42" s="1325" t="s">
        <v>7</v>
      </c>
      <c r="D42" s="1644" t="s">
        <v>50</v>
      </c>
      <c r="E42" s="1724" t="s">
        <v>88</v>
      </c>
      <c r="F42" s="1284" t="s">
        <v>43</v>
      </c>
      <c r="G42" s="169" t="s">
        <v>25</v>
      </c>
      <c r="H42" s="197">
        <v>406.6</v>
      </c>
      <c r="I42" s="166">
        <v>406.6</v>
      </c>
      <c r="J42" s="317"/>
      <c r="K42" s="197">
        <v>464.9</v>
      </c>
      <c r="L42" s="166">
        <v>464.9</v>
      </c>
      <c r="M42" s="317"/>
      <c r="N42" s="197">
        <v>1300</v>
      </c>
      <c r="O42" s="166">
        <v>1300</v>
      </c>
      <c r="P42" s="317"/>
      <c r="Q42" s="308"/>
      <c r="R42" s="249"/>
      <c r="S42" s="679"/>
      <c r="T42" s="553"/>
      <c r="U42" s="1959"/>
    </row>
    <row r="43" spans="1:21" ht="14.1" customHeight="1" x14ac:dyDescent="0.2">
      <c r="A43" s="1297"/>
      <c r="B43" s="1267"/>
      <c r="C43" s="1268"/>
      <c r="D43" s="1727"/>
      <c r="E43" s="1725"/>
      <c r="F43" s="1285"/>
      <c r="G43" s="58" t="s">
        <v>60</v>
      </c>
      <c r="H43" s="79">
        <v>0.8</v>
      </c>
      <c r="I43" s="206">
        <v>0.8</v>
      </c>
      <c r="J43" s="56"/>
      <c r="K43" s="95"/>
      <c r="L43" s="206"/>
      <c r="M43" s="95"/>
      <c r="N43" s="79"/>
      <c r="O43" s="206"/>
      <c r="P43" s="56"/>
      <c r="Q43" s="1438"/>
      <c r="R43" s="1460"/>
      <c r="S43" s="282"/>
      <c r="T43" s="1458"/>
      <c r="U43" s="1960"/>
    </row>
    <row r="44" spans="1:21" ht="18.75" customHeight="1" x14ac:dyDescent="0.2">
      <c r="A44" s="1297"/>
      <c r="B44" s="1267"/>
      <c r="C44" s="1268"/>
      <c r="D44" s="1728"/>
      <c r="E44" s="1726"/>
      <c r="F44" s="1319"/>
      <c r="G44" s="1010" t="s">
        <v>99</v>
      </c>
      <c r="H44" s="79">
        <v>200</v>
      </c>
      <c r="I44" s="206">
        <v>200</v>
      </c>
      <c r="J44" s="636"/>
      <c r="K44" s="79">
        <v>1296.4000000000001</v>
      </c>
      <c r="L44" s="206">
        <v>1296.4000000000001</v>
      </c>
      <c r="M44" s="56"/>
      <c r="N44" s="79">
        <v>600</v>
      </c>
      <c r="O44" s="206">
        <v>600</v>
      </c>
      <c r="P44" s="56"/>
      <c r="Q44" s="1440"/>
      <c r="R44" s="19"/>
      <c r="S44" s="283"/>
      <c r="T44" s="19"/>
      <c r="U44" s="1960"/>
    </row>
    <row r="45" spans="1:21" ht="16.5" customHeight="1" x14ac:dyDescent="0.2">
      <c r="A45" s="1723"/>
      <c r="B45" s="1705"/>
      <c r="C45" s="1706"/>
      <c r="D45" s="1714" t="s">
        <v>195</v>
      </c>
      <c r="E45" s="1250" t="s">
        <v>47</v>
      </c>
      <c r="F45" s="1681"/>
      <c r="G45" s="79"/>
      <c r="H45" s="83"/>
      <c r="I45" s="46"/>
      <c r="J45" s="180"/>
      <c r="K45" s="117"/>
      <c r="L45" s="46"/>
      <c r="M45" s="117"/>
      <c r="N45" s="83"/>
      <c r="O45" s="46"/>
      <c r="P45" s="180"/>
      <c r="Q45" s="1721" t="s">
        <v>150</v>
      </c>
      <c r="R45" s="1448">
        <v>1</v>
      </c>
      <c r="S45" s="584"/>
      <c r="T45" s="357"/>
      <c r="U45" s="1956"/>
    </row>
    <row r="46" spans="1:21" ht="23.25" customHeight="1" x14ac:dyDescent="0.2">
      <c r="A46" s="1723"/>
      <c r="B46" s="1705"/>
      <c r="C46" s="1706"/>
      <c r="D46" s="1714"/>
      <c r="E46" s="1250"/>
      <c r="F46" s="1681"/>
      <c r="G46" s="79"/>
      <c r="H46" s="79"/>
      <c r="I46" s="499"/>
      <c r="J46" s="636"/>
      <c r="K46" s="95"/>
      <c r="L46" s="206"/>
      <c r="M46" s="95"/>
      <c r="N46" s="79"/>
      <c r="O46" s="206"/>
      <c r="P46" s="56"/>
      <c r="Q46" s="1722"/>
      <c r="R46" s="573"/>
      <c r="S46" s="577"/>
      <c r="T46" s="1328"/>
      <c r="U46" s="1961"/>
    </row>
    <row r="47" spans="1:21" ht="39.75" customHeight="1" x14ac:dyDescent="0.2">
      <c r="A47" s="1723"/>
      <c r="B47" s="1705"/>
      <c r="C47" s="1706"/>
      <c r="D47" s="1714"/>
      <c r="E47" s="1250"/>
      <c r="F47" s="1681"/>
      <c r="G47" s="79"/>
      <c r="H47" s="79"/>
      <c r="I47" s="206"/>
      <c r="J47" s="56"/>
      <c r="K47" s="95"/>
      <c r="L47" s="206"/>
      <c r="M47" s="95"/>
      <c r="N47" s="79"/>
      <c r="O47" s="206"/>
      <c r="P47" s="56"/>
      <c r="Q47" s="27" t="s">
        <v>176</v>
      </c>
      <c r="R47" s="45">
        <v>100</v>
      </c>
      <c r="S47" s="578"/>
      <c r="T47" s="1342"/>
      <c r="U47" s="1961"/>
    </row>
    <row r="48" spans="1:21" ht="28.5" customHeight="1" x14ac:dyDescent="0.2">
      <c r="A48" s="1723"/>
      <c r="B48" s="1705"/>
      <c r="C48" s="1706"/>
      <c r="D48" s="1714"/>
      <c r="E48" s="1250"/>
      <c r="F48" s="1681"/>
      <c r="G48" s="1155"/>
      <c r="H48" s="79"/>
      <c r="I48" s="206"/>
      <c r="J48" s="56"/>
      <c r="K48" s="95"/>
      <c r="L48" s="206"/>
      <c r="M48" s="95"/>
      <c r="N48" s="79"/>
      <c r="O48" s="206"/>
      <c r="P48" s="56"/>
      <c r="Q48" s="27" t="s">
        <v>177</v>
      </c>
      <c r="R48" s="1465" t="s">
        <v>351</v>
      </c>
      <c r="S48" s="578">
        <v>80</v>
      </c>
      <c r="T48" s="1342">
        <v>100</v>
      </c>
      <c r="U48" s="1963"/>
    </row>
    <row r="49" spans="1:21" ht="53.25" customHeight="1" x14ac:dyDescent="0.2">
      <c r="A49" s="1723"/>
      <c r="B49" s="1705"/>
      <c r="C49" s="1706"/>
      <c r="D49" s="1714"/>
      <c r="E49" s="1296"/>
      <c r="F49" s="1681"/>
      <c r="G49" s="79"/>
      <c r="H49" s="79"/>
      <c r="I49" s="206"/>
      <c r="J49" s="56"/>
      <c r="K49" s="95"/>
      <c r="L49" s="206"/>
      <c r="M49" s="95"/>
      <c r="N49" s="79"/>
      <c r="O49" s="206"/>
      <c r="P49" s="56"/>
      <c r="Q49" s="1045" t="s">
        <v>178</v>
      </c>
      <c r="R49" s="1465"/>
      <c r="S49" s="1466"/>
      <c r="T49" s="1568" t="s">
        <v>43</v>
      </c>
      <c r="U49" s="1963"/>
    </row>
    <row r="50" spans="1:21" ht="18.75" customHeight="1" x14ac:dyDescent="0.2">
      <c r="A50" s="1723"/>
      <c r="B50" s="1705"/>
      <c r="C50" s="1706"/>
      <c r="D50" s="1713" t="s">
        <v>58</v>
      </c>
      <c r="E50" s="1312" t="s">
        <v>47</v>
      </c>
      <c r="F50" s="1681"/>
      <c r="G50" s="83"/>
      <c r="H50" s="83"/>
      <c r="I50" s="46"/>
      <c r="J50" s="180"/>
      <c r="K50" s="117"/>
      <c r="L50" s="46"/>
      <c r="M50" s="117"/>
      <c r="N50" s="83"/>
      <c r="O50" s="46"/>
      <c r="P50" s="180"/>
      <c r="Q50" s="1682" t="s">
        <v>322</v>
      </c>
      <c r="R50" s="1447">
        <v>5</v>
      </c>
      <c r="S50" s="579">
        <v>50</v>
      </c>
      <c r="T50" s="1326">
        <v>80</v>
      </c>
      <c r="U50" s="1470"/>
    </row>
    <row r="51" spans="1:21" ht="7.5" customHeight="1" x14ac:dyDescent="0.2">
      <c r="A51" s="1723"/>
      <c r="B51" s="1705"/>
      <c r="C51" s="1706"/>
      <c r="D51" s="1714"/>
      <c r="E51" s="1268"/>
      <c r="F51" s="1681"/>
      <c r="G51" s="79"/>
      <c r="H51" s="79"/>
      <c r="I51" s="206"/>
      <c r="J51" s="56"/>
      <c r="K51" s="95"/>
      <c r="L51" s="206"/>
      <c r="M51" s="95"/>
      <c r="N51" s="79"/>
      <c r="O51" s="206"/>
      <c r="P51" s="56"/>
      <c r="Q51" s="1717"/>
      <c r="R51" s="1448"/>
      <c r="S51" s="584"/>
      <c r="T51" s="357"/>
      <c r="U51" s="300"/>
    </row>
    <row r="52" spans="1:21" ht="9.75" customHeight="1" x14ac:dyDescent="0.2">
      <c r="A52" s="1723"/>
      <c r="B52" s="1705"/>
      <c r="C52" s="1706"/>
      <c r="D52" s="1715"/>
      <c r="E52" s="1313"/>
      <c r="F52" s="1681"/>
      <c r="G52" s="120"/>
      <c r="H52" s="82"/>
      <c r="I52" s="39"/>
      <c r="J52" s="162"/>
      <c r="K52" s="143"/>
      <c r="L52" s="39"/>
      <c r="M52" s="143"/>
      <c r="N52" s="82"/>
      <c r="O52" s="39"/>
      <c r="P52" s="162"/>
      <c r="Q52" s="232"/>
      <c r="R52" s="1454"/>
      <c r="S52" s="580"/>
      <c r="T52" s="152"/>
      <c r="U52" s="300"/>
    </row>
    <row r="53" spans="1:21" ht="17.25" customHeight="1" x14ac:dyDescent="0.2">
      <c r="A53" s="1266"/>
      <c r="B53" s="1267"/>
      <c r="C53" s="84"/>
      <c r="D53" s="1713" t="s">
        <v>200</v>
      </c>
      <c r="E53" s="1734" t="s">
        <v>47</v>
      </c>
      <c r="F53" s="1736"/>
      <c r="G53" s="83"/>
      <c r="H53" s="352"/>
      <c r="I53" s="642"/>
      <c r="J53" s="643"/>
      <c r="K53" s="347"/>
      <c r="L53" s="642"/>
      <c r="M53" s="347"/>
      <c r="N53" s="352"/>
      <c r="O53" s="642"/>
      <c r="P53" s="643"/>
      <c r="Q53" s="1450" t="s">
        <v>92</v>
      </c>
      <c r="R53" s="401">
        <v>1</v>
      </c>
      <c r="S53" s="1261"/>
      <c r="T53" s="1457"/>
      <c r="U53" s="1461"/>
    </row>
    <row r="54" spans="1:21" ht="21.75" customHeight="1" x14ac:dyDescent="0.2">
      <c r="A54" s="1266"/>
      <c r="B54" s="1267"/>
      <c r="C54" s="84"/>
      <c r="D54" s="1714"/>
      <c r="E54" s="1735"/>
      <c r="F54" s="1736"/>
      <c r="G54" s="82"/>
      <c r="H54" s="646"/>
      <c r="I54" s="645"/>
      <c r="J54" s="647"/>
      <c r="K54" s="644"/>
      <c r="L54" s="645"/>
      <c r="M54" s="644"/>
      <c r="N54" s="646"/>
      <c r="O54" s="645"/>
      <c r="P54" s="647"/>
      <c r="Q54" s="18"/>
      <c r="R54" s="414"/>
      <c r="S54" s="283"/>
      <c r="T54" s="44"/>
      <c r="U54" s="1461"/>
    </row>
    <row r="55" spans="1:21" ht="16.5" customHeight="1" x14ac:dyDescent="0.2">
      <c r="A55" s="1266"/>
      <c r="B55" s="1267"/>
      <c r="C55" s="84"/>
      <c r="D55" s="1713" t="s">
        <v>214</v>
      </c>
      <c r="E55" s="1734" t="s">
        <v>47</v>
      </c>
      <c r="F55" s="1736"/>
      <c r="G55" s="79" t="s">
        <v>45</v>
      </c>
      <c r="H55" s="306"/>
      <c r="I55" s="348"/>
      <c r="J55" s="307"/>
      <c r="K55" s="309">
        <v>95</v>
      </c>
      <c r="L55" s="348">
        <v>95</v>
      </c>
      <c r="M55" s="309"/>
      <c r="N55" s="306"/>
      <c r="O55" s="348"/>
      <c r="P55" s="307"/>
      <c r="Q55" s="742" t="s">
        <v>92</v>
      </c>
      <c r="R55" s="401"/>
      <c r="S55" s="1261">
        <v>1</v>
      </c>
      <c r="T55" s="1457"/>
      <c r="U55" s="1461"/>
    </row>
    <row r="56" spans="1:21" ht="17.25" customHeight="1" x14ac:dyDescent="0.2">
      <c r="A56" s="1266"/>
      <c r="B56" s="1267"/>
      <c r="C56" s="84"/>
      <c r="D56" s="1714"/>
      <c r="E56" s="1737"/>
      <c r="F56" s="1736"/>
      <c r="G56" s="682"/>
      <c r="H56" s="82"/>
      <c r="I56" s="39"/>
      <c r="J56" s="162"/>
      <c r="K56" s="143"/>
      <c r="L56" s="39"/>
      <c r="M56" s="143"/>
      <c r="N56" s="82"/>
      <c r="O56" s="39"/>
      <c r="P56" s="162"/>
      <c r="Q56" s="1453"/>
      <c r="R56" s="412"/>
      <c r="S56" s="282"/>
      <c r="T56" s="1458"/>
      <c r="U56" s="1461"/>
    </row>
    <row r="57" spans="1:21" ht="16.5" customHeight="1" thickBot="1" x14ac:dyDescent="0.25">
      <c r="A57" s="64"/>
      <c r="B57" s="1282"/>
      <c r="C57" s="91"/>
      <c r="D57" s="214"/>
      <c r="E57" s="718"/>
      <c r="F57" s="91"/>
      <c r="G57" s="85" t="s">
        <v>6</v>
      </c>
      <c r="H57" s="165">
        <f>SUM(H42:H56)</f>
        <v>607.4</v>
      </c>
      <c r="I57" s="167">
        <f>SUM(I42:I56)</f>
        <v>607.4</v>
      </c>
      <c r="J57" s="196">
        <f>SUM(J42:J56)</f>
        <v>0</v>
      </c>
      <c r="K57" s="165">
        <f t="shared" ref="K57:L57" si="3">SUM(K42:K56)</f>
        <v>1856.3</v>
      </c>
      <c r="L57" s="167">
        <f t="shared" si="3"/>
        <v>1856.3</v>
      </c>
      <c r="M57" s="196">
        <f t="shared" ref="M57:P57" si="4">SUM(M42:M56)</f>
        <v>0</v>
      </c>
      <c r="N57" s="165">
        <f t="shared" ref="N57:O57" si="5">SUM(N42:N56)</f>
        <v>1900</v>
      </c>
      <c r="O57" s="167">
        <f t="shared" si="5"/>
        <v>1900</v>
      </c>
      <c r="P57" s="196">
        <f t="shared" si="4"/>
        <v>0</v>
      </c>
      <c r="Q57" s="1475"/>
      <c r="R57" s="171"/>
      <c r="S57" s="587"/>
      <c r="T57" s="170"/>
      <c r="U57" s="497"/>
    </row>
    <row r="58" spans="1:21" ht="14.1" customHeight="1" x14ac:dyDescent="0.2">
      <c r="A58" s="1266" t="s">
        <v>5</v>
      </c>
      <c r="B58" s="1293" t="s">
        <v>5</v>
      </c>
      <c r="C58" s="1268" t="s">
        <v>28</v>
      </c>
      <c r="D58" s="1738" t="s">
        <v>95</v>
      </c>
      <c r="E58" s="1739" t="s">
        <v>90</v>
      </c>
      <c r="F58" s="1284" t="s">
        <v>43</v>
      </c>
      <c r="G58" s="197" t="s">
        <v>25</v>
      </c>
      <c r="H58" s="197">
        <v>875.5</v>
      </c>
      <c r="I58" s="166">
        <v>875.5</v>
      </c>
      <c r="J58" s="1468"/>
      <c r="K58" s="197">
        <v>374</v>
      </c>
      <c r="L58" s="166">
        <v>374</v>
      </c>
      <c r="M58" s="317"/>
      <c r="N58" s="197">
        <v>100</v>
      </c>
      <c r="O58" s="166">
        <v>100</v>
      </c>
      <c r="P58" s="317"/>
      <c r="Q58" s="1438"/>
      <c r="R58" s="357"/>
      <c r="S58" s="357"/>
      <c r="T58" s="357"/>
      <c r="U58" s="300"/>
    </row>
    <row r="59" spans="1:21" ht="14.1" customHeight="1" x14ac:dyDescent="0.2">
      <c r="A59" s="1266"/>
      <c r="B59" s="1293"/>
      <c r="C59" s="1268"/>
      <c r="D59" s="1730"/>
      <c r="E59" s="1740"/>
      <c r="F59" s="1285"/>
      <c r="G59" s="79" t="s">
        <v>60</v>
      </c>
      <c r="H59" s="79">
        <v>298.7</v>
      </c>
      <c r="I59" s="206">
        <v>298.7</v>
      </c>
      <c r="J59" s="56"/>
      <c r="K59" s="79"/>
      <c r="L59" s="206"/>
      <c r="M59" s="56"/>
      <c r="N59" s="79"/>
      <c r="O59" s="206"/>
      <c r="P59" s="56"/>
      <c r="Q59" s="1303"/>
      <c r="R59" s="357"/>
      <c r="S59" s="357"/>
      <c r="T59" s="357"/>
      <c r="U59" s="300"/>
    </row>
    <row r="60" spans="1:21" ht="14.1" customHeight="1" x14ac:dyDescent="0.2">
      <c r="A60" s="1266"/>
      <c r="B60" s="1293"/>
      <c r="C60" s="1268"/>
      <c r="D60" s="1730"/>
      <c r="E60" s="1740"/>
      <c r="F60" s="1285"/>
      <c r="G60" s="79" t="s">
        <v>99</v>
      </c>
      <c r="H60" s="79">
        <v>755.4</v>
      </c>
      <c r="I60" s="206">
        <v>755.4</v>
      </c>
      <c r="J60" s="636"/>
      <c r="K60" s="79">
        <v>711.8</v>
      </c>
      <c r="L60" s="206">
        <v>711.8</v>
      </c>
      <c r="M60" s="636"/>
      <c r="N60" s="79">
        <v>400</v>
      </c>
      <c r="O60" s="206">
        <v>400</v>
      </c>
      <c r="P60" s="56"/>
      <c r="Q60" s="1303"/>
      <c r="R60" s="357"/>
      <c r="S60" s="357"/>
      <c r="T60" s="357"/>
      <c r="U60" s="300"/>
    </row>
    <row r="61" spans="1:21" ht="14.1" customHeight="1" x14ac:dyDescent="0.2">
      <c r="A61" s="1266"/>
      <c r="B61" s="1293"/>
      <c r="C61" s="1268"/>
      <c r="D61" s="1157"/>
      <c r="E61" s="1740"/>
      <c r="F61" s="1285"/>
      <c r="G61" s="79" t="s">
        <v>223</v>
      </c>
      <c r="H61" s="79">
        <v>1482.2</v>
      </c>
      <c r="I61" s="206">
        <v>1482.2</v>
      </c>
      <c r="J61" s="56"/>
      <c r="K61" s="79">
        <v>122.8</v>
      </c>
      <c r="L61" s="206">
        <v>122.8</v>
      </c>
      <c r="M61" s="56"/>
      <c r="N61" s="79"/>
      <c r="O61" s="206"/>
      <c r="P61" s="56"/>
      <c r="Q61" s="1303"/>
      <c r="R61" s="357"/>
      <c r="S61" s="357"/>
      <c r="T61" s="357"/>
      <c r="U61" s="300"/>
    </row>
    <row r="62" spans="1:21" ht="14.1" customHeight="1" x14ac:dyDescent="0.2">
      <c r="A62" s="1266"/>
      <c r="B62" s="1293"/>
      <c r="C62" s="1268"/>
      <c r="D62" s="1157"/>
      <c r="E62" s="1685"/>
      <c r="F62" s="1285"/>
      <c r="G62" s="82" t="s">
        <v>48</v>
      </c>
      <c r="H62" s="82">
        <v>200</v>
      </c>
      <c r="I62" s="39">
        <v>200</v>
      </c>
      <c r="J62" s="162"/>
      <c r="K62" s="143"/>
      <c r="L62" s="39"/>
      <c r="M62" s="162"/>
      <c r="N62" s="79"/>
      <c r="O62" s="206"/>
      <c r="P62" s="56"/>
      <c r="Q62" s="1303"/>
      <c r="R62" s="357"/>
      <c r="S62" s="357"/>
      <c r="T62" s="357"/>
      <c r="U62" s="300"/>
    </row>
    <row r="63" spans="1:21" ht="14.1" customHeight="1" x14ac:dyDescent="0.2">
      <c r="A63" s="1704"/>
      <c r="B63" s="1729"/>
      <c r="C63" s="1706"/>
      <c r="D63" s="1707" t="s">
        <v>284</v>
      </c>
      <c r="E63" s="1731" t="s">
        <v>47</v>
      </c>
      <c r="F63" s="1743"/>
      <c r="G63" s="79" t="s">
        <v>45</v>
      </c>
      <c r="H63" s="79">
        <v>104.9</v>
      </c>
      <c r="I63" s="206">
        <v>104.9</v>
      </c>
      <c r="J63" s="56"/>
      <c r="K63" s="95"/>
      <c r="L63" s="206"/>
      <c r="M63" s="95"/>
      <c r="N63" s="83"/>
      <c r="O63" s="46"/>
      <c r="P63" s="180"/>
      <c r="Q63" s="1682"/>
      <c r="R63" s="1288"/>
      <c r="S63" s="1288"/>
      <c r="T63" s="1288"/>
      <c r="U63" s="1956" t="s">
        <v>368</v>
      </c>
    </row>
    <row r="64" spans="1:21" ht="27" customHeight="1" x14ac:dyDescent="0.2">
      <c r="A64" s="1704"/>
      <c r="B64" s="1729"/>
      <c r="C64" s="1706"/>
      <c r="D64" s="1730"/>
      <c r="E64" s="1732"/>
      <c r="F64" s="1706"/>
      <c r="G64" s="79"/>
      <c r="H64" s="306"/>
      <c r="I64" s="348"/>
      <c r="J64" s="307"/>
      <c r="K64" s="309"/>
      <c r="L64" s="348"/>
      <c r="M64" s="309"/>
      <c r="N64" s="306"/>
      <c r="O64" s="348"/>
      <c r="P64" s="307"/>
      <c r="Q64" s="1717"/>
      <c r="R64" s="1315"/>
      <c r="S64" s="1315"/>
      <c r="T64" s="1315"/>
      <c r="U64" s="1961"/>
    </row>
    <row r="65" spans="1:21" ht="25.5" customHeight="1" x14ac:dyDescent="0.2">
      <c r="A65" s="1704"/>
      <c r="B65" s="1729"/>
      <c r="C65" s="1706"/>
      <c r="D65" s="444" t="s">
        <v>148</v>
      </c>
      <c r="E65" s="1732"/>
      <c r="F65" s="1706"/>
      <c r="G65" s="720" t="s">
        <v>99</v>
      </c>
      <c r="H65" s="720"/>
      <c r="I65" s="1472">
        <v>-236.1</v>
      </c>
      <c r="J65" s="1473">
        <f>I65-H65</f>
        <v>-236.1</v>
      </c>
      <c r="K65" s="853"/>
      <c r="L65" s="1472">
        <v>236.1</v>
      </c>
      <c r="M65" s="1474">
        <f>L65-K65</f>
        <v>236.1</v>
      </c>
      <c r="N65" s="720"/>
      <c r="O65" s="721"/>
      <c r="P65" s="722"/>
      <c r="Q65" s="81" t="s">
        <v>179</v>
      </c>
      <c r="R65" s="155">
        <v>100</v>
      </c>
      <c r="S65" s="155"/>
      <c r="T65" s="155"/>
      <c r="U65" s="1961"/>
    </row>
    <row r="66" spans="1:21" ht="42.75" customHeight="1" x14ac:dyDescent="0.2">
      <c r="A66" s="1704"/>
      <c r="B66" s="1729"/>
      <c r="C66" s="1706"/>
      <c r="D66" s="1256" t="s">
        <v>123</v>
      </c>
      <c r="E66" s="1733"/>
      <c r="F66" s="1744"/>
      <c r="G66" s="82"/>
      <c r="H66" s="82"/>
      <c r="I66" s="39"/>
      <c r="J66" s="162"/>
      <c r="K66" s="143"/>
      <c r="L66" s="39"/>
      <c r="M66" s="143"/>
      <c r="N66" s="82"/>
      <c r="O66" s="39"/>
      <c r="P66" s="162"/>
      <c r="Q66" s="445" t="s">
        <v>180</v>
      </c>
      <c r="R66" s="44">
        <v>80</v>
      </c>
      <c r="S66" s="44">
        <v>100</v>
      </c>
      <c r="T66" s="44"/>
      <c r="U66" s="1962"/>
    </row>
    <row r="67" spans="1:21" ht="15" customHeight="1" x14ac:dyDescent="0.2">
      <c r="A67" s="1266"/>
      <c r="B67" s="1293"/>
      <c r="C67" s="1285"/>
      <c r="D67" s="1707" t="s">
        <v>285</v>
      </c>
      <c r="E67" s="1258" t="s">
        <v>47</v>
      </c>
      <c r="F67" s="1745"/>
      <c r="G67" s="352" t="s">
        <v>45</v>
      </c>
      <c r="H67" s="83"/>
      <c r="I67" s="46"/>
      <c r="J67" s="180"/>
      <c r="K67" s="117">
        <v>40</v>
      </c>
      <c r="L67" s="46">
        <v>40</v>
      </c>
      <c r="M67" s="180"/>
      <c r="N67" s="83"/>
      <c r="O67" s="46"/>
      <c r="P67" s="180"/>
      <c r="Q67" s="1305" t="s">
        <v>46</v>
      </c>
      <c r="R67" s="401">
        <v>1</v>
      </c>
      <c r="S67" s="581"/>
      <c r="T67" s="1343"/>
      <c r="U67" s="534"/>
    </row>
    <row r="68" spans="1:21" ht="15" customHeight="1" x14ac:dyDescent="0.2">
      <c r="A68" s="1266"/>
      <c r="B68" s="1293"/>
      <c r="C68" s="1285"/>
      <c r="D68" s="1742"/>
      <c r="E68" s="482"/>
      <c r="F68" s="1746"/>
      <c r="G68" s="79"/>
      <c r="H68" s="79"/>
      <c r="I68" s="206"/>
      <c r="J68" s="56"/>
      <c r="K68" s="95"/>
      <c r="L68" s="206"/>
      <c r="M68" s="95"/>
      <c r="N68" s="79"/>
      <c r="O68" s="206"/>
      <c r="P68" s="56"/>
      <c r="Q68" s="1303" t="s">
        <v>144</v>
      </c>
      <c r="R68" s="412"/>
      <c r="S68" s="415">
        <v>30</v>
      </c>
      <c r="T68" s="413">
        <v>60</v>
      </c>
      <c r="U68" s="534"/>
    </row>
    <row r="69" spans="1:21" ht="11.25" customHeight="1" x14ac:dyDescent="0.2">
      <c r="A69" s="1266"/>
      <c r="B69" s="1293"/>
      <c r="C69" s="1285"/>
      <c r="D69" s="1711"/>
      <c r="E69" s="1257"/>
      <c r="F69" s="1747"/>
      <c r="G69" s="120"/>
      <c r="H69" s="82"/>
      <c r="I69" s="39"/>
      <c r="J69" s="162"/>
      <c r="K69" s="143"/>
      <c r="L69" s="39"/>
      <c r="M69" s="143"/>
      <c r="N69" s="82"/>
      <c r="O69" s="39"/>
      <c r="P69" s="162"/>
      <c r="Q69" s="1306"/>
      <c r="R69" s="414"/>
      <c r="S69" s="480"/>
      <c r="T69" s="694"/>
      <c r="U69" s="424"/>
    </row>
    <row r="70" spans="1:21" ht="15" customHeight="1" x14ac:dyDescent="0.2">
      <c r="A70" s="1266"/>
      <c r="B70" s="1293"/>
      <c r="C70" s="1285"/>
      <c r="D70" s="1713" t="s">
        <v>279</v>
      </c>
      <c r="E70" s="1734" t="s">
        <v>47</v>
      </c>
      <c r="F70" s="1736"/>
      <c r="G70" s="306" t="s">
        <v>25</v>
      </c>
      <c r="H70" s="79"/>
      <c r="I70" s="499">
        <v>10</v>
      </c>
      <c r="J70" s="636">
        <f>I70-H70</f>
        <v>10</v>
      </c>
      <c r="K70" s="95"/>
      <c r="L70" s="206"/>
      <c r="M70" s="95"/>
      <c r="N70" s="79"/>
      <c r="O70" s="206"/>
      <c r="P70" s="56"/>
      <c r="Q70" s="1682" t="s">
        <v>46</v>
      </c>
      <c r="R70" s="1289">
        <v>1</v>
      </c>
      <c r="S70" s="1261"/>
      <c r="T70" s="1288"/>
      <c r="U70" s="1956" t="s">
        <v>369</v>
      </c>
    </row>
    <row r="71" spans="1:21" ht="79.5" customHeight="1" x14ac:dyDescent="0.2">
      <c r="A71" s="1266"/>
      <c r="B71" s="1293"/>
      <c r="C71" s="1285"/>
      <c r="D71" s="1714"/>
      <c r="E71" s="1737"/>
      <c r="F71" s="1736"/>
      <c r="G71" s="120"/>
      <c r="H71" s="82"/>
      <c r="I71" s="39"/>
      <c r="J71" s="162"/>
      <c r="K71" s="143"/>
      <c r="L71" s="39"/>
      <c r="M71" s="143"/>
      <c r="N71" s="82"/>
      <c r="O71" s="39"/>
      <c r="P71" s="162"/>
      <c r="Q71" s="1741"/>
      <c r="R71" s="1329"/>
      <c r="S71" s="282"/>
      <c r="T71" s="1315"/>
      <c r="U71" s="1940"/>
    </row>
    <row r="72" spans="1:21" ht="24.75" customHeight="1" thickBot="1" x14ac:dyDescent="0.25">
      <c r="A72" s="64"/>
      <c r="B72" s="1282"/>
      <c r="C72" s="91"/>
      <c r="D72" s="214"/>
      <c r="E72" s="718"/>
      <c r="F72" s="91"/>
      <c r="G72" s="85" t="s">
        <v>6</v>
      </c>
      <c r="H72" s="165">
        <f>SUM(H58:H71)</f>
        <v>3716.7</v>
      </c>
      <c r="I72" s="167">
        <f>SUM(I58:I71)</f>
        <v>3490.6</v>
      </c>
      <c r="J72" s="1469">
        <f>SUM(J58:J71)</f>
        <v>-226.1</v>
      </c>
      <c r="K72" s="165">
        <f t="shared" ref="K72:L72" si="6">SUM(K58:K71)</f>
        <v>1248.5999999999999</v>
      </c>
      <c r="L72" s="167">
        <f t="shared" si="6"/>
        <v>1484.7</v>
      </c>
      <c r="M72" s="1469">
        <f t="shared" ref="M72:P72" si="7">SUM(M58:M71)</f>
        <v>236.1</v>
      </c>
      <c r="N72" s="165">
        <f t="shared" ref="N72:O72" si="8">SUM(N58:N71)</f>
        <v>500</v>
      </c>
      <c r="O72" s="167">
        <f t="shared" si="8"/>
        <v>500</v>
      </c>
      <c r="P72" s="196">
        <f t="shared" si="7"/>
        <v>0</v>
      </c>
      <c r="Q72" s="698"/>
      <c r="R72" s="171"/>
      <c r="S72" s="587"/>
      <c r="T72" s="170"/>
      <c r="U72" s="1972"/>
    </row>
    <row r="73" spans="1:21" ht="14.1" customHeight="1" x14ac:dyDescent="0.2">
      <c r="A73" s="1280" t="s">
        <v>5</v>
      </c>
      <c r="B73" s="246" t="s">
        <v>5</v>
      </c>
      <c r="C73" s="1325" t="s">
        <v>33</v>
      </c>
      <c r="D73" s="1644" t="s">
        <v>51</v>
      </c>
      <c r="E73" s="1748" t="s">
        <v>87</v>
      </c>
      <c r="F73" s="111" t="s">
        <v>43</v>
      </c>
      <c r="G73" s="1009" t="s">
        <v>99</v>
      </c>
      <c r="H73" s="83">
        <v>54.3</v>
      </c>
      <c r="I73" s="46">
        <v>54.3</v>
      </c>
      <c r="J73" s="638"/>
      <c r="K73" s="117"/>
      <c r="L73" s="46"/>
      <c r="M73" s="117"/>
      <c r="N73" s="83"/>
      <c r="O73" s="46"/>
      <c r="P73" s="180"/>
      <c r="Q73" s="1158"/>
      <c r="R73" s="242"/>
      <c r="S73" s="576"/>
      <c r="T73" s="1344"/>
      <c r="U73" s="603"/>
    </row>
    <row r="74" spans="1:21" ht="14.1" customHeight="1" x14ac:dyDescent="0.2">
      <c r="A74" s="1266"/>
      <c r="B74" s="1293"/>
      <c r="C74" s="1268"/>
      <c r="D74" s="1727"/>
      <c r="E74" s="1749"/>
      <c r="F74" s="1254"/>
      <c r="G74" s="58" t="s">
        <v>48</v>
      </c>
      <c r="H74" s="79">
        <v>1300</v>
      </c>
      <c r="I74" s="206">
        <v>1300</v>
      </c>
      <c r="J74" s="56"/>
      <c r="K74" s="95"/>
      <c r="L74" s="206"/>
      <c r="M74" s="95"/>
      <c r="N74" s="79"/>
      <c r="O74" s="206"/>
      <c r="P74" s="56"/>
      <c r="Q74" s="1445"/>
      <c r="R74" s="1460"/>
      <c r="S74" s="282"/>
      <c r="T74" s="1458"/>
      <c r="U74" s="1461"/>
    </row>
    <row r="75" spans="1:21" ht="14.1" customHeight="1" x14ac:dyDescent="0.2">
      <c r="A75" s="1266"/>
      <c r="B75" s="1293"/>
      <c r="C75" s="1268"/>
      <c r="D75" s="489"/>
      <c r="E75" s="1749"/>
      <c r="F75" s="1254"/>
      <c r="G75" s="43" t="s">
        <v>25</v>
      </c>
      <c r="H75" s="79">
        <v>10</v>
      </c>
      <c r="I75" s="206">
        <v>10</v>
      </c>
      <c r="J75" s="56"/>
      <c r="K75" s="95">
        <v>24.6</v>
      </c>
      <c r="L75" s="206">
        <v>24.6</v>
      </c>
      <c r="M75" s="95"/>
      <c r="N75" s="79">
        <v>22.5</v>
      </c>
      <c r="O75" s="206">
        <v>22.5</v>
      </c>
      <c r="P75" s="56"/>
      <c r="Q75" s="1445"/>
      <c r="R75" s="1460"/>
      <c r="S75" s="282"/>
      <c r="T75" s="1458"/>
      <c r="U75" s="1461"/>
    </row>
    <row r="76" spans="1:21" ht="17.25" customHeight="1" x14ac:dyDescent="0.2">
      <c r="A76" s="1266"/>
      <c r="B76" s="1293"/>
      <c r="C76" s="1268"/>
      <c r="D76" s="489"/>
      <c r="E76" s="1750"/>
      <c r="F76" s="1254"/>
      <c r="G76" s="79" t="s">
        <v>44</v>
      </c>
      <c r="H76" s="79"/>
      <c r="I76" s="206"/>
      <c r="J76" s="56"/>
      <c r="K76" s="95">
        <v>425</v>
      </c>
      <c r="L76" s="206">
        <v>425</v>
      </c>
      <c r="M76" s="95"/>
      <c r="N76" s="79">
        <v>425</v>
      </c>
      <c r="O76" s="206">
        <v>425</v>
      </c>
      <c r="P76" s="56"/>
      <c r="Q76" s="1445"/>
      <c r="R76" s="1460"/>
      <c r="S76" s="282"/>
      <c r="T76" s="1458"/>
      <c r="U76" s="1461"/>
    </row>
    <row r="77" spans="1:21" ht="15" customHeight="1" x14ac:dyDescent="0.2">
      <c r="A77" s="1266"/>
      <c r="B77" s="1293"/>
      <c r="C77" s="1268"/>
      <c r="D77" s="1707" t="s">
        <v>59</v>
      </c>
      <c r="E77" s="1734" t="s">
        <v>47</v>
      </c>
      <c r="F77" s="1732"/>
      <c r="G77" s="1009" t="s">
        <v>99</v>
      </c>
      <c r="H77" s="83"/>
      <c r="I77" s="637">
        <v>-54.3</v>
      </c>
      <c r="J77" s="638">
        <f>I77-H77</f>
        <v>-54.3</v>
      </c>
      <c r="K77" s="117"/>
      <c r="L77" s="46"/>
      <c r="M77" s="117"/>
      <c r="N77" s="83"/>
      <c r="O77" s="46"/>
      <c r="P77" s="180"/>
      <c r="Q77" s="1751" t="s">
        <v>215</v>
      </c>
      <c r="R77" s="1459">
        <v>100</v>
      </c>
      <c r="S77" s="1261"/>
      <c r="T77" s="1457"/>
      <c r="U77" s="1956" t="s">
        <v>378</v>
      </c>
    </row>
    <row r="78" spans="1:21" ht="63.75" customHeight="1" x14ac:dyDescent="0.2">
      <c r="A78" s="1266"/>
      <c r="B78" s="1293"/>
      <c r="C78" s="1268"/>
      <c r="D78" s="1742"/>
      <c r="E78" s="1737"/>
      <c r="F78" s="1732"/>
      <c r="G78" s="1010"/>
      <c r="H78" s="82"/>
      <c r="I78" s="39"/>
      <c r="J78" s="162"/>
      <c r="K78" s="143"/>
      <c r="L78" s="39"/>
      <c r="M78" s="143"/>
      <c r="N78" s="82"/>
      <c r="O78" s="39"/>
      <c r="P78" s="162"/>
      <c r="Q78" s="1752"/>
      <c r="R78" s="1460"/>
      <c r="S78" s="282"/>
      <c r="T78" s="1458"/>
      <c r="U78" s="1958"/>
    </row>
    <row r="79" spans="1:21" ht="14.25" customHeight="1" x14ac:dyDescent="0.2">
      <c r="A79" s="1704"/>
      <c r="B79" s="1729"/>
      <c r="C79" s="1706"/>
      <c r="D79" s="1713" t="s">
        <v>242</v>
      </c>
      <c r="E79" s="1760" t="s">
        <v>47</v>
      </c>
      <c r="F79" s="1762"/>
      <c r="G79" s="43"/>
      <c r="H79" s="79"/>
      <c r="I79" s="206"/>
      <c r="J79" s="56"/>
      <c r="K79" s="95"/>
      <c r="L79" s="206"/>
      <c r="M79" s="95"/>
      <c r="N79" s="79"/>
      <c r="O79" s="206"/>
      <c r="P79" s="56"/>
      <c r="Q79" s="1439" t="s">
        <v>46</v>
      </c>
      <c r="R79" s="1459">
        <v>1</v>
      </c>
      <c r="S79" s="1261"/>
      <c r="T79" s="1457"/>
      <c r="U79" s="1461"/>
    </row>
    <row r="80" spans="1:21" ht="21" customHeight="1" x14ac:dyDescent="0.2">
      <c r="A80" s="1704"/>
      <c r="B80" s="1729"/>
      <c r="C80" s="1706"/>
      <c r="D80" s="1714"/>
      <c r="E80" s="1761"/>
      <c r="F80" s="1762"/>
      <c r="G80" s="79"/>
      <c r="H80" s="79"/>
      <c r="I80" s="206"/>
      <c r="J80" s="56"/>
      <c r="K80" s="95"/>
      <c r="L80" s="206"/>
      <c r="M80" s="95"/>
      <c r="N80" s="79"/>
      <c r="O80" s="206"/>
      <c r="P80" s="56"/>
      <c r="Q80" s="1758" t="s">
        <v>136</v>
      </c>
      <c r="R80" s="1460"/>
      <c r="S80" s="282">
        <v>50</v>
      </c>
      <c r="T80" s="1458">
        <v>100</v>
      </c>
      <c r="U80" s="1461"/>
    </row>
    <row r="81" spans="1:21" ht="18.75" customHeight="1" x14ac:dyDescent="0.2">
      <c r="A81" s="1704"/>
      <c r="B81" s="1729"/>
      <c r="C81" s="1706"/>
      <c r="D81" s="1714"/>
      <c r="E81" s="1761"/>
      <c r="F81" s="1762"/>
      <c r="G81" s="120"/>
      <c r="H81" s="82"/>
      <c r="I81" s="39"/>
      <c r="J81" s="162"/>
      <c r="K81" s="143"/>
      <c r="L81" s="39"/>
      <c r="M81" s="143"/>
      <c r="N81" s="82"/>
      <c r="O81" s="39"/>
      <c r="P81" s="162"/>
      <c r="Q81" s="1717"/>
      <c r="R81" s="1460"/>
      <c r="S81" s="282"/>
      <c r="T81" s="1458"/>
      <c r="U81" s="1461"/>
    </row>
    <row r="82" spans="1:21" ht="16.5" customHeight="1" thickBot="1" x14ac:dyDescent="0.25">
      <c r="A82" s="64"/>
      <c r="B82" s="1282"/>
      <c r="C82" s="91"/>
      <c r="D82" s="214"/>
      <c r="E82" s="718"/>
      <c r="F82" s="91"/>
      <c r="G82" s="85" t="s">
        <v>6</v>
      </c>
      <c r="H82" s="165">
        <f>SUM(H73:H81)</f>
        <v>1364.3</v>
      </c>
      <c r="I82" s="167">
        <f>SUM(I73:I81)</f>
        <v>1310</v>
      </c>
      <c r="J82" s="1469">
        <f>SUM(J73:J81)</f>
        <v>-54.3</v>
      </c>
      <c r="K82" s="165">
        <f t="shared" ref="K82:L82" si="9">SUM(K73:K81)</f>
        <v>449.6</v>
      </c>
      <c r="L82" s="167">
        <f t="shared" si="9"/>
        <v>449.6</v>
      </c>
      <c r="M82" s="196">
        <f t="shared" ref="M82:P82" si="10">SUM(M73:M81)</f>
        <v>0</v>
      </c>
      <c r="N82" s="165">
        <f t="shared" ref="N82:O82" si="11">SUM(N73:N81)</f>
        <v>447.5</v>
      </c>
      <c r="O82" s="167">
        <f t="shared" si="11"/>
        <v>447.5</v>
      </c>
      <c r="P82" s="196">
        <f t="shared" si="10"/>
        <v>0</v>
      </c>
      <c r="Q82" s="1475"/>
      <c r="R82" s="171"/>
      <c r="S82" s="587"/>
      <c r="T82" s="170"/>
      <c r="U82" s="497"/>
    </row>
    <row r="83" spans="1:21" ht="14.1" customHeight="1" x14ac:dyDescent="0.2">
      <c r="A83" s="1280" t="s">
        <v>5</v>
      </c>
      <c r="B83" s="246" t="s">
        <v>5</v>
      </c>
      <c r="C83" s="1325" t="s">
        <v>34</v>
      </c>
      <c r="D83" s="1644" t="s">
        <v>94</v>
      </c>
      <c r="E83" s="1763" t="s">
        <v>85</v>
      </c>
      <c r="F83" s="1284" t="s">
        <v>43</v>
      </c>
      <c r="G83" s="1159" t="s">
        <v>25</v>
      </c>
      <c r="H83" s="197">
        <v>515.79999999999995</v>
      </c>
      <c r="I83" s="166">
        <v>515.79999999999995</v>
      </c>
      <c r="J83" s="317"/>
      <c r="K83" s="197">
        <v>82</v>
      </c>
      <c r="L83" s="166">
        <v>82</v>
      </c>
      <c r="M83" s="198"/>
      <c r="N83" s="197">
        <v>160.6</v>
      </c>
      <c r="O83" s="166">
        <v>160.6</v>
      </c>
      <c r="P83" s="317"/>
      <c r="Q83" s="215"/>
      <c r="R83" s="310"/>
      <c r="S83" s="583"/>
      <c r="T83" s="490"/>
      <c r="U83" s="491"/>
    </row>
    <row r="84" spans="1:21" ht="14.1" customHeight="1" x14ac:dyDescent="0.2">
      <c r="A84" s="1266"/>
      <c r="B84" s="1293"/>
      <c r="C84" s="1268"/>
      <c r="D84" s="1645"/>
      <c r="E84" s="1764"/>
      <c r="F84" s="1285"/>
      <c r="G84" s="692" t="s">
        <v>60</v>
      </c>
      <c r="H84" s="79">
        <v>18.2</v>
      </c>
      <c r="I84" s="206">
        <v>18.2</v>
      </c>
      <c r="J84" s="56"/>
      <c r="K84" s="95"/>
      <c r="L84" s="206"/>
      <c r="M84" s="95"/>
      <c r="N84" s="79"/>
      <c r="O84" s="206"/>
      <c r="P84" s="56"/>
      <c r="Q84" s="1445"/>
      <c r="R84" s="1448"/>
      <c r="S84" s="584"/>
      <c r="T84" s="357"/>
      <c r="U84" s="300"/>
    </row>
    <row r="85" spans="1:21" ht="14.1" customHeight="1" x14ac:dyDescent="0.2">
      <c r="A85" s="1266"/>
      <c r="B85" s="1293"/>
      <c r="C85" s="1268"/>
      <c r="D85" s="1646"/>
      <c r="E85" s="1765"/>
      <c r="F85" s="1285"/>
      <c r="G85" s="82" t="s">
        <v>99</v>
      </c>
      <c r="H85" s="82">
        <v>845.7</v>
      </c>
      <c r="I85" s="39">
        <v>845.7</v>
      </c>
      <c r="J85" s="162"/>
      <c r="K85" s="143">
        <v>800</v>
      </c>
      <c r="L85" s="39">
        <v>800</v>
      </c>
      <c r="M85" s="143"/>
      <c r="N85" s="82">
        <v>800</v>
      </c>
      <c r="O85" s="39">
        <v>800</v>
      </c>
      <c r="P85" s="162"/>
      <c r="Q85" s="193"/>
      <c r="R85" s="1454"/>
      <c r="S85" s="580"/>
      <c r="T85" s="152"/>
      <c r="U85" s="300"/>
    </row>
    <row r="86" spans="1:21" ht="33.75" customHeight="1" x14ac:dyDescent="0.2">
      <c r="A86" s="1266"/>
      <c r="B86" s="1293"/>
      <c r="C86" s="1268"/>
      <c r="D86" s="1713" t="s">
        <v>323</v>
      </c>
      <c r="E86" s="103" t="s">
        <v>47</v>
      </c>
      <c r="F86" s="1285"/>
      <c r="G86" s="79" t="s">
        <v>99</v>
      </c>
      <c r="H86" s="79"/>
      <c r="I86" s="499">
        <v>-200</v>
      </c>
      <c r="J86" s="636">
        <f>I86-H86</f>
        <v>-200</v>
      </c>
      <c r="K86" s="95"/>
      <c r="L86" s="499">
        <v>200</v>
      </c>
      <c r="M86" s="1433">
        <f>L86-K86</f>
        <v>200</v>
      </c>
      <c r="N86" s="79"/>
      <c r="O86" s="206"/>
      <c r="P86" s="56"/>
      <c r="Q86" s="1438" t="s">
        <v>324</v>
      </c>
      <c r="R86" s="1570" t="s">
        <v>364</v>
      </c>
      <c r="S86" s="1571">
        <v>100</v>
      </c>
      <c r="T86" s="357"/>
      <c r="U86" s="1956" t="s">
        <v>384</v>
      </c>
    </row>
    <row r="87" spans="1:21" ht="30.75" customHeight="1" x14ac:dyDescent="0.2">
      <c r="A87" s="1560"/>
      <c r="B87" s="1562"/>
      <c r="C87" s="1561"/>
      <c r="D87" s="1714"/>
      <c r="E87" s="1569"/>
      <c r="F87" s="1559"/>
      <c r="G87" s="79" t="s">
        <v>99</v>
      </c>
      <c r="H87" s="79"/>
      <c r="I87" s="499">
        <v>10</v>
      </c>
      <c r="J87" s="636">
        <v>10</v>
      </c>
      <c r="K87" s="95"/>
      <c r="L87" s="206"/>
      <c r="M87" s="95"/>
      <c r="N87" s="79"/>
      <c r="O87" s="206"/>
      <c r="P87" s="56"/>
      <c r="Q87" s="1564"/>
      <c r="R87" s="1495">
        <v>80</v>
      </c>
      <c r="S87" s="584"/>
      <c r="T87" s="357"/>
      <c r="U87" s="1940"/>
    </row>
    <row r="88" spans="1:21" ht="88.5" customHeight="1" x14ac:dyDescent="0.2">
      <c r="A88" s="1266"/>
      <c r="B88" s="1293"/>
      <c r="C88" s="1268"/>
      <c r="D88" s="1714"/>
      <c r="E88" s="1316"/>
      <c r="F88" s="1285"/>
      <c r="G88" s="1572" t="s">
        <v>25</v>
      </c>
      <c r="H88" s="1335"/>
      <c r="I88" s="627">
        <v>-10</v>
      </c>
      <c r="J88" s="639">
        <f>I88-H88</f>
        <v>-10</v>
      </c>
      <c r="K88" s="115"/>
      <c r="L88" s="39"/>
      <c r="M88" s="143"/>
      <c r="N88" s="82"/>
      <c r="O88" s="39"/>
      <c r="P88" s="162"/>
      <c r="Q88" s="1452"/>
      <c r="R88" s="1454"/>
      <c r="S88" s="584"/>
      <c r="T88" s="357"/>
      <c r="U88" s="1962"/>
    </row>
    <row r="89" spans="1:21" ht="15.75" customHeight="1" x14ac:dyDescent="0.2">
      <c r="A89" s="1266"/>
      <c r="B89" s="1293"/>
      <c r="C89" s="1268"/>
      <c r="D89" s="1713" t="s">
        <v>201</v>
      </c>
      <c r="E89" s="103" t="s">
        <v>47</v>
      </c>
      <c r="F89" s="1285"/>
      <c r="G89" s="79"/>
      <c r="H89" s="79"/>
      <c r="I89" s="206"/>
      <c r="J89" s="56"/>
      <c r="K89" s="95"/>
      <c r="L89" s="206"/>
      <c r="M89" s="95"/>
      <c r="N89" s="79"/>
      <c r="O89" s="206"/>
      <c r="P89" s="56"/>
      <c r="Q89" s="1682" t="s">
        <v>205</v>
      </c>
      <c r="R89" s="691">
        <v>10</v>
      </c>
      <c r="S89" s="677">
        <v>40</v>
      </c>
      <c r="T89" s="1345">
        <v>80</v>
      </c>
      <c r="U89" s="1970"/>
    </row>
    <row r="90" spans="1:21" ht="19.5" customHeight="1" x14ac:dyDescent="0.2">
      <c r="A90" s="1266"/>
      <c r="B90" s="1293"/>
      <c r="C90" s="1268"/>
      <c r="D90" s="1759"/>
      <c r="E90" s="504"/>
      <c r="F90" s="1285"/>
      <c r="G90" s="1010"/>
      <c r="H90" s="82"/>
      <c r="I90" s="39"/>
      <c r="J90" s="162"/>
      <c r="K90" s="143"/>
      <c r="L90" s="39"/>
      <c r="M90" s="143"/>
      <c r="N90" s="82"/>
      <c r="O90" s="39"/>
      <c r="P90" s="162"/>
      <c r="Q90" s="1703"/>
      <c r="R90" s="1454"/>
      <c r="S90" s="580"/>
      <c r="T90" s="152"/>
      <c r="U90" s="1971"/>
    </row>
    <row r="91" spans="1:21" ht="15" customHeight="1" x14ac:dyDescent="0.2">
      <c r="A91" s="1266"/>
      <c r="B91" s="1293"/>
      <c r="C91" s="1268"/>
      <c r="D91" s="1713" t="s">
        <v>130</v>
      </c>
      <c r="E91" s="1734" t="s">
        <v>309</v>
      </c>
      <c r="F91" s="1285"/>
      <c r="G91" s="79"/>
      <c r="H91" s="79"/>
      <c r="I91" s="206"/>
      <c r="J91" s="56"/>
      <c r="K91" s="117"/>
      <c r="L91" s="46"/>
      <c r="M91" s="117"/>
      <c r="N91" s="83"/>
      <c r="O91" s="46"/>
      <c r="P91" s="180"/>
      <c r="Q91" s="1444" t="s">
        <v>46</v>
      </c>
      <c r="R91" s="1447">
        <v>1</v>
      </c>
      <c r="S91" s="579"/>
      <c r="T91" s="1326"/>
      <c r="U91" s="1971"/>
    </row>
    <row r="92" spans="1:21" ht="39.75" customHeight="1" x14ac:dyDescent="0.2">
      <c r="A92" s="1266"/>
      <c r="B92" s="1293"/>
      <c r="C92" s="1285"/>
      <c r="D92" s="1753"/>
      <c r="E92" s="1754"/>
      <c r="F92" s="1285"/>
      <c r="G92" s="82"/>
      <c r="H92" s="82"/>
      <c r="I92" s="39"/>
      <c r="J92" s="162"/>
      <c r="K92" s="143"/>
      <c r="L92" s="39"/>
      <c r="M92" s="143"/>
      <c r="N92" s="82"/>
      <c r="O92" s="39"/>
      <c r="P92" s="162"/>
      <c r="Q92" s="1440" t="s">
        <v>318</v>
      </c>
      <c r="R92" s="19"/>
      <c r="S92" s="283"/>
      <c r="T92" s="44"/>
      <c r="U92" s="1971"/>
    </row>
    <row r="93" spans="1:21" ht="14.25" customHeight="1" x14ac:dyDescent="0.2">
      <c r="A93" s="1266"/>
      <c r="B93" s="1293"/>
      <c r="C93" s="1268"/>
      <c r="D93" s="1713" t="s">
        <v>222</v>
      </c>
      <c r="E93" s="103" t="s">
        <v>47</v>
      </c>
      <c r="F93" s="1285"/>
      <c r="G93" s="79"/>
      <c r="H93" s="79"/>
      <c r="I93" s="206"/>
      <c r="J93" s="56"/>
      <c r="K93" s="95"/>
      <c r="L93" s="206"/>
      <c r="M93" s="95"/>
      <c r="N93" s="79"/>
      <c r="O93" s="206"/>
      <c r="P93" s="56"/>
      <c r="Q93" s="1444" t="s">
        <v>46</v>
      </c>
      <c r="R93" s="505"/>
      <c r="S93" s="1756">
        <v>1</v>
      </c>
      <c r="T93" s="1326"/>
      <c r="U93" s="1971"/>
    </row>
    <row r="94" spans="1:21" ht="9.75" customHeight="1" x14ac:dyDescent="0.2">
      <c r="A94" s="1266"/>
      <c r="B94" s="1293"/>
      <c r="C94" s="1268"/>
      <c r="D94" s="1755"/>
      <c r="E94" s="640"/>
      <c r="F94" s="1285"/>
      <c r="G94" s="82"/>
      <c r="H94" s="82"/>
      <c r="I94" s="39"/>
      <c r="J94" s="162"/>
      <c r="K94" s="143"/>
      <c r="L94" s="39"/>
      <c r="M94" s="143"/>
      <c r="N94" s="82"/>
      <c r="O94" s="39"/>
      <c r="P94" s="162"/>
      <c r="Q94" s="1477"/>
      <c r="R94" s="1448"/>
      <c r="S94" s="1757"/>
      <c r="T94" s="357"/>
      <c r="U94" s="1971"/>
    </row>
    <row r="95" spans="1:21" ht="16.5" customHeight="1" thickBot="1" x14ac:dyDescent="0.25">
      <c r="A95" s="64"/>
      <c r="B95" s="1282"/>
      <c r="C95" s="91"/>
      <c r="D95" s="214"/>
      <c r="E95" s="718"/>
      <c r="F95" s="91"/>
      <c r="G95" s="85" t="s">
        <v>6</v>
      </c>
      <c r="H95" s="165">
        <f t="shared" ref="H95:P95" si="12">SUM(H83:H94)</f>
        <v>1379.7</v>
      </c>
      <c r="I95" s="167">
        <f t="shared" si="12"/>
        <v>1179.7</v>
      </c>
      <c r="J95" s="196">
        <f t="shared" si="12"/>
        <v>-200</v>
      </c>
      <c r="K95" s="165">
        <f t="shared" si="12"/>
        <v>882</v>
      </c>
      <c r="L95" s="167">
        <f t="shared" si="12"/>
        <v>1082</v>
      </c>
      <c r="M95" s="196">
        <f t="shared" si="12"/>
        <v>200</v>
      </c>
      <c r="N95" s="165">
        <f t="shared" si="12"/>
        <v>960.6</v>
      </c>
      <c r="O95" s="167">
        <f t="shared" si="12"/>
        <v>960.6</v>
      </c>
      <c r="P95" s="196">
        <f t="shared" si="12"/>
        <v>0</v>
      </c>
      <c r="Q95" s="1475"/>
      <c r="R95" s="171"/>
      <c r="S95" s="587"/>
      <c r="T95" s="170"/>
      <c r="U95" s="497"/>
    </row>
    <row r="96" spans="1:21" ht="29.25" customHeight="1" x14ac:dyDescent="0.2">
      <c r="A96" s="1266" t="s">
        <v>5</v>
      </c>
      <c r="B96" s="1293" t="s">
        <v>5</v>
      </c>
      <c r="C96" s="1268" t="s">
        <v>35</v>
      </c>
      <c r="D96" s="192" t="s">
        <v>72</v>
      </c>
      <c r="E96" s="365" t="s">
        <v>89</v>
      </c>
      <c r="F96" s="1301" t="s">
        <v>43</v>
      </c>
      <c r="G96" s="65"/>
      <c r="H96" s="1336"/>
      <c r="I96" s="350"/>
      <c r="J96" s="479"/>
      <c r="K96" s="349"/>
      <c r="L96" s="350"/>
      <c r="M96" s="349"/>
      <c r="N96" s="1336"/>
      <c r="O96" s="350"/>
      <c r="P96" s="479"/>
      <c r="Q96" s="59"/>
      <c r="R96" s="50"/>
      <c r="S96" s="50"/>
      <c r="T96" s="50"/>
      <c r="U96" s="1348"/>
    </row>
    <row r="97" spans="1:21" ht="14.25" customHeight="1" x14ac:dyDescent="0.2">
      <c r="A97" s="1266"/>
      <c r="B97" s="1293"/>
      <c r="C97" s="1268"/>
      <c r="D97" s="1713" t="s">
        <v>128</v>
      </c>
      <c r="E97" s="1734" t="s">
        <v>309</v>
      </c>
      <c r="F97" s="1285"/>
      <c r="G97" s="60" t="s">
        <v>99</v>
      </c>
      <c r="H97" s="79">
        <v>243.1</v>
      </c>
      <c r="I97" s="206">
        <v>243.1</v>
      </c>
      <c r="J97" s="56"/>
      <c r="K97" s="95"/>
      <c r="L97" s="206"/>
      <c r="M97" s="95"/>
      <c r="N97" s="79">
        <v>1200</v>
      </c>
      <c r="O97" s="206">
        <v>1200</v>
      </c>
      <c r="P97" s="56"/>
      <c r="Q97" s="1287" t="s">
        <v>46</v>
      </c>
      <c r="R97" s="415">
        <v>1</v>
      </c>
      <c r="S97" s="1288"/>
      <c r="T97" s="1288"/>
      <c r="U97" s="1278"/>
    </row>
    <row r="98" spans="1:21" ht="13.5" customHeight="1" x14ac:dyDescent="0.2">
      <c r="A98" s="1266"/>
      <c r="B98" s="1293"/>
      <c r="C98" s="1268"/>
      <c r="D98" s="1714"/>
      <c r="E98" s="1777"/>
      <c r="F98" s="1285"/>
      <c r="G98" s="60" t="s">
        <v>243</v>
      </c>
      <c r="H98" s="79"/>
      <c r="I98" s="206"/>
      <c r="J98" s="56"/>
      <c r="K98" s="95">
        <v>5000</v>
      </c>
      <c r="L98" s="206">
        <v>5000</v>
      </c>
      <c r="M98" s="95"/>
      <c r="N98" s="79">
        <v>8609.1</v>
      </c>
      <c r="O98" s="206">
        <v>8609.1</v>
      </c>
      <c r="P98" s="56"/>
      <c r="Q98" s="1778" t="s">
        <v>234</v>
      </c>
      <c r="R98" s="415"/>
      <c r="S98" s="1315">
        <v>60</v>
      </c>
      <c r="T98" s="1315">
        <v>90</v>
      </c>
      <c r="U98" s="1278"/>
    </row>
    <row r="99" spans="1:21" ht="14.25" customHeight="1" x14ac:dyDescent="0.2">
      <c r="A99" s="1266"/>
      <c r="B99" s="1293"/>
      <c r="C99" s="1268"/>
      <c r="D99" s="1714"/>
      <c r="E99" s="1777"/>
      <c r="F99" s="1285"/>
      <c r="G99" s="60" t="s">
        <v>304</v>
      </c>
      <c r="H99" s="79"/>
      <c r="I99" s="206"/>
      <c r="J99" s="56"/>
      <c r="K99" s="95">
        <v>10000</v>
      </c>
      <c r="L99" s="206">
        <v>10000</v>
      </c>
      <c r="M99" s="95"/>
      <c r="N99" s="79"/>
      <c r="O99" s="206"/>
      <c r="P99" s="56"/>
      <c r="Q99" s="1779"/>
      <c r="R99" s="415"/>
      <c r="S99" s="1315"/>
      <c r="T99" s="1315"/>
      <c r="U99" s="1278"/>
    </row>
    <row r="100" spans="1:21" ht="16.5" customHeight="1" thickBot="1" x14ac:dyDescent="0.25">
      <c r="A100" s="64"/>
      <c r="B100" s="1282"/>
      <c r="C100" s="91"/>
      <c r="D100" s="214"/>
      <c r="E100" s="718"/>
      <c r="F100" s="91"/>
      <c r="G100" s="85" t="s">
        <v>6</v>
      </c>
      <c r="H100" s="165">
        <f t="shared" ref="H100:P100" si="13">SUM(H97:H99)</f>
        <v>243.1</v>
      </c>
      <c r="I100" s="167">
        <f t="shared" si="13"/>
        <v>243.1</v>
      </c>
      <c r="J100" s="196">
        <f t="shared" si="13"/>
        <v>0</v>
      </c>
      <c r="K100" s="165">
        <f t="shared" si="13"/>
        <v>15000</v>
      </c>
      <c r="L100" s="167">
        <f t="shared" si="13"/>
        <v>15000</v>
      </c>
      <c r="M100" s="196">
        <f t="shared" si="13"/>
        <v>0</v>
      </c>
      <c r="N100" s="165">
        <f t="shared" si="13"/>
        <v>9809.1</v>
      </c>
      <c r="O100" s="167">
        <f t="shared" si="13"/>
        <v>9809.1</v>
      </c>
      <c r="P100" s="196">
        <f t="shared" si="13"/>
        <v>0</v>
      </c>
      <c r="Q100" s="698"/>
      <c r="R100" s="171"/>
      <c r="S100" s="587"/>
      <c r="T100" s="170"/>
      <c r="U100" s="37"/>
    </row>
    <row r="101" spans="1:21" ht="27" customHeight="1" x14ac:dyDescent="0.2">
      <c r="A101" s="1266" t="s">
        <v>5</v>
      </c>
      <c r="B101" s="1293" t="s">
        <v>5</v>
      </c>
      <c r="C101" s="200" t="s">
        <v>36</v>
      </c>
      <c r="D101" s="104" t="s">
        <v>206</v>
      </c>
      <c r="E101" s="121"/>
      <c r="F101" s="1325" t="s">
        <v>43</v>
      </c>
      <c r="G101" s="683" t="s">
        <v>25</v>
      </c>
      <c r="H101" s="1337">
        <v>28</v>
      </c>
      <c r="I101" s="1340">
        <v>28</v>
      </c>
      <c r="J101" s="1338"/>
      <c r="K101" s="119">
        <v>28</v>
      </c>
      <c r="L101" s="150">
        <v>28</v>
      </c>
      <c r="M101" s="119"/>
      <c r="N101" s="139">
        <v>28</v>
      </c>
      <c r="O101" s="150">
        <v>28</v>
      </c>
      <c r="P101" s="354"/>
      <c r="Q101" s="66"/>
      <c r="R101" s="25"/>
      <c r="S101" s="588"/>
      <c r="T101" s="1346"/>
      <c r="U101" s="1248"/>
    </row>
    <row r="102" spans="1:21" ht="13.5" customHeight="1" x14ac:dyDescent="0.2">
      <c r="A102" s="1266"/>
      <c r="B102" s="1293"/>
      <c r="C102" s="89"/>
      <c r="D102" s="382" t="s">
        <v>84</v>
      </c>
      <c r="E102" s="1269"/>
      <c r="F102" s="1268"/>
      <c r="G102" s="83"/>
      <c r="H102" s="83"/>
      <c r="I102" s="46"/>
      <c r="J102" s="180"/>
      <c r="K102" s="117"/>
      <c r="L102" s="46"/>
      <c r="M102" s="117"/>
      <c r="N102" s="83"/>
      <c r="O102" s="46"/>
      <c r="P102" s="180"/>
      <c r="Q102" s="1780" t="s">
        <v>133</v>
      </c>
      <c r="R102" s="401">
        <v>100</v>
      </c>
      <c r="S102" s="581">
        <v>100</v>
      </c>
      <c r="T102" s="1343">
        <v>100</v>
      </c>
      <c r="U102" s="534"/>
    </row>
    <row r="103" spans="1:21" ht="11.25" customHeight="1" x14ac:dyDescent="0.2">
      <c r="A103" s="1266"/>
      <c r="B103" s="1293"/>
      <c r="C103" s="89"/>
      <c r="D103" s="138"/>
      <c r="E103" s="1323"/>
      <c r="F103" s="1285"/>
      <c r="G103" s="79"/>
      <c r="H103" s="79"/>
      <c r="I103" s="206"/>
      <c r="J103" s="56"/>
      <c r="K103" s="95"/>
      <c r="L103" s="206"/>
      <c r="M103" s="95"/>
      <c r="N103" s="79"/>
      <c r="O103" s="206"/>
      <c r="P103" s="56"/>
      <c r="Q103" s="1781"/>
      <c r="R103" s="412"/>
      <c r="S103" s="415"/>
      <c r="T103" s="413"/>
      <c r="U103" s="534"/>
    </row>
    <row r="104" spans="1:21" s="8" customFormat="1" ht="49.5" customHeight="1" x14ac:dyDescent="0.2">
      <c r="A104" s="1266"/>
      <c r="B104" s="1293"/>
      <c r="C104" s="1268"/>
      <c r="D104" s="446" t="s">
        <v>77</v>
      </c>
      <c r="E104" s="230"/>
      <c r="F104" s="1301"/>
      <c r="G104" s="684"/>
      <c r="H104" s="609"/>
      <c r="I104" s="356"/>
      <c r="J104" s="355"/>
      <c r="K104" s="311"/>
      <c r="L104" s="356"/>
      <c r="M104" s="311"/>
      <c r="N104" s="609"/>
      <c r="O104" s="356"/>
      <c r="P104" s="355"/>
      <c r="Q104" s="1782"/>
      <c r="R104" s="402"/>
      <c r="S104" s="585"/>
      <c r="T104" s="1347"/>
      <c r="U104" s="604"/>
    </row>
    <row r="105" spans="1:21" ht="16.5" customHeight="1" thickBot="1" x14ac:dyDescent="0.25">
      <c r="A105" s="64"/>
      <c r="B105" s="1282"/>
      <c r="C105" s="91"/>
      <c r="D105" s="214"/>
      <c r="E105" s="718"/>
      <c r="F105" s="91"/>
      <c r="G105" s="85" t="s">
        <v>6</v>
      </c>
      <c r="H105" s="165">
        <f>SUM(H101:H104)</f>
        <v>28</v>
      </c>
      <c r="I105" s="167">
        <f>SUM(I101:I104)</f>
        <v>28</v>
      </c>
      <c r="J105" s="196">
        <f>SUM(J101:J104)</f>
        <v>0</v>
      </c>
      <c r="K105" s="165">
        <f t="shared" ref="K105:L105" si="14">SUM(K101:K104)</f>
        <v>28</v>
      </c>
      <c r="L105" s="167">
        <f t="shared" si="14"/>
        <v>28</v>
      </c>
      <c r="M105" s="196">
        <f t="shared" ref="M105:P105" si="15">SUM(M101:M104)</f>
        <v>0</v>
      </c>
      <c r="N105" s="165">
        <f t="shared" ref="N105:O105" si="16">SUM(N101:N104)</f>
        <v>28</v>
      </c>
      <c r="O105" s="167">
        <f t="shared" si="16"/>
        <v>28</v>
      </c>
      <c r="P105" s="196">
        <f t="shared" si="15"/>
        <v>0</v>
      </c>
      <c r="Q105" s="698"/>
      <c r="R105" s="171"/>
      <c r="S105" s="587"/>
      <c r="T105" s="170"/>
      <c r="U105" s="497"/>
    </row>
    <row r="106" spans="1:21" ht="14.25" customHeight="1" thickBot="1" x14ac:dyDescent="0.25">
      <c r="A106" s="74" t="s">
        <v>5</v>
      </c>
      <c r="B106" s="247" t="s">
        <v>5</v>
      </c>
      <c r="C106" s="1766" t="s">
        <v>8</v>
      </c>
      <c r="D106" s="1767"/>
      <c r="E106" s="1767"/>
      <c r="F106" s="1767"/>
      <c r="G106" s="1768"/>
      <c r="H106" s="313">
        <f t="shared" ref="H106:P106" si="17">H105+H100+H95+H82+H72+H57+H41</f>
        <v>10120</v>
      </c>
      <c r="I106" s="75">
        <f t="shared" si="17"/>
        <v>9639.6</v>
      </c>
      <c r="J106" s="1339">
        <f t="shared" si="17"/>
        <v>-480.4</v>
      </c>
      <c r="K106" s="313">
        <f t="shared" si="17"/>
        <v>20547.5</v>
      </c>
      <c r="L106" s="75">
        <f t="shared" si="17"/>
        <v>20983.599999999999</v>
      </c>
      <c r="M106" s="1339">
        <f t="shared" si="17"/>
        <v>436.1</v>
      </c>
      <c r="N106" s="313">
        <f t="shared" si="17"/>
        <v>15679.6</v>
      </c>
      <c r="O106" s="75">
        <f t="shared" si="17"/>
        <v>15679.6</v>
      </c>
      <c r="P106" s="1339">
        <f t="shared" si="17"/>
        <v>0</v>
      </c>
      <c r="Q106" s="1262"/>
      <c r="R106" s="1304"/>
      <c r="S106" s="1304"/>
      <c r="T106" s="1262"/>
      <c r="U106" s="1263"/>
    </row>
    <row r="107" spans="1:21" ht="14.25" customHeight="1" thickBot="1" x14ac:dyDescent="0.25">
      <c r="A107" s="74" t="s">
        <v>5</v>
      </c>
      <c r="B107" s="247" t="s">
        <v>7</v>
      </c>
      <c r="C107" s="1769" t="s">
        <v>32</v>
      </c>
      <c r="D107" s="1769"/>
      <c r="E107" s="1769"/>
      <c r="F107" s="1769"/>
      <c r="G107" s="1769"/>
      <c r="H107" s="1769"/>
      <c r="I107" s="1769"/>
      <c r="J107" s="1769"/>
      <c r="K107" s="1769"/>
      <c r="L107" s="1769"/>
      <c r="M107" s="1769"/>
      <c r="N107" s="1769"/>
      <c r="O107" s="1769"/>
      <c r="P107" s="1769"/>
      <c r="Q107" s="1769"/>
      <c r="R107" s="1771"/>
      <c r="S107" s="1771"/>
      <c r="T107" s="1771"/>
      <c r="U107" s="1772"/>
    </row>
    <row r="108" spans="1:21" ht="14.1" customHeight="1" x14ac:dyDescent="0.2">
      <c r="A108" s="1638" t="s">
        <v>5</v>
      </c>
      <c r="B108" s="1640" t="s">
        <v>7</v>
      </c>
      <c r="C108" s="1639" t="s">
        <v>5</v>
      </c>
      <c r="D108" s="321" t="s">
        <v>56</v>
      </c>
      <c r="E108" s="1784" t="s">
        <v>112</v>
      </c>
      <c r="F108" s="1641">
        <v>6</v>
      </c>
      <c r="G108" s="58" t="s">
        <v>25</v>
      </c>
      <c r="H108" s="79">
        <v>5098.3</v>
      </c>
      <c r="I108" s="499">
        <f>5098.3-2062.6</f>
        <v>3035.7</v>
      </c>
      <c r="J108" s="1433">
        <f>I108-H108</f>
        <v>-2062.6</v>
      </c>
      <c r="K108" s="79">
        <f>5248-99+5</f>
        <v>5154</v>
      </c>
      <c r="L108" s="206">
        <f>5248-99+5</f>
        <v>5154</v>
      </c>
      <c r="M108" s="95"/>
      <c r="N108" s="79">
        <f>5245.4+5</f>
        <v>5250.4</v>
      </c>
      <c r="O108" s="206">
        <f>5245.4+5</f>
        <v>5250.4</v>
      </c>
      <c r="P108" s="95"/>
      <c r="Q108" s="161"/>
      <c r="R108" s="159"/>
      <c r="S108" s="477"/>
      <c r="T108" s="456"/>
      <c r="U108" s="1940" t="s">
        <v>385</v>
      </c>
    </row>
    <row r="109" spans="1:21" ht="14.1" customHeight="1" x14ac:dyDescent="0.2">
      <c r="A109" s="1410"/>
      <c r="B109" s="1412"/>
      <c r="C109" s="1411"/>
      <c r="D109" s="321"/>
      <c r="E109" s="1784"/>
      <c r="F109" s="1417"/>
      <c r="G109" s="79" t="s">
        <v>60</v>
      </c>
      <c r="H109" s="79"/>
      <c r="I109" s="499">
        <v>2062.6</v>
      </c>
      <c r="J109" s="1433">
        <f>I109-H109</f>
        <v>2062.6</v>
      </c>
      <c r="K109" s="79"/>
      <c r="L109" s="206"/>
      <c r="M109" s="95"/>
      <c r="N109" s="79"/>
      <c r="O109" s="206"/>
      <c r="P109" s="95"/>
      <c r="Q109" s="161"/>
      <c r="R109" s="159"/>
      <c r="S109" s="477"/>
      <c r="T109" s="456"/>
      <c r="U109" s="1940"/>
    </row>
    <row r="110" spans="1:21" ht="18.75" customHeight="1" x14ac:dyDescent="0.2">
      <c r="A110" s="1266"/>
      <c r="B110" s="1293"/>
      <c r="C110" s="1268"/>
      <c r="D110" s="321"/>
      <c r="E110" s="1740"/>
      <c r="F110" s="1285"/>
      <c r="G110" s="79" t="s">
        <v>68</v>
      </c>
      <c r="H110" s="79">
        <v>198.7</v>
      </c>
      <c r="I110" s="206">
        <v>198.7</v>
      </c>
      <c r="J110" s="95"/>
      <c r="K110" s="79">
        <v>295.7</v>
      </c>
      <c r="L110" s="206">
        <v>295.7</v>
      </c>
      <c r="M110" s="95"/>
      <c r="N110" s="79">
        <v>107</v>
      </c>
      <c r="O110" s="206">
        <v>107</v>
      </c>
      <c r="P110" s="95"/>
      <c r="Q110" s="161"/>
      <c r="R110" s="159"/>
      <c r="S110" s="477"/>
      <c r="T110" s="456"/>
      <c r="U110" s="1941"/>
    </row>
    <row r="111" spans="1:21" ht="23.25" customHeight="1" x14ac:dyDescent="0.2">
      <c r="A111" s="1266"/>
      <c r="B111" s="1293"/>
      <c r="C111" s="1268"/>
      <c r="D111" s="322"/>
      <c r="E111" s="1685"/>
      <c r="F111" s="1319"/>
      <c r="G111" s="82" t="s">
        <v>75</v>
      </c>
      <c r="H111" s="82">
        <f>350+55</f>
        <v>405</v>
      </c>
      <c r="I111" s="39">
        <f>350+55</f>
        <v>405</v>
      </c>
      <c r="J111" s="143"/>
      <c r="K111" s="82"/>
      <c r="L111" s="39"/>
      <c r="M111" s="143"/>
      <c r="N111" s="82"/>
      <c r="O111" s="39"/>
      <c r="P111" s="143"/>
      <c r="Q111" s="185"/>
      <c r="R111" s="184"/>
      <c r="S111" s="478"/>
      <c r="T111" s="1366"/>
      <c r="U111" s="1942"/>
    </row>
    <row r="112" spans="1:21" ht="14.25" customHeight="1" x14ac:dyDescent="0.2">
      <c r="A112" s="1266"/>
      <c r="B112" s="1293"/>
      <c r="C112" s="1268"/>
      <c r="D112" s="1264" t="s">
        <v>52</v>
      </c>
      <c r="E112" s="632"/>
      <c r="F112" s="1274"/>
      <c r="G112" s="78"/>
      <c r="H112" s="1168"/>
      <c r="I112" s="1352"/>
      <c r="J112" s="1349"/>
      <c r="K112" s="1168"/>
      <c r="L112" s="1352"/>
      <c r="M112" s="1353"/>
      <c r="N112" s="1168"/>
      <c r="O112" s="1352"/>
      <c r="P112" s="1353"/>
      <c r="Q112" s="1162"/>
      <c r="R112" s="159"/>
      <c r="S112" s="477"/>
      <c r="T112" s="456"/>
      <c r="U112" s="500"/>
    </row>
    <row r="113" spans="1:22" ht="15.75" customHeight="1" x14ac:dyDescent="0.2">
      <c r="A113" s="1266"/>
      <c r="B113" s="1293"/>
      <c r="C113" s="1268"/>
      <c r="D113" s="1773" t="s">
        <v>78</v>
      </c>
      <c r="E113" s="632"/>
      <c r="F113" s="1268"/>
      <c r="G113" s="79"/>
      <c r="H113" s="79"/>
      <c r="I113" s="206"/>
      <c r="J113" s="56"/>
      <c r="K113" s="79"/>
      <c r="L113" s="206"/>
      <c r="M113" s="114"/>
      <c r="N113" s="79"/>
      <c r="O113" s="206"/>
      <c r="P113" s="114"/>
      <c r="Q113" s="1303" t="s">
        <v>41</v>
      </c>
      <c r="R113" s="206">
        <v>6</v>
      </c>
      <c r="S113" s="206">
        <v>6</v>
      </c>
      <c r="T113" s="36">
        <v>6</v>
      </c>
      <c r="U113" s="37"/>
    </row>
    <row r="114" spans="1:22" ht="14.25" customHeight="1" x14ac:dyDescent="0.2">
      <c r="A114" s="1266"/>
      <c r="B114" s="1293"/>
      <c r="C114" s="1268"/>
      <c r="D114" s="1773"/>
      <c r="E114" s="1250"/>
      <c r="F114" s="1268"/>
      <c r="G114" s="79"/>
      <c r="H114" s="79"/>
      <c r="I114" s="206"/>
      <c r="J114" s="56"/>
      <c r="K114" s="79"/>
      <c r="L114" s="206"/>
      <c r="M114" s="114"/>
      <c r="N114" s="79"/>
      <c r="O114" s="206"/>
      <c r="P114" s="114"/>
      <c r="Q114" s="1507"/>
      <c r="R114" s="1512"/>
      <c r="S114" s="282"/>
      <c r="T114" s="1511"/>
      <c r="U114" s="1422"/>
    </row>
    <row r="115" spans="1:22" ht="20.25" customHeight="1" x14ac:dyDescent="0.2">
      <c r="A115" s="1266"/>
      <c r="B115" s="1293"/>
      <c r="C115" s="1268"/>
      <c r="D115" s="1538" t="s">
        <v>79</v>
      </c>
      <c r="E115" s="1250"/>
      <c r="F115" s="1268"/>
      <c r="G115" s="720" t="s">
        <v>75</v>
      </c>
      <c r="H115" s="720"/>
      <c r="I115" s="1472">
        <v>75.2</v>
      </c>
      <c r="J115" s="1473">
        <f>I115-H115</f>
        <v>75.2</v>
      </c>
      <c r="K115" s="1589"/>
      <c r="L115" s="721"/>
      <c r="M115" s="1541"/>
      <c r="N115" s="720"/>
      <c r="O115" s="721"/>
      <c r="P115" s="722"/>
      <c r="Q115" s="1943" t="s">
        <v>370</v>
      </c>
      <c r="R115" s="1472">
        <v>2</v>
      </c>
      <c r="S115" s="1545">
        <v>2</v>
      </c>
      <c r="T115" s="1472">
        <v>2</v>
      </c>
      <c r="U115" s="1965" t="s">
        <v>386</v>
      </c>
    </row>
    <row r="116" spans="1:22" ht="136.5" customHeight="1" x14ac:dyDescent="0.2">
      <c r="A116" s="1504"/>
      <c r="B116" s="1509"/>
      <c r="C116" s="1505"/>
      <c r="D116" s="1506"/>
      <c r="E116" s="1508"/>
      <c r="F116" s="1505"/>
      <c r="G116" s="79"/>
      <c r="H116" s="79"/>
      <c r="I116" s="499"/>
      <c r="J116" s="636"/>
      <c r="K116" s="79"/>
      <c r="L116" s="206"/>
      <c r="M116" s="114"/>
      <c r="N116" s="79"/>
      <c r="O116" s="206"/>
      <c r="P116" s="56"/>
      <c r="Q116" s="1722"/>
      <c r="R116" s="1549"/>
      <c r="S116" s="1550"/>
      <c r="T116" s="1549"/>
      <c r="U116" s="1966"/>
      <c r="V116" s="1635"/>
    </row>
    <row r="117" spans="1:22" ht="30" customHeight="1" x14ac:dyDescent="0.2">
      <c r="A117" s="1504"/>
      <c r="B117" s="1509"/>
      <c r="C117" s="1505"/>
      <c r="D117" s="1537"/>
      <c r="E117" s="1508"/>
      <c r="F117" s="1505"/>
      <c r="G117" s="136"/>
      <c r="H117" s="136"/>
      <c r="I117" s="1542"/>
      <c r="J117" s="1543"/>
      <c r="K117" s="136"/>
      <c r="L117" s="1542"/>
      <c r="M117" s="1544"/>
      <c r="N117" s="136"/>
      <c r="O117" s="1542"/>
      <c r="P117" s="1543"/>
      <c r="Q117" s="1418" t="s">
        <v>138</v>
      </c>
      <c r="R117" s="1539">
        <v>4</v>
      </c>
      <c r="S117" s="1540">
        <v>4</v>
      </c>
      <c r="T117" s="1539">
        <v>4</v>
      </c>
      <c r="U117" s="1551"/>
    </row>
    <row r="118" spans="1:22" ht="26.25" customHeight="1" x14ac:dyDescent="0.2">
      <c r="A118" s="1266"/>
      <c r="B118" s="1293"/>
      <c r="C118" s="1268"/>
      <c r="D118" s="269" t="s">
        <v>80</v>
      </c>
      <c r="E118" s="1250"/>
      <c r="F118" s="1268"/>
      <c r="G118" s="80"/>
      <c r="H118" s="128"/>
      <c r="I118" s="1546"/>
      <c r="J118" s="1547"/>
      <c r="K118" s="128"/>
      <c r="L118" s="1546"/>
      <c r="M118" s="1548"/>
      <c r="N118" s="128"/>
      <c r="O118" s="1546"/>
      <c r="P118" s="1547"/>
      <c r="Q118" s="81" t="s">
        <v>139</v>
      </c>
      <c r="R118" s="175">
        <v>24.8</v>
      </c>
      <c r="S118" s="394">
        <v>24.8</v>
      </c>
      <c r="T118" s="1367">
        <v>24.8</v>
      </c>
      <c r="U118" s="831"/>
    </row>
    <row r="119" spans="1:22" ht="21.75" customHeight="1" x14ac:dyDescent="0.2">
      <c r="A119" s="1266"/>
      <c r="B119" s="1293"/>
      <c r="C119" s="1268"/>
      <c r="D119" s="1774" t="s">
        <v>129</v>
      </c>
      <c r="E119" s="1250"/>
      <c r="F119" s="1268"/>
      <c r="G119" s="79" t="s">
        <v>75</v>
      </c>
      <c r="H119" s="79"/>
      <c r="I119" s="499">
        <v>63.9</v>
      </c>
      <c r="J119" s="636">
        <f>I119-H119</f>
        <v>63.9</v>
      </c>
      <c r="K119" s="79"/>
      <c r="L119" s="206"/>
      <c r="M119" s="114"/>
      <c r="N119" s="79"/>
      <c r="O119" s="206"/>
      <c r="P119" s="114"/>
      <c r="Q119" s="1702" t="s">
        <v>310</v>
      </c>
      <c r="R119" s="1479" t="s">
        <v>362</v>
      </c>
      <c r="S119" s="1512">
        <v>3</v>
      </c>
      <c r="T119" s="1511">
        <v>3</v>
      </c>
      <c r="U119" s="1940" t="s">
        <v>376</v>
      </c>
    </row>
    <row r="120" spans="1:22" ht="21.75" customHeight="1" x14ac:dyDescent="0.2">
      <c r="A120" s="1504"/>
      <c r="B120" s="1509"/>
      <c r="C120" s="1505"/>
      <c r="D120" s="1775"/>
      <c r="E120" s="632"/>
      <c r="F120" s="1505"/>
      <c r="G120" s="79"/>
      <c r="H120" s="79"/>
      <c r="I120" s="499"/>
      <c r="J120" s="636"/>
      <c r="K120" s="79"/>
      <c r="L120" s="206"/>
      <c r="M120" s="95"/>
      <c r="N120" s="79"/>
      <c r="O120" s="206"/>
      <c r="P120" s="95"/>
      <c r="Q120" s="1741"/>
      <c r="R120" s="1479"/>
      <c r="S120" s="1512"/>
      <c r="T120" s="1511"/>
      <c r="U120" s="1940"/>
    </row>
    <row r="121" spans="1:22" ht="90" customHeight="1" x14ac:dyDescent="0.2">
      <c r="A121" s="1266"/>
      <c r="B121" s="1293"/>
      <c r="C121" s="1268"/>
      <c r="D121" s="1775"/>
      <c r="E121" s="632"/>
      <c r="F121" s="1268"/>
      <c r="G121" s="79"/>
      <c r="H121" s="79"/>
      <c r="I121" s="206"/>
      <c r="J121" s="56"/>
      <c r="K121" s="79"/>
      <c r="L121" s="206"/>
      <c r="M121" s="95"/>
      <c r="N121" s="79"/>
      <c r="O121" s="206"/>
      <c r="P121" s="95"/>
      <c r="Q121" s="1776"/>
      <c r="R121" s="44"/>
      <c r="S121" s="19"/>
      <c r="T121" s="1315"/>
      <c r="U121" s="1964"/>
    </row>
    <row r="122" spans="1:22" ht="14.25" customHeight="1" x14ac:dyDescent="0.2">
      <c r="A122" s="1266"/>
      <c r="B122" s="1293"/>
      <c r="C122" s="1268"/>
      <c r="D122" s="256" t="s">
        <v>155</v>
      </c>
      <c r="E122" s="632"/>
      <c r="F122" s="1268"/>
      <c r="G122" s="141"/>
      <c r="H122" s="135"/>
      <c r="I122" s="156"/>
      <c r="J122" s="1350"/>
      <c r="K122" s="135"/>
      <c r="L122" s="156"/>
      <c r="M122" s="373"/>
      <c r="N122" s="135"/>
      <c r="O122" s="156"/>
      <c r="P122" s="373"/>
      <c r="Q122" s="1507"/>
      <c r="R122" s="181"/>
      <c r="S122" s="456"/>
      <c r="T122" s="157"/>
      <c r="U122" s="500"/>
    </row>
    <row r="123" spans="1:22" ht="52.5" customHeight="1" x14ac:dyDescent="0.2">
      <c r="A123" s="1266"/>
      <c r="B123" s="1293"/>
      <c r="C123" s="1268"/>
      <c r="D123" s="257" t="s">
        <v>156</v>
      </c>
      <c r="E123" s="632"/>
      <c r="F123" s="1268"/>
      <c r="G123" s="79"/>
      <c r="H123" s="79"/>
      <c r="I123" s="206"/>
      <c r="J123" s="56"/>
      <c r="K123" s="79"/>
      <c r="L123" s="206"/>
      <c r="M123" s="114"/>
      <c r="N123" s="79"/>
      <c r="O123" s="206"/>
      <c r="P123" s="56"/>
      <c r="Q123" s="41" t="s">
        <v>152</v>
      </c>
      <c r="R123" s="290">
        <v>21</v>
      </c>
      <c r="S123" s="319">
        <v>21</v>
      </c>
      <c r="T123" s="319">
        <v>21</v>
      </c>
      <c r="U123" s="1278"/>
    </row>
    <row r="124" spans="1:22" ht="22.5" customHeight="1" x14ac:dyDescent="0.2">
      <c r="A124" s="1266"/>
      <c r="B124" s="1293"/>
      <c r="C124" s="1268"/>
      <c r="D124" s="1785" t="s">
        <v>157</v>
      </c>
      <c r="E124" s="632"/>
      <c r="F124" s="1268"/>
      <c r="G124" s="79"/>
      <c r="H124" s="79"/>
      <c r="I124" s="206"/>
      <c r="J124" s="56"/>
      <c r="K124" s="79"/>
      <c r="L124" s="206"/>
      <c r="M124" s="114"/>
      <c r="N124" s="79"/>
      <c r="O124" s="206"/>
      <c r="P124" s="114"/>
      <c r="Q124" s="1721" t="s">
        <v>207</v>
      </c>
      <c r="R124" s="289"/>
      <c r="S124" s="1315"/>
      <c r="T124" s="1315">
        <v>17</v>
      </c>
      <c r="U124" s="1278"/>
    </row>
    <row r="125" spans="1:22" ht="21" customHeight="1" x14ac:dyDescent="0.2">
      <c r="A125" s="1266"/>
      <c r="B125" s="1293"/>
      <c r="C125" s="1268"/>
      <c r="D125" s="1786"/>
      <c r="E125" s="632"/>
      <c r="F125" s="1268"/>
      <c r="G125" s="82"/>
      <c r="H125" s="82"/>
      <c r="I125" s="39"/>
      <c r="J125" s="162"/>
      <c r="K125" s="82"/>
      <c r="L125" s="39"/>
      <c r="M125" s="115"/>
      <c r="N125" s="82"/>
      <c r="O125" s="39"/>
      <c r="P125" s="115"/>
      <c r="Q125" s="1703"/>
      <c r="R125" s="287"/>
      <c r="S125" s="44"/>
      <c r="T125" s="44"/>
      <c r="U125" s="1278"/>
    </row>
    <row r="126" spans="1:22" ht="18" customHeight="1" x14ac:dyDescent="0.2">
      <c r="A126" s="1704"/>
      <c r="B126" s="1705"/>
      <c r="C126" s="1706"/>
      <c r="D126" s="1695" t="s">
        <v>42</v>
      </c>
      <c r="E126" s="1732"/>
      <c r="F126" s="1706"/>
      <c r="G126" s="79"/>
      <c r="H126" s="79"/>
      <c r="I126" s="206"/>
      <c r="J126" s="56"/>
      <c r="K126" s="79"/>
      <c r="L126" s="206"/>
      <c r="M126" s="114"/>
      <c r="N126" s="79"/>
      <c r="O126" s="206"/>
      <c r="P126" s="114"/>
      <c r="Q126" s="1787" t="s">
        <v>54</v>
      </c>
      <c r="R126" s="1789">
        <v>7</v>
      </c>
      <c r="S126" s="1791">
        <v>7</v>
      </c>
      <c r="T126" s="1791">
        <v>7</v>
      </c>
      <c r="U126" s="1944"/>
    </row>
    <row r="127" spans="1:22" ht="15" customHeight="1" x14ac:dyDescent="0.2">
      <c r="A127" s="1704"/>
      <c r="B127" s="1705"/>
      <c r="C127" s="1706"/>
      <c r="D127" s="1720"/>
      <c r="E127" s="1732"/>
      <c r="F127" s="1706"/>
      <c r="G127" s="82"/>
      <c r="H127" s="82"/>
      <c r="I127" s="39"/>
      <c r="J127" s="162"/>
      <c r="K127" s="82"/>
      <c r="L127" s="39"/>
      <c r="M127" s="115"/>
      <c r="N127" s="82"/>
      <c r="O127" s="39"/>
      <c r="P127" s="115"/>
      <c r="Q127" s="1788"/>
      <c r="R127" s="1790"/>
      <c r="S127" s="1792"/>
      <c r="T127" s="1792"/>
      <c r="U127" s="1944"/>
    </row>
    <row r="128" spans="1:22" ht="15" customHeight="1" x14ac:dyDescent="0.2">
      <c r="A128" s="1704"/>
      <c r="B128" s="1729"/>
      <c r="C128" s="1706"/>
      <c r="D128" s="1795" t="s">
        <v>301</v>
      </c>
      <c r="E128" s="1797"/>
      <c r="F128" s="1681"/>
      <c r="G128" s="83"/>
      <c r="H128" s="83"/>
      <c r="I128" s="46"/>
      <c r="J128" s="180"/>
      <c r="K128" s="83"/>
      <c r="L128" s="46"/>
      <c r="M128" s="116"/>
      <c r="N128" s="83"/>
      <c r="O128" s="46"/>
      <c r="P128" s="180"/>
      <c r="Q128" s="1305" t="s">
        <v>175</v>
      </c>
      <c r="R128" s="1261"/>
      <c r="S128" s="1288"/>
      <c r="T128" s="1288"/>
      <c r="U128" s="1278"/>
    </row>
    <row r="129" spans="1:21" ht="15" customHeight="1" x14ac:dyDescent="0.2">
      <c r="A129" s="1704"/>
      <c r="B129" s="1729"/>
      <c r="C129" s="1706"/>
      <c r="D129" s="1796"/>
      <c r="E129" s="1797"/>
      <c r="F129" s="1681"/>
      <c r="G129" s="79"/>
      <c r="H129" s="79"/>
      <c r="I129" s="206"/>
      <c r="J129" s="56"/>
      <c r="K129" s="79"/>
      <c r="L129" s="206"/>
      <c r="M129" s="114"/>
      <c r="N129" s="79"/>
      <c r="O129" s="206"/>
      <c r="P129" s="56"/>
      <c r="Q129" s="1303" t="s">
        <v>326</v>
      </c>
      <c r="R129" s="282">
        <v>1</v>
      </c>
      <c r="S129" s="1315">
        <v>1</v>
      </c>
      <c r="T129" s="1315">
        <v>1</v>
      </c>
      <c r="U129" s="1278"/>
    </row>
    <row r="130" spans="1:21" ht="25.5" customHeight="1" x14ac:dyDescent="0.2">
      <c r="A130" s="1704"/>
      <c r="B130" s="1729"/>
      <c r="C130" s="1706"/>
      <c r="D130" s="1796"/>
      <c r="E130" s="1797"/>
      <c r="F130" s="1681"/>
      <c r="G130" s="79"/>
      <c r="H130" s="79"/>
      <c r="I130" s="206"/>
      <c r="J130" s="56"/>
      <c r="K130" s="79"/>
      <c r="L130" s="206"/>
      <c r="M130" s="95"/>
      <c r="N130" s="79"/>
      <c r="O130" s="206"/>
      <c r="P130" s="56"/>
      <c r="Q130" s="1303" t="s">
        <v>325</v>
      </c>
      <c r="R130" s="282">
        <v>1</v>
      </c>
      <c r="S130" s="1315">
        <v>1</v>
      </c>
      <c r="T130" s="1315">
        <v>1</v>
      </c>
      <c r="U130" s="1278"/>
    </row>
    <row r="131" spans="1:21" ht="12.75" customHeight="1" x14ac:dyDescent="0.2">
      <c r="A131" s="1266"/>
      <c r="B131" s="1293"/>
      <c r="C131" s="1268"/>
      <c r="D131" s="1264"/>
      <c r="E131" s="1250"/>
      <c r="F131" s="1285"/>
      <c r="G131" s="79"/>
      <c r="H131" s="79"/>
      <c r="I131" s="206"/>
      <c r="J131" s="56"/>
      <c r="K131" s="95"/>
      <c r="L131" s="206"/>
      <c r="M131" s="95"/>
      <c r="N131" s="79"/>
      <c r="O131" s="206"/>
      <c r="P131" s="56"/>
      <c r="Q131" s="1303" t="s">
        <v>251</v>
      </c>
      <c r="R131" s="282">
        <v>1</v>
      </c>
      <c r="S131" s="1315">
        <v>1</v>
      </c>
      <c r="T131" s="1315"/>
      <c r="U131" s="1278"/>
    </row>
    <row r="132" spans="1:21" ht="15" customHeight="1" x14ac:dyDescent="0.2">
      <c r="A132" s="1266"/>
      <c r="B132" s="1293"/>
      <c r="C132" s="1268"/>
      <c r="D132" s="1264"/>
      <c r="E132" s="632"/>
      <c r="F132" s="1285"/>
      <c r="G132" s="79"/>
      <c r="H132" s="79"/>
      <c r="I132" s="206"/>
      <c r="J132" s="56"/>
      <c r="K132" s="95"/>
      <c r="L132" s="206"/>
      <c r="M132" s="95"/>
      <c r="N132" s="79"/>
      <c r="O132" s="206"/>
      <c r="P132" s="56"/>
      <c r="Q132" s="1303" t="s">
        <v>250</v>
      </c>
      <c r="R132" s="282">
        <v>1</v>
      </c>
      <c r="S132" s="1315">
        <v>1</v>
      </c>
      <c r="T132" s="1315">
        <v>1</v>
      </c>
      <c r="U132" s="1278"/>
    </row>
    <row r="133" spans="1:21" ht="22.5" customHeight="1" x14ac:dyDescent="0.2">
      <c r="A133" s="1704"/>
      <c r="B133" s="1729"/>
      <c r="C133" s="1706"/>
      <c r="D133" s="1695" t="s">
        <v>127</v>
      </c>
      <c r="E133" s="1731" t="s">
        <v>308</v>
      </c>
      <c r="F133" s="1681"/>
      <c r="G133" s="83"/>
      <c r="H133" s="83"/>
      <c r="I133" s="46"/>
      <c r="J133" s="180"/>
      <c r="K133" s="117"/>
      <c r="L133" s="46"/>
      <c r="M133" s="117"/>
      <c r="N133" s="83"/>
      <c r="O133" s="46"/>
      <c r="P133" s="180"/>
      <c r="Q133" s="1246" t="s">
        <v>252</v>
      </c>
      <c r="R133" s="802">
        <v>205</v>
      </c>
      <c r="S133" s="616"/>
      <c r="T133" s="616"/>
      <c r="U133" s="1368"/>
    </row>
    <row r="134" spans="1:21" ht="26.25" customHeight="1" x14ac:dyDescent="0.2">
      <c r="A134" s="1704"/>
      <c r="B134" s="1729"/>
      <c r="C134" s="1706"/>
      <c r="D134" s="1720"/>
      <c r="E134" s="1733"/>
      <c r="F134" s="1681"/>
      <c r="G134" s="82"/>
      <c r="H134" s="82"/>
      <c r="I134" s="39"/>
      <c r="J134" s="162"/>
      <c r="K134" s="82"/>
      <c r="L134" s="39"/>
      <c r="M134" s="143"/>
      <c r="N134" s="82"/>
      <c r="O134" s="39"/>
      <c r="P134" s="162"/>
      <c r="Q134" s="1306" t="s">
        <v>253</v>
      </c>
      <c r="R134" s="1153">
        <f>65+18</f>
        <v>83</v>
      </c>
      <c r="S134" s="1154">
        <v>100</v>
      </c>
      <c r="T134" s="617"/>
      <c r="U134" s="635"/>
    </row>
    <row r="135" spans="1:21" ht="19.5" customHeight="1" x14ac:dyDescent="0.2">
      <c r="A135" s="1297"/>
      <c r="B135" s="1293"/>
      <c r="C135" s="200"/>
      <c r="D135" s="1796" t="s">
        <v>191</v>
      </c>
      <c r="E135" s="1286"/>
      <c r="F135" s="1285"/>
      <c r="G135" s="58"/>
      <c r="H135" s="79"/>
      <c r="I135" s="206"/>
      <c r="J135" s="56"/>
      <c r="K135" s="79"/>
      <c r="L135" s="206"/>
      <c r="M135" s="95"/>
      <c r="N135" s="79"/>
      <c r="O135" s="206"/>
      <c r="P135" s="56"/>
      <c r="Q135" s="1265" t="s">
        <v>192</v>
      </c>
      <c r="R135" s="234">
        <v>1</v>
      </c>
      <c r="S135" s="399"/>
      <c r="T135" s="695"/>
      <c r="U135" s="1248"/>
    </row>
    <row r="136" spans="1:21" ht="15" customHeight="1" x14ac:dyDescent="0.2">
      <c r="A136" s="1297"/>
      <c r="B136" s="1293"/>
      <c r="C136" s="200"/>
      <c r="D136" s="1796"/>
      <c r="E136" s="1286"/>
      <c r="F136" s="1285"/>
      <c r="G136" s="1010"/>
      <c r="H136" s="82"/>
      <c r="I136" s="39"/>
      <c r="J136" s="162"/>
      <c r="K136" s="82"/>
      <c r="L136" s="39"/>
      <c r="M136" s="115"/>
      <c r="N136" s="82"/>
      <c r="O136" s="39"/>
      <c r="P136" s="115"/>
      <c r="Q136" s="1265"/>
      <c r="R136" s="298"/>
      <c r="S136" s="282"/>
      <c r="T136" s="1315"/>
      <c r="U136" s="1278"/>
    </row>
    <row r="137" spans="1:21" ht="16.5" customHeight="1" thickBot="1" x14ac:dyDescent="0.25">
      <c r="A137" s="64"/>
      <c r="B137" s="1282"/>
      <c r="C137" s="91"/>
      <c r="D137" s="214"/>
      <c r="E137" s="718"/>
      <c r="F137" s="91"/>
      <c r="G137" s="85" t="s">
        <v>6</v>
      </c>
      <c r="H137" s="165">
        <f t="shared" ref="H137:P137" si="18">SUM(H108:H136)</f>
        <v>5702</v>
      </c>
      <c r="I137" s="167">
        <f t="shared" si="18"/>
        <v>5841.1</v>
      </c>
      <c r="J137" s="167">
        <f>SUM(J108:J136)</f>
        <v>139.1</v>
      </c>
      <c r="K137" s="165">
        <f t="shared" si="18"/>
        <v>5449.7</v>
      </c>
      <c r="L137" s="167">
        <f t="shared" si="18"/>
        <v>5449.7</v>
      </c>
      <c r="M137" s="196">
        <f t="shared" si="18"/>
        <v>0</v>
      </c>
      <c r="N137" s="165">
        <f t="shared" si="18"/>
        <v>5357.4</v>
      </c>
      <c r="O137" s="167">
        <f t="shared" si="18"/>
        <v>5357.4</v>
      </c>
      <c r="P137" s="196">
        <f t="shared" si="18"/>
        <v>0</v>
      </c>
      <c r="Q137" s="698"/>
      <c r="R137" s="171"/>
      <c r="S137" s="587"/>
      <c r="T137" s="170"/>
      <c r="U137" s="37"/>
    </row>
    <row r="138" spans="1:21" ht="27.75" customHeight="1" x14ac:dyDescent="0.2">
      <c r="A138" s="1290" t="s">
        <v>5</v>
      </c>
      <c r="B138" s="1291" t="s">
        <v>7</v>
      </c>
      <c r="C138" s="1283" t="s">
        <v>7</v>
      </c>
      <c r="D138" s="894" t="s">
        <v>272</v>
      </c>
      <c r="E138" s="884"/>
      <c r="F138" s="888"/>
      <c r="G138" s="67"/>
      <c r="H138" s="76"/>
      <c r="I138" s="173"/>
      <c r="J138" s="1351"/>
      <c r="K138" s="889"/>
      <c r="L138" s="1354"/>
      <c r="M138" s="889"/>
      <c r="N138" s="67"/>
      <c r="O138" s="1354"/>
      <c r="P138" s="1355"/>
      <c r="Q138" s="890"/>
      <c r="R138" s="891"/>
      <c r="S138" s="892"/>
      <c r="T138" s="892"/>
      <c r="U138" s="314"/>
    </row>
    <row r="139" spans="1:21" ht="14.25" customHeight="1" x14ac:dyDescent="0.2">
      <c r="A139" s="1297"/>
      <c r="B139" s="1293"/>
      <c r="C139" s="200"/>
      <c r="D139" s="1695" t="s">
        <v>120</v>
      </c>
      <c r="E139" s="1731" t="s">
        <v>229</v>
      </c>
      <c r="F139" s="1271">
        <v>6</v>
      </c>
      <c r="G139" s="83" t="s">
        <v>68</v>
      </c>
      <c r="H139" s="83">
        <f>33.4+48</f>
        <v>81.400000000000006</v>
      </c>
      <c r="I139" s="46">
        <f>33.4+48</f>
        <v>81.400000000000006</v>
      </c>
      <c r="J139" s="180"/>
      <c r="K139" s="83">
        <v>80</v>
      </c>
      <c r="L139" s="46">
        <v>80</v>
      </c>
      <c r="M139" s="180"/>
      <c r="N139" s="83"/>
      <c r="O139" s="46"/>
      <c r="P139" s="180"/>
      <c r="Q139" s="1303" t="s">
        <v>194</v>
      </c>
      <c r="R139" s="1329">
        <v>8</v>
      </c>
      <c r="S139" s="1329">
        <v>5</v>
      </c>
      <c r="T139" s="1288"/>
      <c r="U139" s="1278"/>
    </row>
    <row r="140" spans="1:21" ht="13.5" customHeight="1" x14ac:dyDescent="0.2">
      <c r="A140" s="1297"/>
      <c r="B140" s="1293"/>
      <c r="C140" s="200"/>
      <c r="D140" s="1696"/>
      <c r="E140" s="1732"/>
      <c r="F140" s="1271"/>
      <c r="G140" s="79" t="s">
        <v>75</v>
      </c>
      <c r="H140" s="79">
        <v>6.8</v>
      </c>
      <c r="I140" s="206">
        <v>6.8</v>
      </c>
      <c r="J140" s="56"/>
      <c r="K140" s="79"/>
      <c r="L140" s="206"/>
      <c r="M140" s="56"/>
      <c r="N140" s="79"/>
      <c r="O140" s="206"/>
      <c r="P140" s="56"/>
      <c r="Q140" s="1327"/>
      <c r="R140" s="633"/>
      <c r="S140" s="633"/>
      <c r="T140" s="319"/>
      <c r="U140" s="1278"/>
    </row>
    <row r="141" spans="1:21" ht="30" customHeight="1" x14ac:dyDescent="0.2">
      <c r="A141" s="1297"/>
      <c r="B141" s="1293"/>
      <c r="C141" s="200"/>
      <c r="D141" s="1811"/>
      <c r="E141" s="107"/>
      <c r="F141" s="1319"/>
      <c r="G141" s="82"/>
      <c r="H141" s="82"/>
      <c r="I141" s="39"/>
      <c r="J141" s="162"/>
      <c r="K141" s="82"/>
      <c r="L141" s="39"/>
      <c r="M141" s="162"/>
      <c r="N141" s="82"/>
      <c r="O141" s="39"/>
      <c r="P141" s="162"/>
      <c r="Q141" s="193" t="s">
        <v>121</v>
      </c>
      <c r="R141" s="19">
        <v>8</v>
      </c>
      <c r="S141" s="283">
        <v>5</v>
      </c>
      <c r="T141" s="44"/>
      <c r="U141" s="1278"/>
    </row>
    <row r="142" spans="1:21" ht="16.5" customHeight="1" x14ac:dyDescent="0.2">
      <c r="A142" s="299"/>
      <c r="B142" s="1292"/>
      <c r="C142" s="1271"/>
      <c r="D142" s="1695" t="s">
        <v>273</v>
      </c>
      <c r="E142" s="1250" t="s">
        <v>47</v>
      </c>
      <c r="F142" s="1285" t="s">
        <v>43</v>
      </c>
      <c r="G142" s="547" t="s">
        <v>68</v>
      </c>
      <c r="H142" s="79">
        <v>462.4</v>
      </c>
      <c r="I142" s="206">
        <v>462.4</v>
      </c>
      <c r="J142" s="56"/>
      <c r="K142" s="95">
        <v>160</v>
      </c>
      <c r="L142" s="206">
        <v>160</v>
      </c>
      <c r="M142" s="95"/>
      <c r="N142" s="79">
        <v>354.4</v>
      </c>
      <c r="O142" s="206">
        <v>354.4</v>
      </c>
      <c r="P142" s="56"/>
      <c r="Q142" s="1327" t="s">
        <v>245</v>
      </c>
      <c r="R142" s="757" t="s">
        <v>244</v>
      </c>
      <c r="S142" s="600"/>
      <c r="T142" s="600"/>
      <c r="U142" s="314"/>
    </row>
    <row r="143" spans="1:21" ht="15" customHeight="1" x14ac:dyDescent="0.2">
      <c r="A143" s="299"/>
      <c r="B143" s="1292"/>
      <c r="C143" s="1271"/>
      <c r="D143" s="1810"/>
      <c r="E143" s="1250"/>
      <c r="F143" s="1285"/>
      <c r="G143" s="547" t="s">
        <v>60</v>
      </c>
      <c r="H143" s="79">
        <v>0.4</v>
      </c>
      <c r="I143" s="206">
        <v>0.4</v>
      </c>
      <c r="J143" s="56"/>
      <c r="K143" s="95"/>
      <c r="L143" s="206"/>
      <c r="M143" s="95"/>
      <c r="N143" s="79"/>
      <c r="O143" s="206"/>
      <c r="P143" s="56"/>
      <c r="Q143" s="1279" t="s">
        <v>208</v>
      </c>
      <c r="R143" s="467" t="s">
        <v>55</v>
      </c>
      <c r="S143" s="181"/>
      <c r="T143" s="181"/>
      <c r="U143" s="314"/>
    </row>
    <row r="144" spans="1:21" ht="15.75" customHeight="1" x14ac:dyDescent="0.2">
      <c r="A144" s="299"/>
      <c r="B144" s="1292"/>
      <c r="C144" s="1271"/>
      <c r="D144" s="1810"/>
      <c r="E144" s="1250"/>
      <c r="F144" s="1285"/>
      <c r="G144" s="547"/>
      <c r="H144" s="79"/>
      <c r="I144" s="206"/>
      <c r="J144" s="56"/>
      <c r="K144" s="95"/>
      <c r="L144" s="206"/>
      <c r="M144" s="95"/>
      <c r="N144" s="79"/>
      <c r="O144" s="206"/>
      <c r="P144" s="56"/>
      <c r="Q144" s="610" t="s">
        <v>246</v>
      </c>
      <c r="R144" s="467"/>
      <c r="S144" s="181"/>
      <c r="T144" s="181" t="s">
        <v>183</v>
      </c>
      <c r="U144" s="314"/>
    </row>
    <row r="145" spans="1:21" ht="40.5" customHeight="1" x14ac:dyDescent="0.2">
      <c r="A145" s="299"/>
      <c r="B145" s="1292"/>
      <c r="C145" s="1271"/>
      <c r="D145" s="1275"/>
      <c r="E145" s="1519"/>
      <c r="F145" s="1516"/>
      <c r="G145" s="69"/>
      <c r="H145" s="79"/>
      <c r="I145" s="206"/>
      <c r="J145" s="56"/>
      <c r="K145" s="95"/>
      <c r="L145" s="206"/>
      <c r="M145" s="95"/>
      <c r="N145" s="79"/>
      <c r="O145" s="206"/>
      <c r="P145" s="56"/>
      <c r="Q145" s="1252" t="s">
        <v>317</v>
      </c>
      <c r="R145" s="914"/>
      <c r="S145" s="409" t="s">
        <v>55</v>
      </c>
      <c r="T145" s="409"/>
      <c r="U145" s="314"/>
    </row>
    <row r="146" spans="1:21" ht="15.75" customHeight="1" thickBot="1" x14ac:dyDescent="0.25">
      <c r="A146" s="64"/>
      <c r="B146" s="1282"/>
      <c r="C146" s="91"/>
      <c r="D146" s="214"/>
      <c r="E146" s="718"/>
      <c r="F146" s="91"/>
      <c r="G146" s="85" t="s">
        <v>6</v>
      </c>
      <c r="H146" s="165">
        <f>SUM(H139:H145)</f>
        <v>551</v>
      </c>
      <c r="I146" s="167">
        <f>SUM(I139:I145)</f>
        <v>551</v>
      </c>
      <c r="J146" s="1555"/>
      <c r="K146" s="165">
        <f t="shared" ref="K146:P146" si="19">SUM(K139:K145)</f>
        <v>240</v>
      </c>
      <c r="L146" s="167">
        <f t="shared" si="19"/>
        <v>240</v>
      </c>
      <c r="M146" s="196">
        <f t="shared" si="19"/>
        <v>0</v>
      </c>
      <c r="N146" s="165">
        <f t="shared" si="19"/>
        <v>354.4</v>
      </c>
      <c r="O146" s="167">
        <f t="shared" si="19"/>
        <v>354.4</v>
      </c>
      <c r="P146" s="196">
        <f t="shared" si="19"/>
        <v>0</v>
      </c>
      <c r="Q146" s="698"/>
      <c r="R146" s="171"/>
      <c r="S146" s="587"/>
      <c r="T146" s="170"/>
      <c r="U146" s="37"/>
    </row>
    <row r="147" spans="1:21" ht="14.25" customHeight="1" x14ac:dyDescent="0.2">
      <c r="A147" s="1945" t="s">
        <v>5</v>
      </c>
      <c r="B147" s="1946" t="s">
        <v>7</v>
      </c>
      <c r="C147" s="1906" t="s">
        <v>28</v>
      </c>
      <c r="D147" s="1947" t="s">
        <v>119</v>
      </c>
      <c r="E147" s="716" t="s">
        <v>47</v>
      </c>
      <c r="F147" s="1906">
        <v>5</v>
      </c>
      <c r="G147" s="58" t="s">
        <v>60</v>
      </c>
      <c r="H147" s="79">
        <v>113</v>
      </c>
      <c r="I147" s="206">
        <v>113</v>
      </c>
      <c r="J147" s="56"/>
      <c r="K147" s="95"/>
      <c r="L147" s="206"/>
      <c r="M147" s="95"/>
      <c r="N147" s="197"/>
      <c r="O147" s="166"/>
      <c r="P147" s="317"/>
      <c r="Q147" s="1948" t="s">
        <v>209</v>
      </c>
      <c r="R147" s="249"/>
      <c r="S147" s="679">
        <v>17</v>
      </c>
      <c r="T147" s="553"/>
      <c r="U147" s="1278"/>
    </row>
    <row r="148" spans="1:21" ht="14.25" customHeight="1" x14ac:dyDescent="0.2">
      <c r="A148" s="1804"/>
      <c r="B148" s="1806"/>
      <c r="C148" s="1808"/>
      <c r="D148" s="1696"/>
      <c r="E148" s="717" t="s">
        <v>230</v>
      </c>
      <c r="F148" s="1808"/>
      <c r="G148" s="58" t="s">
        <v>25</v>
      </c>
      <c r="H148" s="79"/>
      <c r="I148" s="206"/>
      <c r="J148" s="56"/>
      <c r="K148" s="95">
        <v>639.5</v>
      </c>
      <c r="L148" s="206">
        <v>639.5</v>
      </c>
      <c r="M148" s="95"/>
      <c r="N148" s="79"/>
      <c r="O148" s="206"/>
      <c r="P148" s="56"/>
      <c r="Q148" s="1798"/>
      <c r="R148" s="1329"/>
      <c r="S148" s="282"/>
      <c r="T148" s="1315"/>
      <c r="U148" s="1278"/>
    </row>
    <row r="149" spans="1:21" ht="15" customHeight="1" x14ac:dyDescent="0.2">
      <c r="A149" s="1804"/>
      <c r="B149" s="1806"/>
      <c r="C149" s="1808"/>
      <c r="D149" s="1696"/>
      <c r="E149" s="717"/>
      <c r="F149" s="1808"/>
      <c r="G149" s="58" t="s">
        <v>223</v>
      </c>
      <c r="H149" s="79">
        <v>4264.5</v>
      </c>
      <c r="I149" s="206">
        <v>4264.5</v>
      </c>
      <c r="J149" s="56"/>
      <c r="K149" s="95"/>
      <c r="L149" s="206"/>
      <c r="M149" s="95"/>
      <c r="N149" s="79"/>
      <c r="O149" s="206"/>
      <c r="P149" s="56"/>
      <c r="Q149" s="1799"/>
      <c r="R149" s="1329"/>
      <c r="S149" s="282"/>
      <c r="T149" s="1315"/>
      <c r="U149" s="1278"/>
    </row>
    <row r="150" spans="1:21" ht="16.5" customHeight="1" thickBot="1" x14ac:dyDescent="0.25">
      <c r="A150" s="1805"/>
      <c r="B150" s="1807"/>
      <c r="C150" s="1809"/>
      <c r="D150" s="214"/>
      <c r="E150" s="718"/>
      <c r="F150" s="1809"/>
      <c r="G150" s="85" t="s">
        <v>6</v>
      </c>
      <c r="H150" s="165">
        <f t="shared" ref="H150:P150" si="20">SUM(H147:H149)</f>
        <v>4377.5</v>
      </c>
      <c r="I150" s="167">
        <f t="shared" si="20"/>
        <v>4377.5</v>
      </c>
      <c r="J150" s="196">
        <f t="shared" si="20"/>
        <v>0</v>
      </c>
      <c r="K150" s="250">
        <f>SUM(K147:K149)</f>
        <v>639.5</v>
      </c>
      <c r="L150" s="167">
        <f t="shared" si="20"/>
        <v>639.5</v>
      </c>
      <c r="M150" s="250">
        <f t="shared" si="20"/>
        <v>0</v>
      </c>
      <c r="N150" s="165">
        <f t="shared" si="20"/>
        <v>0</v>
      </c>
      <c r="O150" s="167">
        <f t="shared" si="20"/>
        <v>0</v>
      </c>
      <c r="P150" s="196">
        <f t="shared" si="20"/>
        <v>0</v>
      </c>
      <c r="Q150" s="698"/>
      <c r="R150" s="171"/>
      <c r="S150" s="587"/>
      <c r="T150" s="170"/>
      <c r="U150" s="497"/>
    </row>
    <row r="151" spans="1:21" ht="14.25" customHeight="1" thickBot="1" x14ac:dyDescent="0.25">
      <c r="A151" s="86" t="s">
        <v>5</v>
      </c>
      <c r="B151" s="247" t="s">
        <v>7</v>
      </c>
      <c r="C151" s="1766" t="s">
        <v>8</v>
      </c>
      <c r="D151" s="1767"/>
      <c r="E151" s="1767"/>
      <c r="F151" s="1767"/>
      <c r="G151" s="1768"/>
      <c r="H151" s="313">
        <f>H150+H146+H137</f>
        <v>10630.5</v>
      </c>
      <c r="I151" s="313">
        <f t="shared" ref="I151:J151" si="21">I150+I146+I137</f>
        <v>10769.6</v>
      </c>
      <c r="J151" s="313">
        <f t="shared" si="21"/>
        <v>139.1</v>
      </c>
      <c r="K151" s="313">
        <f t="shared" ref="K151:P151" si="22">K150+K146+K137</f>
        <v>6329.2</v>
      </c>
      <c r="L151" s="75">
        <f t="shared" si="22"/>
        <v>6329.2</v>
      </c>
      <c r="M151" s="860">
        <f t="shared" si="22"/>
        <v>0</v>
      </c>
      <c r="N151" s="313">
        <f t="shared" si="22"/>
        <v>5711.8</v>
      </c>
      <c r="O151" s="75">
        <f t="shared" si="22"/>
        <v>5711.8</v>
      </c>
      <c r="P151" s="1339">
        <f t="shared" si="22"/>
        <v>0</v>
      </c>
      <c r="Q151" s="1800"/>
      <c r="R151" s="1800"/>
      <c r="S151" s="1800"/>
      <c r="T151" s="1800"/>
      <c r="U151" s="1801"/>
    </row>
    <row r="152" spans="1:21" ht="18" customHeight="1" thickBot="1" x14ac:dyDescent="0.25">
      <c r="A152" s="74" t="s">
        <v>5</v>
      </c>
      <c r="B152" s="247" t="s">
        <v>28</v>
      </c>
      <c r="C152" s="1771" t="s">
        <v>110</v>
      </c>
      <c r="D152" s="1802"/>
      <c r="E152" s="1802"/>
      <c r="F152" s="1802"/>
      <c r="G152" s="1802"/>
      <c r="H152" s="1802"/>
      <c r="I152" s="1802"/>
      <c r="J152" s="1802"/>
      <c r="K152" s="1802"/>
      <c r="L152" s="1802"/>
      <c r="M152" s="1802"/>
      <c r="N152" s="1802"/>
      <c r="O152" s="1802"/>
      <c r="P152" s="1802"/>
      <c r="Q152" s="1802"/>
      <c r="R152" s="1802"/>
      <c r="S152" s="1802"/>
      <c r="T152" s="1802"/>
      <c r="U152" s="1803"/>
    </row>
    <row r="153" spans="1:21" ht="14.1" customHeight="1" x14ac:dyDescent="0.2">
      <c r="A153" s="1280" t="s">
        <v>5</v>
      </c>
      <c r="B153" s="246" t="s">
        <v>28</v>
      </c>
      <c r="C153" s="1325" t="s">
        <v>5</v>
      </c>
      <c r="D153" s="1647" t="s">
        <v>107</v>
      </c>
      <c r="E153" s="717" t="s">
        <v>230</v>
      </c>
      <c r="F153" s="369" t="s">
        <v>37</v>
      </c>
      <c r="G153" s="169" t="s">
        <v>25</v>
      </c>
      <c r="H153" s="197">
        <v>76.5</v>
      </c>
      <c r="I153" s="166">
        <v>76.5</v>
      </c>
      <c r="J153" s="620"/>
      <c r="K153" s="197"/>
      <c r="L153" s="166"/>
      <c r="M153" s="620"/>
      <c r="N153" s="197"/>
      <c r="O153" s="166"/>
      <c r="P153" s="620"/>
      <c r="Q153" s="308"/>
      <c r="R153" s="204"/>
      <c r="S153" s="204"/>
      <c r="T153" s="204"/>
      <c r="U153" s="205"/>
    </row>
    <row r="154" spans="1:21" ht="14.1" customHeight="1" x14ac:dyDescent="0.2">
      <c r="A154" s="1266"/>
      <c r="B154" s="1293"/>
      <c r="C154" s="1268"/>
      <c r="D154" s="1648"/>
      <c r="E154" s="452"/>
      <c r="F154" s="1285"/>
      <c r="G154" s="58" t="s">
        <v>60</v>
      </c>
      <c r="H154" s="79">
        <v>31.9</v>
      </c>
      <c r="I154" s="206">
        <v>31.9</v>
      </c>
      <c r="J154" s="114"/>
      <c r="K154" s="79"/>
      <c r="L154" s="206"/>
      <c r="M154" s="95"/>
      <c r="N154" s="79"/>
      <c r="O154" s="206"/>
      <c r="P154" s="95"/>
      <c r="Q154" s="1303"/>
      <c r="R154" s="36"/>
      <c r="S154" s="36"/>
      <c r="T154" s="36"/>
      <c r="U154" s="37"/>
    </row>
    <row r="155" spans="1:21" ht="14.1" customHeight="1" x14ac:dyDescent="0.2">
      <c r="A155" s="1266"/>
      <c r="B155" s="1293"/>
      <c r="C155" s="1268"/>
      <c r="D155" s="1648"/>
      <c r="E155" s="452"/>
      <c r="F155" s="1285"/>
      <c r="G155" s="58" t="s">
        <v>68</v>
      </c>
      <c r="H155" s="79">
        <v>821.1</v>
      </c>
      <c r="I155" s="206">
        <v>821.1</v>
      </c>
      <c r="J155" s="114"/>
      <c r="K155" s="79">
        <v>777.8</v>
      </c>
      <c r="L155" s="206">
        <v>777.8</v>
      </c>
      <c r="M155" s="114"/>
      <c r="N155" s="79">
        <v>787.8</v>
      </c>
      <c r="O155" s="206">
        <v>787.8</v>
      </c>
      <c r="P155" s="114"/>
      <c r="Q155" s="1303"/>
      <c r="R155" s="36"/>
      <c r="S155" s="36"/>
      <c r="T155" s="36"/>
      <c r="U155" s="37"/>
    </row>
    <row r="156" spans="1:21" ht="14.1" customHeight="1" x14ac:dyDescent="0.2">
      <c r="A156" s="1266"/>
      <c r="B156" s="1293"/>
      <c r="C156" s="1268"/>
      <c r="D156" s="1648"/>
      <c r="E156" s="452"/>
      <c r="F156" s="1285"/>
      <c r="G156" s="58" t="s">
        <v>75</v>
      </c>
      <c r="H156" s="79">
        <f>36.6+1.4</f>
        <v>38</v>
      </c>
      <c r="I156" s="206">
        <f>36.6+1.4</f>
        <v>38</v>
      </c>
      <c r="J156" s="114"/>
      <c r="K156" s="79"/>
      <c r="L156" s="206"/>
      <c r="M156" s="95"/>
      <c r="N156" s="79"/>
      <c r="O156" s="206"/>
      <c r="P156" s="95"/>
      <c r="Q156" s="1303"/>
      <c r="R156" s="36"/>
      <c r="S156" s="36"/>
      <c r="T156" s="36"/>
      <c r="U156" s="37"/>
    </row>
    <row r="157" spans="1:21" ht="14.1" customHeight="1" x14ac:dyDescent="0.2">
      <c r="A157" s="1266"/>
      <c r="B157" s="1293"/>
      <c r="C157" s="1268"/>
      <c r="D157" s="1649"/>
      <c r="E157" s="452"/>
      <c r="F157" s="1285"/>
      <c r="G157" s="1010" t="s">
        <v>99</v>
      </c>
      <c r="H157" s="82">
        <v>344</v>
      </c>
      <c r="I157" s="39">
        <v>344</v>
      </c>
      <c r="J157" s="115"/>
      <c r="K157" s="82">
        <v>240</v>
      </c>
      <c r="L157" s="39">
        <v>240</v>
      </c>
      <c r="M157" s="115"/>
      <c r="N157" s="82">
        <v>240</v>
      </c>
      <c r="O157" s="39">
        <v>240</v>
      </c>
      <c r="P157" s="115"/>
      <c r="Q157" s="1438"/>
      <c r="R157" s="36"/>
      <c r="S157" s="36"/>
      <c r="T157" s="36"/>
      <c r="U157" s="37"/>
    </row>
    <row r="158" spans="1:21" ht="25.5" customHeight="1" x14ac:dyDescent="0.2">
      <c r="A158" s="1266"/>
      <c r="B158" s="1293"/>
      <c r="C158" s="1268"/>
      <c r="D158" s="1255" t="s">
        <v>105</v>
      </c>
      <c r="E158" s="1817" t="s">
        <v>76</v>
      </c>
      <c r="F158" s="1251"/>
      <c r="G158" s="58" t="s">
        <v>99</v>
      </c>
      <c r="H158" s="79"/>
      <c r="I158" s="499">
        <v>-125</v>
      </c>
      <c r="J158" s="1483">
        <f>I158-H158</f>
        <v>-125</v>
      </c>
      <c r="K158" s="79"/>
      <c r="L158" s="499">
        <v>169</v>
      </c>
      <c r="M158" s="636">
        <f>L158-K158</f>
        <v>169</v>
      </c>
      <c r="N158" s="79"/>
      <c r="O158" s="206"/>
      <c r="P158" s="56"/>
      <c r="Q158" s="1455" t="s">
        <v>111</v>
      </c>
      <c r="R158" s="46">
        <v>14.5</v>
      </c>
      <c r="S158" s="1486">
        <v>14.5</v>
      </c>
      <c r="T158" s="1486">
        <v>14.5</v>
      </c>
      <c r="U158" s="398"/>
    </row>
    <row r="159" spans="1:21" ht="15" customHeight="1" x14ac:dyDescent="0.2">
      <c r="A159" s="1266"/>
      <c r="B159" s="1293"/>
      <c r="C159" s="1268"/>
      <c r="D159" s="1259"/>
      <c r="E159" s="1818"/>
      <c r="F159" s="1285"/>
      <c r="G159" s="58" t="s">
        <v>25</v>
      </c>
      <c r="H159" s="79"/>
      <c r="I159" s="499">
        <v>40</v>
      </c>
      <c r="J159" s="1483">
        <f>I159-H159</f>
        <v>40</v>
      </c>
      <c r="K159" s="79"/>
      <c r="L159" s="206"/>
      <c r="M159" s="56"/>
      <c r="N159" s="79"/>
      <c r="O159" s="206"/>
      <c r="P159" s="56"/>
      <c r="Q159" s="1175" t="s">
        <v>38</v>
      </c>
      <c r="R159" s="23">
        <f>66+5</f>
        <v>71</v>
      </c>
      <c r="S159" s="155">
        <v>71</v>
      </c>
      <c r="T159" s="155">
        <v>71</v>
      </c>
      <c r="U159" s="1461"/>
    </row>
    <row r="160" spans="1:21" ht="15.75" customHeight="1" x14ac:dyDescent="0.2">
      <c r="A160" s="1266"/>
      <c r="B160" s="1293"/>
      <c r="C160" s="1268"/>
      <c r="D160" s="1259"/>
      <c r="E160" s="1764"/>
      <c r="F160" s="1285"/>
      <c r="G160" s="58"/>
      <c r="H160" s="79"/>
      <c r="I160" s="206"/>
      <c r="J160" s="114"/>
      <c r="K160" s="79"/>
      <c r="L160" s="206"/>
      <c r="M160" s="56"/>
      <c r="N160" s="79"/>
      <c r="O160" s="206"/>
      <c r="P160" s="56"/>
      <c r="Q160" s="1307" t="s">
        <v>300</v>
      </c>
      <c r="R160" s="23">
        <v>100</v>
      </c>
      <c r="S160" s="830"/>
      <c r="T160" s="830"/>
      <c r="U160" s="37"/>
    </row>
    <row r="161" spans="1:21" ht="72" customHeight="1" x14ac:dyDescent="0.2">
      <c r="A161" s="1266"/>
      <c r="B161" s="1293"/>
      <c r="C161" s="1268"/>
      <c r="D161" s="1259"/>
      <c r="E161" s="1286"/>
      <c r="F161" s="1285"/>
      <c r="G161" s="58"/>
      <c r="H161" s="79"/>
      <c r="I161" s="499"/>
      <c r="J161" s="1483"/>
      <c r="K161" s="79"/>
      <c r="L161" s="206"/>
      <c r="M161" s="56"/>
      <c r="N161" s="79"/>
      <c r="O161" s="206"/>
      <c r="P161" s="56"/>
      <c r="Q161" s="1442" t="s">
        <v>327</v>
      </c>
      <c r="R161" s="1485" t="s">
        <v>353</v>
      </c>
      <c r="S161" s="1479">
        <v>100</v>
      </c>
      <c r="T161" s="36"/>
      <c r="U161" s="1552" t="s">
        <v>372</v>
      </c>
    </row>
    <row r="162" spans="1:21" ht="27" customHeight="1" x14ac:dyDescent="0.2">
      <c r="A162" s="1266"/>
      <c r="B162" s="1293"/>
      <c r="C162" s="1268"/>
      <c r="D162" s="1259"/>
      <c r="E162" s="1286"/>
      <c r="F162" s="1285"/>
      <c r="G162" s="58"/>
      <c r="H162" s="79"/>
      <c r="I162" s="206"/>
      <c r="J162" s="114"/>
      <c r="K162" s="79"/>
      <c r="L162" s="206"/>
      <c r="M162" s="56"/>
      <c r="N162" s="79"/>
      <c r="O162" s="206"/>
      <c r="P162" s="56"/>
      <c r="Q162" s="1175" t="s">
        <v>328</v>
      </c>
      <c r="R162" s="23">
        <v>1</v>
      </c>
      <c r="S162" s="808"/>
      <c r="T162" s="808"/>
      <c r="U162" s="572"/>
    </row>
    <row r="163" spans="1:21" ht="19.5" customHeight="1" x14ac:dyDescent="0.2">
      <c r="A163" s="1266"/>
      <c r="B163" s="1293"/>
      <c r="C163" s="1268"/>
      <c r="D163" s="1259"/>
      <c r="E163" s="1286"/>
      <c r="F163" s="1285"/>
      <c r="G163" s="58"/>
      <c r="H163" s="1330"/>
      <c r="I163" s="709"/>
      <c r="J163" s="1356"/>
      <c r="K163" s="1330"/>
      <c r="L163" s="709"/>
      <c r="M163" s="1001"/>
      <c r="N163" s="1330"/>
      <c r="O163" s="709"/>
      <c r="P163" s="1001"/>
      <c r="Q163" s="1814" t="s">
        <v>363</v>
      </c>
      <c r="R163" s="1329">
        <v>5</v>
      </c>
      <c r="S163" s="1480">
        <v>3</v>
      </c>
      <c r="T163" s="618"/>
      <c r="U163" s="1940" t="s">
        <v>371</v>
      </c>
    </row>
    <row r="164" spans="1:21" ht="84" customHeight="1" x14ac:dyDescent="0.2">
      <c r="A164" s="1266"/>
      <c r="B164" s="1293"/>
      <c r="C164" s="1268"/>
      <c r="D164" s="1259"/>
      <c r="E164" s="1286"/>
      <c r="F164" s="1285"/>
      <c r="G164" s="1010"/>
      <c r="H164" s="1331"/>
      <c r="I164" s="1360"/>
      <c r="J164" s="1357"/>
      <c r="K164" s="1331"/>
      <c r="L164" s="1360"/>
      <c r="M164" s="1361"/>
      <c r="N164" s="1331"/>
      <c r="O164" s="1360"/>
      <c r="P164" s="1361"/>
      <c r="Q164" s="1815"/>
      <c r="R164" s="633"/>
      <c r="S164" s="699"/>
      <c r="T164" s="699"/>
      <c r="U164" s="1949"/>
    </row>
    <row r="165" spans="1:21" ht="14.25" customHeight="1" x14ac:dyDescent="0.2">
      <c r="A165" s="1266"/>
      <c r="B165" s="1293"/>
      <c r="C165" s="1268"/>
      <c r="D165" s="1255" t="s">
        <v>64</v>
      </c>
      <c r="E165" s="297"/>
      <c r="F165" s="1268"/>
      <c r="G165" s="58"/>
      <c r="H165" s="83"/>
      <c r="I165" s="46"/>
      <c r="J165" s="116"/>
      <c r="K165" s="83"/>
      <c r="L165" s="46"/>
      <c r="M165" s="180"/>
      <c r="N165" s="83"/>
      <c r="O165" s="46"/>
      <c r="P165" s="180"/>
      <c r="Q165" s="1245" t="s">
        <v>81</v>
      </c>
      <c r="R165" s="1289">
        <v>1</v>
      </c>
      <c r="S165" s="1261">
        <v>1</v>
      </c>
      <c r="T165" s="1288">
        <v>1</v>
      </c>
      <c r="U165" s="1278"/>
    </row>
    <row r="166" spans="1:21" ht="6.75" customHeight="1" x14ac:dyDescent="0.2">
      <c r="A166" s="1266"/>
      <c r="B166" s="1293"/>
      <c r="C166" s="1268"/>
      <c r="D166" s="1270"/>
      <c r="E166" s="130"/>
      <c r="F166" s="1268"/>
      <c r="G166" s="1010"/>
      <c r="H166" s="82"/>
      <c r="I166" s="39"/>
      <c r="J166" s="115"/>
      <c r="K166" s="82"/>
      <c r="L166" s="39"/>
      <c r="M166" s="143"/>
      <c r="N166" s="82"/>
      <c r="O166" s="39"/>
      <c r="P166" s="143"/>
      <c r="Q166" s="193"/>
      <c r="R166" s="19"/>
      <c r="S166" s="283"/>
      <c r="T166" s="44"/>
      <c r="U166" s="1278"/>
    </row>
    <row r="167" spans="1:21" ht="13.5" customHeight="1" x14ac:dyDescent="0.2">
      <c r="A167" s="1266"/>
      <c r="B167" s="1293"/>
      <c r="C167" s="1268"/>
      <c r="D167" s="1709" t="s">
        <v>113</v>
      </c>
      <c r="E167" s="701"/>
      <c r="F167" s="423"/>
      <c r="G167" s="1009"/>
      <c r="H167" s="83"/>
      <c r="I167" s="46"/>
      <c r="J167" s="116"/>
      <c r="K167" s="83"/>
      <c r="L167" s="46"/>
      <c r="M167" s="116"/>
      <c r="N167" s="83"/>
      <c r="O167" s="46"/>
      <c r="P167" s="116"/>
      <c r="Q167" s="1697" t="s">
        <v>329</v>
      </c>
      <c r="R167" s="1289">
        <v>14</v>
      </c>
      <c r="S167" s="1288">
        <v>14</v>
      </c>
      <c r="T167" s="1288">
        <v>14</v>
      </c>
      <c r="U167" s="1278"/>
    </row>
    <row r="168" spans="1:21" ht="15.75" customHeight="1" x14ac:dyDescent="0.2">
      <c r="A168" s="1266"/>
      <c r="B168" s="1293"/>
      <c r="C168" s="1268"/>
      <c r="D168" s="1816"/>
      <c r="E168" s="549"/>
      <c r="F168" s="423"/>
      <c r="G168" s="1010"/>
      <c r="H168" s="82"/>
      <c r="I168" s="39"/>
      <c r="J168" s="143"/>
      <c r="K168" s="82"/>
      <c r="L168" s="39"/>
      <c r="M168" s="143"/>
      <c r="N168" s="82"/>
      <c r="O168" s="39"/>
      <c r="P168" s="143"/>
      <c r="Q168" s="1752"/>
      <c r="R168" s="19"/>
      <c r="S168" s="283"/>
      <c r="T168" s="44"/>
      <c r="U168" s="1278"/>
    </row>
    <row r="169" spans="1:21" ht="29.25" customHeight="1" x14ac:dyDescent="0.2">
      <c r="A169" s="1266"/>
      <c r="B169" s="1293"/>
      <c r="C169" s="1268"/>
      <c r="D169" s="556" t="s">
        <v>106</v>
      </c>
      <c r="E169" s="1176"/>
      <c r="F169" s="632"/>
      <c r="G169" s="1010"/>
      <c r="H169" s="683"/>
      <c r="I169" s="492"/>
      <c r="J169" s="591"/>
      <c r="K169" s="683"/>
      <c r="L169" s="492"/>
      <c r="M169" s="591"/>
      <c r="N169" s="683"/>
      <c r="O169" s="492"/>
      <c r="P169" s="591"/>
      <c r="Q169" s="193" t="s">
        <v>134</v>
      </c>
      <c r="R169" s="50">
        <v>172</v>
      </c>
      <c r="S169" s="50">
        <v>174</v>
      </c>
      <c r="T169" s="50">
        <v>175</v>
      </c>
      <c r="U169" s="1348"/>
    </row>
    <row r="170" spans="1:21" ht="14.25" customHeight="1" x14ac:dyDescent="0.2">
      <c r="A170" s="1297"/>
      <c r="B170" s="1293"/>
      <c r="C170" s="200"/>
      <c r="D170" s="1796" t="s">
        <v>149</v>
      </c>
      <c r="E170" s="1253" t="s">
        <v>47</v>
      </c>
      <c r="F170" s="1299"/>
      <c r="G170" s="58"/>
      <c r="H170" s="79"/>
      <c r="I170" s="206"/>
      <c r="J170" s="95"/>
      <c r="K170" s="79"/>
      <c r="L170" s="206"/>
      <c r="M170" s="95"/>
      <c r="N170" s="79"/>
      <c r="O170" s="206"/>
      <c r="P170" s="95"/>
      <c r="Q170" s="1778" t="s">
        <v>131</v>
      </c>
      <c r="R170" s="425">
        <v>15</v>
      </c>
      <c r="S170" s="442"/>
      <c r="T170" s="177"/>
      <c r="U170" s="190"/>
    </row>
    <row r="171" spans="1:21" ht="14.25" customHeight="1" x14ac:dyDescent="0.2">
      <c r="A171" s="1297"/>
      <c r="B171" s="1293"/>
      <c r="C171" s="89"/>
      <c r="D171" s="1796"/>
      <c r="E171" s="1179"/>
      <c r="F171" s="1251"/>
      <c r="G171" s="1010"/>
      <c r="H171" s="82"/>
      <c r="I171" s="39"/>
      <c r="J171" s="115"/>
      <c r="K171" s="82"/>
      <c r="L171" s="39"/>
      <c r="M171" s="115"/>
      <c r="N171" s="82"/>
      <c r="O171" s="39"/>
      <c r="P171" s="115"/>
      <c r="Q171" s="1822"/>
      <c r="R171" s="425"/>
      <c r="S171" s="442"/>
      <c r="T171" s="177"/>
      <c r="U171" s="190"/>
    </row>
    <row r="172" spans="1:21" ht="16.5" customHeight="1" thickBot="1" x14ac:dyDescent="0.25">
      <c r="A172" s="1297"/>
      <c r="B172" s="1293"/>
      <c r="C172" s="96"/>
      <c r="D172" s="214"/>
      <c r="E172" s="1178"/>
      <c r="F172" s="84"/>
      <c r="G172" s="129" t="s">
        <v>6</v>
      </c>
      <c r="H172" s="189">
        <f t="shared" ref="H172:P172" si="23">SUM(H153:H171)</f>
        <v>1311.5</v>
      </c>
      <c r="I172" s="606">
        <f t="shared" si="23"/>
        <v>1226.5</v>
      </c>
      <c r="J172" s="575">
        <f t="shared" si="23"/>
        <v>-85</v>
      </c>
      <c r="K172" s="189">
        <f t="shared" si="23"/>
        <v>1017.8</v>
      </c>
      <c r="L172" s="606">
        <f t="shared" si="23"/>
        <v>1186.8</v>
      </c>
      <c r="M172" s="575">
        <f t="shared" si="23"/>
        <v>169</v>
      </c>
      <c r="N172" s="189">
        <f t="shared" si="23"/>
        <v>1027.8</v>
      </c>
      <c r="O172" s="606">
        <f t="shared" si="23"/>
        <v>1027.8</v>
      </c>
      <c r="P172" s="575">
        <f t="shared" si="23"/>
        <v>0</v>
      </c>
      <c r="Q172" s="481"/>
      <c r="R172" s="171"/>
      <c r="S172" s="587"/>
      <c r="T172" s="170"/>
      <c r="U172" s="37"/>
    </row>
    <row r="173" spans="1:21" ht="13.5" customHeight="1" x14ac:dyDescent="0.2">
      <c r="A173" s="1902" t="s">
        <v>5</v>
      </c>
      <c r="B173" s="1904" t="s">
        <v>28</v>
      </c>
      <c r="C173" s="1906" t="s">
        <v>7</v>
      </c>
      <c r="D173" s="1907" t="s">
        <v>303</v>
      </c>
      <c r="E173" s="1909" t="s">
        <v>230</v>
      </c>
      <c r="F173" s="1823" t="s">
        <v>55</v>
      </c>
      <c r="G173" s="92" t="s">
        <v>25</v>
      </c>
      <c r="H173" s="197">
        <v>136.80000000000001</v>
      </c>
      <c r="I173" s="166">
        <v>136.80000000000001</v>
      </c>
      <c r="J173" s="317"/>
      <c r="K173" s="197">
        <v>146.69999999999999</v>
      </c>
      <c r="L173" s="166">
        <v>146.69999999999999</v>
      </c>
      <c r="M173" s="198"/>
      <c r="N173" s="197">
        <v>146.69999999999999</v>
      </c>
      <c r="O173" s="166">
        <v>146.69999999999999</v>
      </c>
      <c r="P173" s="198"/>
      <c r="Q173" s="215" t="s">
        <v>67</v>
      </c>
      <c r="R173" s="242">
        <v>18</v>
      </c>
      <c r="S173" s="576">
        <v>18</v>
      </c>
      <c r="T173" s="1344">
        <v>18</v>
      </c>
      <c r="U173" s="1248"/>
    </row>
    <row r="174" spans="1:21" ht="12.75" customHeight="1" x14ac:dyDescent="0.2">
      <c r="A174" s="1704"/>
      <c r="B174" s="1705"/>
      <c r="C174" s="1808"/>
      <c r="D174" s="1796"/>
      <c r="E174" s="1910"/>
      <c r="F174" s="1681"/>
      <c r="G174" s="69"/>
      <c r="H174" s="139"/>
      <c r="I174" s="150"/>
      <c r="J174" s="354"/>
      <c r="K174" s="139"/>
      <c r="L174" s="150"/>
      <c r="M174" s="119"/>
      <c r="N174" s="139"/>
      <c r="O174" s="150"/>
      <c r="P174" s="354"/>
      <c r="Q174" s="1265" t="s">
        <v>82</v>
      </c>
      <c r="R174" s="1329">
        <v>7</v>
      </c>
      <c r="S174" s="282">
        <v>7</v>
      </c>
      <c r="T174" s="1315">
        <v>7</v>
      </c>
      <c r="U174" s="1278"/>
    </row>
    <row r="175" spans="1:21" ht="16.5" customHeight="1" thickBot="1" x14ac:dyDescent="0.25">
      <c r="A175" s="1903"/>
      <c r="B175" s="1905"/>
      <c r="C175" s="1809"/>
      <c r="D175" s="1908"/>
      <c r="E175" s="1911"/>
      <c r="F175" s="1824"/>
      <c r="G175" s="129" t="s">
        <v>6</v>
      </c>
      <c r="H175" s="189">
        <f t="shared" ref="H175:P175" si="24">SUM(H173:H174)</f>
        <v>136.80000000000001</v>
      </c>
      <c r="I175" s="606">
        <f t="shared" si="24"/>
        <v>136.80000000000001</v>
      </c>
      <c r="J175" s="575">
        <f t="shared" si="24"/>
        <v>0</v>
      </c>
      <c r="K175" s="189">
        <f t="shared" si="24"/>
        <v>146.69999999999999</v>
      </c>
      <c r="L175" s="606">
        <f t="shared" si="24"/>
        <v>146.69999999999999</v>
      </c>
      <c r="M175" s="168">
        <f t="shared" si="24"/>
        <v>0</v>
      </c>
      <c r="N175" s="189">
        <f t="shared" si="24"/>
        <v>146.69999999999999</v>
      </c>
      <c r="O175" s="606">
        <f t="shared" si="24"/>
        <v>146.69999999999999</v>
      </c>
      <c r="P175" s="168">
        <f t="shared" si="24"/>
        <v>0</v>
      </c>
      <c r="Q175" s="481"/>
      <c r="R175" s="171"/>
      <c r="S175" s="587"/>
      <c r="T175" s="170"/>
      <c r="U175" s="37"/>
    </row>
    <row r="176" spans="1:21" ht="12" customHeight="1" x14ac:dyDescent="0.2">
      <c r="A176" s="1290" t="s">
        <v>5</v>
      </c>
      <c r="B176" s="540" t="s">
        <v>28</v>
      </c>
      <c r="C176" s="1283" t="s">
        <v>28</v>
      </c>
      <c r="D176" s="1825" t="s">
        <v>166</v>
      </c>
      <c r="E176" s="1827" t="s">
        <v>229</v>
      </c>
      <c r="F176" s="536">
        <v>5</v>
      </c>
      <c r="G176" s="169" t="s">
        <v>25</v>
      </c>
      <c r="H176" s="197">
        <v>263.89999999999998</v>
      </c>
      <c r="I176" s="166">
        <v>263.89999999999998</v>
      </c>
      <c r="J176" s="317"/>
      <c r="K176" s="197">
        <v>55.6</v>
      </c>
      <c r="L176" s="166">
        <v>55.6</v>
      </c>
      <c r="M176" s="317"/>
      <c r="N176" s="197">
        <v>5</v>
      </c>
      <c r="O176" s="166">
        <v>5</v>
      </c>
      <c r="P176" s="317"/>
      <c r="Q176" s="544"/>
      <c r="R176" s="166"/>
      <c r="S176" s="198"/>
      <c r="T176" s="204"/>
      <c r="U176" s="37"/>
    </row>
    <row r="177" spans="1:21" ht="11.25" customHeight="1" x14ac:dyDescent="0.2">
      <c r="A177" s="1272"/>
      <c r="B177" s="1273"/>
      <c r="C177" s="1274"/>
      <c r="D177" s="1826"/>
      <c r="E177" s="1828"/>
      <c r="F177" s="1285"/>
      <c r="G177" s="58" t="s">
        <v>60</v>
      </c>
      <c r="H177" s="79">
        <v>289.60000000000002</v>
      </c>
      <c r="I177" s="206">
        <v>289.60000000000002</v>
      </c>
      <c r="J177" s="56"/>
      <c r="K177" s="79"/>
      <c r="L177" s="206"/>
      <c r="M177" s="56"/>
      <c r="N177" s="79"/>
      <c r="O177" s="206"/>
      <c r="P177" s="56"/>
      <c r="Q177" s="1309"/>
      <c r="R177" s="206"/>
      <c r="S177" s="95"/>
      <c r="T177" s="36"/>
      <c r="U177" s="37"/>
    </row>
    <row r="178" spans="1:21" ht="11.25" customHeight="1" x14ac:dyDescent="0.2">
      <c r="A178" s="1272"/>
      <c r="B178" s="1273"/>
      <c r="C178" s="1274"/>
      <c r="D178" s="1826"/>
      <c r="E178" s="1828"/>
      <c r="F178" s="1285"/>
      <c r="G178" s="58" t="s">
        <v>48</v>
      </c>
      <c r="H178" s="79"/>
      <c r="I178" s="206"/>
      <c r="J178" s="56"/>
      <c r="K178" s="79">
        <v>1500</v>
      </c>
      <c r="L178" s="206">
        <v>1500</v>
      </c>
      <c r="M178" s="95"/>
      <c r="N178" s="79">
        <v>1000</v>
      </c>
      <c r="O178" s="206">
        <v>1000</v>
      </c>
      <c r="P178" s="56"/>
      <c r="Q178" s="1309"/>
      <c r="R178" s="206"/>
      <c r="S178" s="95"/>
      <c r="T178" s="36"/>
      <c r="U178" s="37"/>
    </row>
    <row r="179" spans="1:21" ht="12.75" customHeight="1" x14ac:dyDescent="0.2">
      <c r="A179" s="1272"/>
      <c r="B179" s="1273"/>
      <c r="C179" s="1274"/>
      <c r="D179" s="1826"/>
      <c r="E179" s="1828"/>
      <c r="F179" s="1285"/>
      <c r="G179" s="58" t="s">
        <v>223</v>
      </c>
      <c r="H179" s="79">
        <v>83.3</v>
      </c>
      <c r="I179" s="206">
        <v>83.3</v>
      </c>
      <c r="J179" s="56"/>
      <c r="K179" s="79"/>
      <c r="L179" s="206"/>
      <c r="M179" s="95"/>
      <c r="N179" s="79"/>
      <c r="O179" s="206"/>
      <c r="P179" s="56"/>
      <c r="Q179" s="1309"/>
      <c r="R179" s="206"/>
      <c r="S179" s="95"/>
      <c r="T179" s="36"/>
      <c r="U179" s="37"/>
    </row>
    <row r="180" spans="1:21" ht="13.5" customHeight="1" x14ac:dyDescent="0.2">
      <c r="A180" s="1272"/>
      <c r="B180" s="1273"/>
      <c r="C180" s="1274"/>
      <c r="D180" s="1810"/>
      <c r="E180" s="1829"/>
      <c r="F180" s="1319"/>
      <c r="G180" s="1010" t="s">
        <v>44</v>
      </c>
      <c r="H180" s="82">
        <v>919.1</v>
      </c>
      <c r="I180" s="39">
        <v>919.1</v>
      </c>
      <c r="J180" s="162"/>
      <c r="K180" s="82">
        <v>378</v>
      </c>
      <c r="L180" s="39">
        <v>378</v>
      </c>
      <c r="M180" s="162"/>
      <c r="N180" s="82">
        <v>45</v>
      </c>
      <c r="O180" s="39">
        <v>45</v>
      </c>
      <c r="P180" s="162"/>
      <c r="Q180" s="1309"/>
      <c r="R180" s="206"/>
      <c r="S180" s="95"/>
      <c r="T180" s="36"/>
      <c r="U180" s="37"/>
    </row>
    <row r="181" spans="1:21" ht="14.1" customHeight="1" x14ac:dyDescent="0.2">
      <c r="A181" s="1272"/>
      <c r="B181" s="1273"/>
      <c r="C181" s="1274"/>
      <c r="D181" s="935"/>
      <c r="E181" s="1182"/>
      <c r="F181" s="557" t="s">
        <v>37</v>
      </c>
      <c r="G181" s="1009" t="s">
        <v>68</v>
      </c>
      <c r="H181" s="83">
        <v>12</v>
      </c>
      <c r="I181" s="46">
        <v>12</v>
      </c>
      <c r="J181" s="180"/>
      <c r="K181" s="83">
        <v>6</v>
      </c>
      <c r="L181" s="46">
        <v>6</v>
      </c>
      <c r="M181" s="117"/>
      <c r="N181" s="83">
        <v>6</v>
      </c>
      <c r="O181" s="46">
        <v>6</v>
      </c>
      <c r="P181" s="180"/>
      <c r="Q181" s="1309"/>
      <c r="R181" s="206"/>
      <c r="S181" s="95"/>
      <c r="T181" s="36"/>
      <c r="U181" s="37"/>
    </row>
    <row r="182" spans="1:21" ht="14.1" customHeight="1" x14ac:dyDescent="0.2">
      <c r="A182" s="1272"/>
      <c r="B182" s="1273"/>
      <c r="C182" s="1274"/>
      <c r="D182" s="935"/>
      <c r="E182" s="1310"/>
      <c r="F182" s="1319"/>
      <c r="G182" s="1010" t="s">
        <v>75</v>
      </c>
      <c r="H182" s="82">
        <v>24.2</v>
      </c>
      <c r="I182" s="39">
        <v>24.2</v>
      </c>
      <c r="J182" s="162"/>
      <c r="K182" s="448"/>
      <c r="L182" s="1313"/>
      <c r="M182" s="207"/>
      <c r="N182" s="448"/>
      <c r="O182" s="1313"/>
      <c r="P182" s="1362"/>
      <c r="Q182" s="1324"/>
      <c r="R182" s="39"/>
      <c r="S182" s="143"/>
      <c r="T182" s="38"/>
      <c r="U182" s="37"/>
    </row>
    <row r="183" spans="1:21" ht="24.75" customHeight="1" x14ac:dyDescent="0.2">
      <c r="A183" s="1804"/>
      <c r="B183" s="1819"/>
      <c r="C183" s="1808"/>
      <c r="D183" s="1795" t="s">
        <v>330</v>
      </c>
      <c r="E183" s="1817" t="s">
        <v>233</v>
      </c>
      <c r="F183" s="1271">
        <v>5</v>
      </c>
      <c r="G183" s="1009"/>
      <c r="H183" s="83"/>
      <c r="I183" s="46"/>
      <c r="J183" s="180"/>
      <c r="K183" s="83"/>
      <c r="L183" s="46"/>
      <c r="M183" s="117"/>
      <c r="N183" s="83"/>
      <c r="O183" s="46"/>
      <c r="P183" s="180"/>
      <c r="Q183" s="1246" t="s">
        <v>126</v>
      </c>
      <c r="R183" s="1247"/>
      <c r="S183" s="589"/>
      <c r="T183" s="1260">
        <v>100</v>
      </c>
      <c r="U183" s="1434"/>
    </row>
    <row r="184" spans="1:21" ht="24.75" customHeight="1" x14ac:dyDescent="0.2">
      <c r="A184" s="1804"/>
      <c r="B184" s="1819"/>
      <c r="C184" s="1808"/>
      <c r="D184" s="1820"/>
      <c r="E184" s="1821"/>
      <c r="F184" s="1285"/>
      <c r="G184" s="1010"/>
      <c r="H184" s="82"/>
      <c r="I184" s="39"/>
      <c r="J184" s="162"/>
      <c r="K184" s="82"/>
      <c r="L184" s="39"/>
      <c r="M184" s="143"/>
      <c r="N184" s="82"/>
      <c r="O184" s="39"/>
      <c r="P184" s="162"/>
      <c r="Q184" s="1184" t="s">
        <v>216</v>
      </c>
      <c r="R184" s="496">
        <v>1</v>
      </c>
      <c r="S184" s="832"/>
      <c r="T184" s="496"/>
      <c r="U184" s="1248"/>
    </row>
    <row r="185" spans="1:21" ht="15.75" customHeight="1" x14ac:dyDescent="0.2">
      <c r="A185" s="1804"/>
      <c r="B185" s="1819"/>
      <c r="C185" s="1808"/>
      <c r="D185" s="1696" t="s">
        <v>186</v>
      </c>
      <c r="E185" s="1836" t="s">
        <v>231</v>
      </c>
      <c r="F185" s="1274"/>
      <c r="G185" s="58"/>
      <c r="H185" s="79"/>
      <c r="I185" s="206"/>
      <c r="J185" s="56"/>
      <c r="K185" s="79"/>
      <c r="L185" s="206"/>
      <c r="M185" s="95"/>
      <c r="N185" s="79"/>
      <c r="O185" s="206"/>
      <c r="P185" s="56"/>
      <c r="Q185" s="1183" t="s">
        <v>158</v>
      </c>
      <c r="R185" s="319">
        <v>1</v>
      </c>
      <c r="S185" s="1315"/>
      <c r="T185" s="1315"/>
      <c r="U185" s="1278"/>
    </row>
    <row r="186" spans="1:21" ht="20.25" customHeight="1" x14ac:dyDescent="0.2">
      <c r="A186" s="1804"/>
      <c r="B186" s="1819"/>
      <c r="C186" s="1808"/>
      <c r="D186" s="1832"/>
      <c r="E186" s="1837"/>
      <c r="F186" s="1268"/>
      <c r="G186" s="58"/>
      <c r="H186" s="79"/>
      <c r="I186" s="206"/>
      <c r="J186" s="56"/>
      <c r="K186" s="79"/>
      <c r="L186" s="206"/>
      <c r="M186" s="95"/>
      <c r="N186" s="79"/>
      <c r="O186" s="206"/>
      <c r="P186" s="56"/>
      <c r="Q186" s="1830" t="s">
        <v>187</v>
      </c>
      <c r="R186" s="473"/>
      <c r="S186" s="472"/>
      <c r="T186" s="473">
        <v>1</v>
      </c>
      <c r="U186" s="1278"/>
    </row>
    <row r="187" spans="1:21" ht="19.5" customHeight="1" x14ac:dyDescent="0.2">
      <c r="A187" s="299"/>
      <c r="B187" s="1273"/>
      <c r="C187" s="1186"/>
      <c r="D187" s="1832"/>
      <c r="E187" s="1838"/>
      <c r="F187" s="1268"/>
      <c r="G187" s="58"/>
      <c r="H187" s="79"/>
      <c r="I187" s="206"/>
      <c r="J187" s="56"/>
      <c r="K187" s="79"/>
      <c r="L187" s="206"/>
      <c r="M187" s="95"/>
      <c r="N187" s="79"/>
      <c r="O187" s="206"/>
      <c r="P187" s="56"/>
      <c r="Q187" s="1831"/>
      <c r="R187" s="44"/>
      <c r="S187" s="19"/>
      <c r="T187" s="319"/>
      <c r="U187" s="1278"/>
    </row>
    <row r="188" spans="1:21" ht="14.25" customHeight="1" x14ac:dyDescent="0.2">
      <c r="A188" s="1704"/>
      <c r="B188" s="1705"/>
      <c r="C188" s="1808"/>
      <c r="D188" s="1695" t="s">
        <v>154</v>
      </c>
      <c r="E188" s="1817" t="s">
        <v>122</v>
      </c>
      <c r="F188" s="1808"/>
      <c r="G188" s="178"/>
      <c r="H188" s="83"/>
      <c r="I188" s="46"/>
      <c r="J188" s="180"/>
      <c r="K188" s="83"/>
      <c r="L188" s="46"/>
      <c r="M188" s="117"/>
      <c r="N188" s="641"/>
      <c r="O188" s="637"/>
      <c r="P188" s="638"/>
      <c r="Q188" s="1318" t="s">
        <v>188</v>
      </c>
      <c r="R188" s="357">
        <v>6</v>
      </c>
      <c r="S188" s="695"/>
      <c r="T188" s="1260"/>
      <c r="U188" s="1248"/>
    </row>
    <row r="189" spans="1:21" ht="7.5" customHeight="1" x14ac:dyDescent="0.2">
      <c r="A189" s="1704"/>
      <c r="B189" s="1705"/>
      <c r="C189" s="1808"/>
      <c r="D189" s="1832"/>
      <c r="E189" s="1839"/>
      <c r="F189" s="1808"/>
      <c r="G189" s="58"/>
      <c r="H189" s="79"/>
      <c r="I189" s="206"/>
      <c r="J189" s="56"/>
      <c r="K189" s="79"/>
      <c r="L189" s="206"/>
      <c r="M189" s="95"/>
      <c r="N189" s="498"/>
      <c r="O189" s="499"/>
      <c r="P189" s="636"/>
      <c r="Q189" s="1318"/>
      <c r="R189" s="357"/>
      <c r="S189" s="1315"/>
      <c r="T189" s="1315"/>
      <c r="U189" s="1278"/>
    </row>
    <row r="190" spans="1:21" ht="9.75" customHeight="1" x14ac:dyDescent="0.2">
      <c r="A190" s="1704"/>
      <c r="B190" s="1705"/>
      <c r="C190" s="1808"/>
      <c r="D190" s="1833"/>
      <c r="E190" s="1821"/>
      <c r="F190" s="1808"/>
      <c r="G190" s="69"/>
      <c r="H190" s="82"/>
      <c r="I190" s="39"/>
      <c r="J190" s="162"/>
      <c r="K190" s="82"/>
      <c r="L190" s="39"/>
      <c r="M190" s="143"/>
      <c r="N190" s="1364"/>
      <c r="O190" s="1365"/>
      <c r="P190" s="1363"/>
      <c r="Q190" s="18"/>
      <c r="R190" s="50"/>
      <c r="S190" s="44"/>
      <c r="T190" s="44"/>
      <c r="U190" s="1278"/>
    </row>
    <row r="191" spans="1:21" ht="42" customHeight="1" x14ac:dyDescent="0.2">
      <c r="A191" s="1704"/>
      <c r="B191" s="1705"/>
      <c r="C191" s="1808"/>
      <c r="D191" s="1975" t="s">
        <v>365</v>
      </c>
      <c r="E191" s="1978" t="s">
        <v>122</v>
      </c>
      <c r="F191" s="1981"/>
      <c r="G191" s="690" t="s">
        <v>25</v>
      </c>
      <c r="H191" s="641"/>
      <c r="I191" s="637"/>
      <c r="J191" s="638">
        <f>I191-H191</f>
        <v>0</v>
      </c>
      <c r="K191" s="641"/>
      <c r="L191" s="637">
        <v>3.5</v>
      </c>
      <c r="M191" s="1464">
        <f>L191-K191</f>
        <v>3.5</v>
      </c>
      <c r="N191" s="641"/>
      <c r="O191" s="637"/>
      <c r="P191" s="638"/>
      <c r="Q191" s="1591" t="s">
        <v>366</v>
      </c>
      <c r="R191" s="357"/>
      <c r="S191" s="1607">
        <v>1</v>
      </c>
      <c r="T191" s="1608"/>
      <c r="U191" s="1956" t="s">
        <v>390</v>
      </c>
    </row>
    <row r="192" spans="1:21" ht="27" customHeight="1" x14ac:dyDescent="0.2">
      <c r="A192" s="1704"/>
      <c r="B192" s="1705"/>
      <c r="C192" s="1808"/>
      <c r="D192" s="1976"/>
      <c r="E192" s="1979"/>
      <c r="F192" s="1981"/>
      <c r="G192" s="458" t="s">
        <v>44</v>
      </c>
      <c r="H192" s="498"/>
      <c r="I192" s="499"/>
      <c r="J192" s="636"/>
      <c r="K192" s="498"/>
      <c r="L192" s="499">
        <v>24</v>
      </c>
      <c r="M192" s="1433">
        <f>L192-K192</f>
        <v>24</v>
      </c>
      <c r="N192" s="498"/>
      <c r="O192" s="499">
        <v>41.2</v>
      </c>
      <c r="P192" s="636">
        <f>O192-N192</f>
        <v>41.2</v>
      </c>
      <c r="Q192" s="1591" t="s">
        <v>367</v>
      </c>
      <c r="R192" s="357"/>
      <c r="S192" s="1479"/>
      <c r="T192" s="1609" t="s">
        <v>388</v>
      </c>
      <c r="U192" s="1957"/>
    </row>
    <row r="193" spans="1:21" ht="18.75" customHeight="1" x14ac:dyDescent="0.2">
      <c r="A193" s="1704"/>
      <c r="B193" s="1705"/>
      <c r="C193" s="1808"/>
      <c r="D193" s="1977"/>
      <c r="E193" s="1980"/>
      <c r="F193" s="1981"/>
      <c r="G193" s="693"/>
      <c r="H193" s="1189"/>
      <c r="I193" s="627"/>
      <c r="J193" s="639"/>
      <c r="K193" s="1189"/>
      <c r="L193" s="627"/>
      <c r="M193" s="628"/>
      <c r="N193" s="1189"/>
      <c r="O193" s="627"/>
      <c r="P193" s="639"/>
      <c r="Q193" s="1592"/>
      <c r="R193" s="50"/>
      <c r="S193" s="44"/>
      <c r="T193" s="44"/>
      <c r="U193" s="1958"/>
    </row>
    <row r="194" spans="1:21" ht="22.5" customHeight="1" x14ac:dyDescent="0.2">
      <c r="A194" s="1704"/>
      <c r="B194" s="1705"/>
      <c r="C194" s="1808"/>
      <c r="D194" s="1975" t="s">
        <v>382</v>
      </c>
      <c r="E194" s="1978" t="s">
        <v>122</v>
      </c>
      <c r="F194" s="1981"/>
      <c r="G194" s="690" t="s">
        <v>44</v>
      </c>
      <c r="H194" s="641"/>
      <c r="I194" s="637"/>
      <c r="J194" s="638"/>
      <c r="K194" s="641"/>
      <c r="L194" s="637">
        <v>40</v>
      </c>
      <c r="M194" s="1464">
        <f>L194-K194</f>
        <v>40</v>
      </c>
      <c r="N194" s="641"/>
      <c r="O194" s="637">
        <v>40</v>
      </c>
      <c r="P194" s="638">
        <f>O194-N194</f>
        <v>40</v>
      </c>
      <c r="Q194" s="1591" t="s">
        <v>383</v>
      </c>
      <c r="R194" s="357"/>
      <c r="S194" s="695"/>
      <c r="T194" s="1610" t="s">
        <v>381</v>
      </c>
      <c r="U194" s="1956" t="s">
        <v>391</v>
      </c>
    </row>
    <row r="195" spans="1:21" ht="73.5" customHeight="1" x14ac:dyDescent="0.2">
      <c r="A195" s="1704"/>
      <c r="B195" s="1705"/>
      <c r="C195" s="1808"/>
      <c r="D195" s="1976"/>
      <c r="E195" s="1979"/>
      <c r="F195" s="1981"/>
      <c r="G195" s="458"/>
      <c r="H195" s="498"/>
      <c r="I195" s="499"/>
      <c r="J195" s="636"/>
      <c r="K195" s="498"/>
      <c r="L195" s="499"/>
      <c r="M195" s="1433"/>
      <c r="N195" s="498"/>
      <c r="O195" s="499"/>
      <c r="P195" s="636"/>
      <c r="Q195" s="1591"/>
      <c r="R195" s="357"/>
      <c r="S195" s="1587"/>
      <c r="T195" s="1587"/>
      <c r="U195" s="1957"/>
    </row>
    <row r="196" spans="1:21" ht="35.25" customHeight="1" x14ac:dyDescent="0.2">
      <c r="A196" s="1704"/>
      <c r="B196" s="1705"/>
      <c r="C196" s="1808"/>
      <c r="D196" s="1977"/>
      <c r="E196" s="1980"/>
      <c r="F196" s="1981"/>
      <c r="G196" s="693"/>
      <c r="H196" s="1189"/>
      <c r="I196" s="627"/>
      <c r="J196" s="639"/>
      <c r="K196" s="1189"/>
      <c r="L196" s="627"/>
      <c r="M196" s="628"/>
      <c r="N196" s="1189"/>
      <c r="O196" s="627"/>
      <c r="P196" s="639"/>
      <c r="Q196" s="1592"/>
      <c r="R196" s="50"/>
      <c r="S196" s="44"/>
      <c r="T196" s="44"/>
      <c r="U196" s="1958"/>
    </row>
    <row r="197" spans="1:21" ht="39" customHeight="1" x14ac:dyDescent="0.2">
      <c r="A197" s="1266"/>
      <c r="B197" s="1267"/>
      <c r="C197" s="1268"/>
      <c r="D197" s="1276" t="s">
        <v>331</v>
      </c>
      <c r="E197" s="574" t="s">
        <v>162</v>
      </c>
      <c r="F197" s="557" t="s">
        <v>37</v>
      </c>
      <c r="G197" s="450"/>
      <c r="H197" s="295"/>
      <c r="I197" s="1214"/>
      <c r="J197" s="1358"/>
      <c r="K197" s="560"/>
      <c r="L197" s="561"/>
      <c r="M197" s="811"/>
      <c r="N197" s="560"/>
      <c r="O197" s="561"/>
      <c r="P197" s="631"/>
      <c r="Q197" s="66" t="s">
        <v>83</v>
      </c>
      <c r="R197" s="554">
        <v>1</v>
      </c>
      <c r="S197" s="554"/>
      <c r="T197" s="554"/>
      <c r="U197" s="562"/>
    </row>
    <row r="198" spans="1:21" ht="15.75" customHeight="1" x14ac:dyDescent="0.2">
      <c r="A198" s="1704"/>
      <c r="B198" s="1705"/>
      <c r="C198" s="1808"/>
      <c r="D198" s="1695" t="s">
        <v>211</v>
      </c>
      <c r="E198" s="1817" t="s">
        <v>122</v>
      </c>
      <c r="F198" s="1898"/>
      <c r="G198" s="1009"/>
      <c r="H198" s="83"/>
      <c r="I198" s="46"/>
      <c r="J198" s="180"/>
      <c r="K198" s="83"/>
      <c r="L198" s="46"/>
      <c r="M198" s="117"/>
      <c r="N198" s="83"/>
      <c r="O198" s="46"/>
      <c r="P198" s="180"/>
      <c r="Q198" s="1682" t="s">
        <v>226</v>
      </c>
      <c r="R198" s="1326">
        <v>11</v>
      </c>
      <c r="S198" s="1288">
        <v>12</v>
      </c>
      <c r="T198" s="1288">
        <v>14</v>
      </c>
      <c r="U198" s="1956" t="s">
        <v>392</v>
      </c>
    </row>
    <row r="199" spans="1:21" ht="50.25" customHeight="1" x14ac:dyDescent="0.2">
      <c r="A199" s="1704"/>
      <c r="B199" s="1705"/>
      <c r="C199" s="1808"/>
      <c r="D199" s="1696"/>
      <c r="E199" s="1836"/>
      <c r="F199" s="1898"/>
      <c r="G199" s="58"/>
      <c r="H199" s="306"/>
      <c r="I199" s="348"/>
      <c r="J199" s="307"/>
      <c r="K199" s="79"/>
      <c r="L199" s="206"/>
      <c r="M199" s="95"/>
      <c r="N199" s="79"/>
      <c r="O199" s="206"/>
      <c r="P199" s="56"/>
      <c r="Q199" s="1683"/>
      <c r="R199" s="357"/>
      <c r="S199" s="1315"/>
      <c r="T199" s="1315"/>
      <c r="U199" s="1968"/>
    </row>
    <row r="200" spans="1:21" ht="90" customHeight="1" x14ac:dyDescent="0.2">
      <c r="A200" s="1704"/>
      <c r="B200" s="1705"/>
      <c r="C200" s="1808"/>
      <c r="D200" s="1832"/>
      <c r="E200" s="1839"/>
      <c r="F200" s="1898"/>
      <c r="G200" s="1010"/>
      <c r="H200" s="1189"/>
      <c r="I200" s="627"/>
      <c r="J200" s="639"/>
      <c r="K200" s="1189"/>
      <c r="L200" s="627"/>
      <c r="M200" s="628"/>
      <c r="N200" s="1189"/>
      <c r="O200" s="627"/>
      <c r="P200" s="639"/>
      <c r="Q200" s="1636" t="s">
        <v>276</v>
      </c>
      <c r="R200" s="1637">
        <v>3</v>
      </c>
      <c r="S200" s="1315"/>
      <c r="T200" s="1315"/>
      <c r="U200" s="1968"/>
    </row>
    <row r="201" spans="1:21" ht="16.5" customHeight="1" thickBot="1" x14ac:dyDescent="0.25">
      <c r="A201" s="1297"/>
      <c r="B201" s="1267"/>
      <c r="C201" s="1186"/>
      <c r="D201" s="1187"/>
      <c r="E201" s="1188"/>
      <c r="F201" s="1186"/>
      <c r="G201" s="129" t="s">
        <v>6</v>
      </c>
      <c r="H201" s="189">
        <f t="shared" ref="H201:P201" si="25">SUM(H176:H200)</f>
        <v>1592.1</v>
      </c>
      <c r="I201" s="606">
        <f t="shared" si="25"/>
        <v>1592.1</v>
      </c>
      <c r="J201" s="575">
        <f t="shared" si="25"/>
        <v>0</v>
      </c>
      <c r="K201" s="189">
        <f t="shared" si="25"/>
        <v>1939.6</v>
      </c>
      <c r="L201" s="606">
        <f>SUM(L176:L200)</f>
        <v>2007.1</v>
      </c>
      <c r="M201" s="575">
        <f t="shared" si="25"/>
        <v>67.5</v>
      </c>
      <c r="N201" s="189">
        <f t="shared" si="25"/>
        <v>1056</v>
      </c>
      <c r="O201" s="606">
        <f t="shared" si="25"/>
        <v>1137.2</v>
      </c>
      <c r="P201" s="575">
        <f t="shared" si="25"/>
        <v>81.2</v>
      </c>
      <c r="Q201" s="481"/>
      <c r="R201" s="171"/>
      <c r="S201" s="587"/>
      <c r="T201" s="170"/>
      <c r="U201" s="1983"/>
    </row>
    <row r="202" spans="1:21" ht="14.25" customHeight="1" thickBot="1" x14ac:dyDescent="0.25">
      <c r="A202" s="86" t="s">
        <v>5</v>
      </c>
      <c r="B202" s="75" t="s">
        <v>28</v>
      </c>
      <c r="C202" s="1767" t="s">
        <v>8</v>
      </c>
      <c r="D202" s="1767"/>
      <c r="E202" s="1767"/>
      <c r="F202" s="1767"/>
      <c r="G202" s="1768"/>
      <c r="H202" s="619">
        <f t="shared" ref="H202:P202" si="26">H201+H175+H172</f>
        <v>3040.4</v>
      </c>
      <c r="I202" s="1282">
        <f t="shared" si="26"/>
        <v>2955.4</v>
      </c>
      <c r="J202" s="1359">
        <f t="shared" si="26"/>
        <v>-85</v>
      </c>
      <c r="K202" s="619">
        <f t="shared" si="26"/>
        <v>3104.1</v>
      </c>
      <c r="L202" s="1282">
        <f t="shared" si="26"/>
        <v>3340.6</v>
      </c>
      <c r="M202" s="1359">
        <f t="shared" si="26"/>
        <v>236.5</v>
      </c>
      <c r="N202" s="619">
        <f t="shared" si="26"/>
        <v>2230.5</v>
      </c>
      <c r="O202" s="1282">
        <f t="shared" si="26"/>
        <v>2311.6999999999998</v>
      </c>
      <c r="P202" s="1359">
        <f t="shared" si="26"/>
        <v>81.2</v>
      </c>
      <c r="Q202" s="1800"/>
      <c r="R202" s="1800"/>
      <c r="S202" s="1800"/>
      <c r="T202" s="1800"/>
      <c r="U202" s="1801"/>
    </row>
    <row r="203" spans="1:21" ht="14.25" customHeight="1" thickBot="1" x14ac:dyDescent="0.25">
      <c r="A203" s="74" t="s">
        <v>5</v>
      </c>
      <c r="B203" s="75" t="s">
        <v>33</v>
      </c>
      <c r="C203" s="1771" t="s">
        <v>165</v>
      </c>
      <c r="D203" s="1802"/>
      <c r="E203" s="1802"/>
      <c r="F203" s="1802"/>
      <c r="G203" s="1802"/>
      <c r="H203" s="1802"/>
      <c r="I203" s="1802"/>
      <c r="J203" s="1802"/>
      <c r="K203" s="1802"/>
      <c r="L203" s="1802"/>
      <c r="M203" s="1802"/>
      <c r="N203" s="1802"/>
      <c r="O203" s="1802"/>
      <c r="P203" s="1802"/>
      <c r="Q203" s="1802"/>
      <c r="R203" s="1802"/>
      <c r="S203" s="1802"/>
      <c r="T203" s="1802"/>
      <c r="U203" s="1803"/>
    </row>
    <row r="204" spans="1:21" ht="12" customHeight="1" x14ac:dyDescent="0.2">
      <c r="A204" s="1280" t="s">
        <v>5</v>
      </c>
      <c r="B204" s="1281" t="s">
        <v>33</v>
      </c>
      <c r="C204" s="231" t="s">
        <v>5</v>
      </c>
      <c r="D204" s="1647" t="s">
        <v>104</v>
      </c>
      <c r="E204" s="320"/>
      <c r="F204" s="1283">
        <v>6</v>
      </c>
      <c r="G204" s="169" t="s">
        <v>25</v>
      </c>
      <c r="H204" s="197">
        <v>1730.7</v>
      </c>
      <c r="I204" s="166">
        <v>1730.7</v>
      </c>
      <c r="J204" s="317"/>
      <c r="K204" s="197">
        <v>1816.4</v>
      </c>
      <c r="L204" s="166">
        <v>1816.4</v>
      </c>
      <c r="M204" s="317"/>
      <c r="N204" s="197">
        <v>1822.7</v>
      </c>
      <c r="O204" s="166">
        <v>1822.7</v>
      </c>
      <c r="P204" s="317"/>
      <c r="Q204" s="612"/>
      <c r="R204" s="166"/>
      <c r="S204" s="198"/>
      <c r="T204" s="204"/>
      <c r="U204" s="205"/>
    </row>
    <row r="205" spans="1:21" ht="12" customHeight="1" x14ac:dyDescent="0.2">
      <c r="A205" s="1266"/>
      <c r="B205" s="1267"/>
      <c r="C205" s="200"/>
      <c r="D205" s="1648"/>
      <c r="E205" s="1269"/>
      <c r="F205" s="1271"/>
      <c r="G205" s="58" t="s">
        <v>60</v>
      </c>
      <c r="H205" s="79">
        <v>134.9</v>
      </c>
      <c r="I205" s="206">
        <v>134.9</v>
      </c>
      <c r="J205" s="56"/>
      <c r="K205" s="79"/>
      <c r="L205" s="206"/>
      <c r="M205" s="56"/>
      <c r="N205" s="79"/>
      <c r="O205" s="206"/>
      <c r="P205" s="56"/>
      <c r="Q205" s="1249"/>
      <c r="R205" s="206"/>
      <c r="S205" s="95"/>
      <c r="T205" s="36"/>
      <c r="U205" s="37"/>
    </row>
    <row r="206" spans="1:21" ht="12" customHeight="1" x14ac:dyDescent="0.2">
      <c r="A206" s="1266"/>
      <c r="B206" s="1267"/>
      <c r="C206" s="200"/>
      <c r="D206" s="1648"/>
      <c r="E206" s="1269"/>
      <c r="F206" s="1271"/>
      <c r="G206" s="58" t="s">
        <v>68</v>
      </c>
      <c r="H206" s="79">
        <f>268-48-30+5</f>
        <v>195</v>
      </c>
      <c r="I206" s="206">
        <f>268-48-30+5</f>
        <v>195</v>
      </c>
      <c r="J206" s="56"/>
      <c r="K206" s="79">
        <f>447-30+34.1</f>
        <v>451.1</v>
      </c>
      <c r="L206" s="206">
        <f>447-30+34.1</f>
        <v>451.1</v>
      </c>
      <c r="M206" s="56"/>
      <c r="N206" s="79">
        <f>417+98.4</f>
        <v>515.4</v>
      </c>
      <c r="O206" s="206">
        <f>417+98.4</f>
        <v>515.4</v>
      </c>
      <c r="P206" s="56"/>
      <c r="Q206" s="1249"/>
      <c r="R206" s="206"/>
      <c r="S206" s="95"/>
      <c r="T206" s="36"/>
      <c r="U206" s="37"/>
    </row>
    <row r="207" spans="1:21" ht="14.1" customHeight="1" x14ac:dyDescent="0.2">
      <c r="A207" s="1266"/>
      <c r="B207" s="1267"/>
      <c r="C207" s="200"/>
      <c r="D207" s="1648"/>
      <c r="E207" s="1269"/>
      <c r="F207" s="1271"/>
      <c r="G207" s="58" t="s">
        <v>75</v>
      </c>
      <c r="H207" s="79">
        <f>270+17.9</f>
        <v>287.89999999999998</v>
      </c>
      <c r="I207" s="206">
        <f>270+17.9</f>
        <v>287.89999999999998</v>
      </c>
      <c r="J207" s="56"/>
      <c r="K207" s="79"/>
      <c r="L207" s="206"/>
      <c r="M207" s="56"/>
      <c r="N207" s="79"/>
      <c r="O207" s="206"/>
      <c r="P207" s="56"/>
      <c r="Q207" s="1249"/>
      <c r="R207" s="206"/>
      <c r="S207" s="95"/>
      <c r="T207" s="36"/>
      <c r="U207" s="37"/>
    </row>
    <row r="208" spans="1:21" ht="14.1" customHeight="1" x14ac:dyDescent="0.2">
      <c r="A208" s="1266"/>
      <c r="B208" s="1267"/>
      <c r="C208" s="90"/>
      <c r="D208" s="1649"/>
      <c r="E208" s="1269"/>
      <c r="F208" s="1271"/>
      <c r="G208" s="1010" t="s">
        <v>99</v>
      </c>
      <c r="H208" s="82">
        <v>1335.3</v>
      </c>
      <c r="I208" s="39">
        <v>1335.3</v>
      </c>
      <c r="J208" s="162"/>
      <c r="K208" s="82">
        <f>300.3+900+168</f>
        <v>1368.3</v>
      </c>
      <c r="L208" s="39">
        <f>300.3+900+168</f>
        <v>1368.3</v>
      </c>
      <c r="M208" s="162"/>
      <c r="N208" s="82">
        <f>300.3+900+210</f>
        <v>1410.3</v>
      </c>
      <c r="O208" s="39">
        <f>300.3+900+210</f>
        <v>1410.3</v>
      </c>
      <c r="P208" s="162"/>
      <c r="Q208" s="1249"/>
      <c r="R208" s="206"/>
      <c r="S208" s="95"/>
      <c r="T208" s="36"/>
      <c r="U208" s="37"/>
    </row>
    <row r="209" spans="1:21" ht="15.75" customHeight="1" x14ac:dyDescent="0.2">
      <c r="A209" s="1266"/>
      <c r="B209" s="1267"/>
      <c r="C209" s="1211"/>
      <c r="D209" s="397" t="s">
        <v>101</v>
      </c>
      <c r="E209" s="1212"/>
      <c r="F209" s="1213"/>
      <c r="G209" s="450"/>
      <c r="H209" s="295"/>
      <c r="I209" s="1214"/>
      <c r="J209" s="1358"/>
      <c r="K209" s="295"/>
      <c r="L209" s="1214"/>
      <c r="M209" s="1358"/>
      <c r="N209" s="295"/>
      <c r="O209" s="1214"/>
      <c r="P209" s="1358"/>
      <c r="Q209" s="216"/>
      <c r="R209" s="1214"/>
      <c r="S209" s="1215"/>
      <c r="T209" s="1373"/>
      <c r="U209" s="37"/>
    </row>
    <row r="210" spans="1:21" ht="14.25" customHeight="1" x14ac:dyDescent="0.2">
      <c r="A210" s="1266"/>
      <c r="B210" s="1267"/>
      <c r="C210" s="1899" t="s">
        <v>169</v>
      </c>
      <c r="D210" s="1264" t="s">
        <v>258</v>
      </c>
      <c r="E210" s="1269"/>
      <c r="F210" s="1271"/>
      <c r="G210" s="58"/>
      <c r="H210" s="79"/>
      <c r="I210" s="206"/>
      <c r="J210" s="56"/>
      <c r="K210" s="79"/>
      <c r="L210" s="206"/>
      <c r="M210" s="56"/>
      <c r="N210" s="79"/>
      <c r="O210" s="206"/>
      <c r="P210" s="56"/>
      <c r="Q210" s="1303" t="s">
        <v>66</v>
      </c>
      <c r="R210" s="206">
        <v>5.9</v>
      </c>
      <c r="S210" s="95"/>
      <c r="T210" s="36"/>
      <c r="U210" s="37"/>
    </row>
    <row r="211" spans="1:21" ht="13.5" customHeight="1" x14ac:dyDescent="0.2">
      <c r="A211" s="1266"/>
      <c r="B211" s="1267"/>
      <c r="C211" s="1899"/>
      <c r="D211" s="213" t="s">
        <v>171</v>
      </c>
      <c r="E211" s="1269"/>
      <c r="F211" s="1271"/>
      <c r="G211" s="58"/>
      <c r="H211" s="79"/>
      <c r="I211" s="206"/>
      <c r="J211" s="56"/>
      <c r="K211" s="79"/>
      <c r="L211" s="206"/>
      <c r="M211" s="56"/>
      <c r="N211" s="79"/>
      <c r="O211" s="206"/>
      <c r="P211" s="56"/>
      <c r="Q211" s="1303"/>
      <c r="R211" s="206"/>
      <c r="S211" s="95"/>
      <c r="T211" s="36"/>
      <c r="U211" s="37"/>
    </row>
    <row r="212" spans="1:21" ht="14.25" customHeight="1" x14ac:dyDescent="0.2">
      <c r="A212" s="1266"/>
      <c r="B212" s="1267"/>
      <c r="C212" s="1899"/>
      <c r="D212" s="213" t="s">
        <v>168</v>
      </c>
      <c r="E212" s="1269"/>
      <c r="F212" s="1271"/>
      <c r="G212" s="58"/>
      <c r="H212" s="79"/>
      <c r="I212" s="206"/>
      <c r="J212" s="56"/>
      <c r="K212" s="79"/>
      <c r="L212" s="206"/>
      <c r="M212" s="56"/>
      <c r="N212" s="79"/>
      <c r="O212" s="206"/>
      <c r="P212" s="56"/>
      <c r="Q212" s="1303"/>
      <c r="R212" s="206"/>
      <c r="S212" s="95"/>
      <c r="T212" s="36"/>
      <c r="U212" s="37"/>
    </row>
    <row r="213" spans="1:21" ht="14.25" customHeight="1" x14ac:dyDescent="0.2">
      <c r="A213" s="1266"/>
      <c r="B213" s="1267"/>
      <c r="C213" s="1899"/>
      <c r="D213" s="1264" t="s">
        <v>173</v>
      </c>
      <c r="E213" s="1269"/>
      <c r="F213" s="1271"/>
      <c r="G213" s="58"/>
      <c r="H213" s="79"/>
      <c r="I213" s="206"/>
      <c r="J213" s="56"/>
      <c r="K213" s="79"/>
      <c r="L213" s="206"/>
      <c r="M213" s="56"/>
      <c r="N213" s="79"/>
      <c r="O213" s="206"/>
      <c r="P213" s="56"/>
      <c r="Q213" s="1303"/>
      <c r="R213" s="206"/>
      <c r="S213" s="95"/>
      <c r="T213" s="36"/>
      <c r="U213" s="37"/>
    </row>
    <row r="214" spans="1:21" ht="29.25" customHeight="1" x14ac:dyDescent="0.2">
      <c r="A214" s="1266"/>
      <c r="B214" s="1267"/>
      <c r="C214" s="1899"/>
      <c r="D214" s="213" t="s">
        <v>332</v>
      </c>
      <c r="E214" s="1269"/>
      <c r="F214" s="1271"/>
      <c r="G214" s="58"/>
      <c r="H214" s="79"/>
      <c r="I214" s="206"/>
      <c r="J214" s="56"/>
      <c r="K214" s="79"/>
      <c r="L214" s="206"/>
      <c r="M214" s="56"/>
      <c r="N214" s="79"/>
      <c r="O214" s="206"/>
      <c r="P214" s="56"/>
      <c r="Q214" s="1303"/>
      <c r="R214" s="206"/>
      <c r="S214" s="95"/>
      <c r="T214" s="36"/>
      <c r="U214" s="37"/>
    </row>
    <row r="215" spans="1:21" ht="26.25" customHeight="1" x14ac:dyDescent="0.2">
      <c r="A215" s="1266"/>
      <c r="B215" s="1267"/>
      <c r="C215" s="1899"/>
      <c r="D215" s="1190" t="s">
        <v>333</v>
      </c>
      <c r="E215" s="1269"/>
      <c r="F215" s="1271"/>
      <c r="G215" s="58"/>
      <c r="H215" s="79"/>
      <c r="I215" s="206"/>
      <c r="J215" s="56"/>
      <c r="K215" s="79"/>
      <c r="L215" s="206"/>
      <c r="M215" s="56"/>
      <c r="N215" s="79"/>
      <c r="O215" s="206"/>
      <c r="P215" s="56"/>
      <c r="Q215" s="1303"/>
      <c r="R215" s="206"/>
      <c r="S215" s="95"/>
      <c r="T215" s="36"/>
      <c r="U215" s="37"/>
    </row>
    <row r="216" spans="1:21" ht="27" customHeight="1" x14ac:dyDescent="0.2">
      <c r="A216" s="1266"/>
      <c r="B216" s="1267"/>
      <c r="C216" s="1899"/>
      <c r="D216" s="213" t="s">
        <v>335</v>
      </c>
      <c r="E216" s="1269"/>
      <c r="F216" s="1271"/>
      <c r="G216" s="58"/>
      <c r="H216" s="79"/>
      <c r="I216" s="206"/>
      <c r="J216" s="56"/>
      <c r="K216" s="79"/>
      <c r="L216" s="206"/>
      <c r="M216" s="56"/>
      <c r="N216" s="79"/>
      <c r="O216" s="206"/>
      <c r="P216" s="56"/>
      <c r="Q216" s="1303"/>
      <c r="R216" s="206"/>
      <c r="S216" s="95"/>
      <c r="T216" s="36"/>
      <c r="U216" s="37"/>
    </row>
    <row r="217" spans="1:21" ht="18.75" customHeight="1" x14ac:dyDescent="0.2">
      <c r="A217" s="1266"/>
      <c r="B217" s="1267"/>
      <c r="C217" s="1300"/>
      <c r="D217" s="1275" t="s">
        <v>334</v>
      </c>
      <c r="E217" s="1269"/>
      <c r="F217" s="1271"/>
      <c r="G217" s="58"/>
      <c r="H217" s="79"/>
      <c r="I217" s="206"/>
      <c r="J217" s="56"/>
      <c r="K217" s="79"/>
      <c r="L217" s="206"/>
      <c r="M217" s="56"/>
      <c r="N217" s="79"/>
      <c r="O217" s="206"/>
      <c r="P217" s="56"/>
      <c r="Q217" s="1303"/>
      <c r="R217" s="206"/>
      <c r="S217" s="95"/>
      <c r="T217" s="36"/>
      <c r="U217" s="37"/>
    </row>
    <row r="218" spans="1:21" ht="15" customHeight="1" x14ac:dyDescent="0.2">
      <c r="A218" s="1266"/>
      <c r="B218" s="1267"/>
      <c r="C218" s="1900" t="s">
        <v>170</v>
      </c>
      <c r="D218" s="1207" t="s">
        <v>172</v>
      </c>
      <c r="E218" s="1208"/>
      <c r="F218" s="1209"/>
      <c r="G218" s="71"/>
      <c r="H218" s="720"/>
      <c r="I218" s="721"/>
      <c r="J218" s="722"/>
      <c r="K218" s="720"/>
      <c r="L218" s="721"/>
      <c r="M218" s="722"/>
      <c r="N218" s="720"/>
      <c r="O218" s="721"/>
      <c r="P218" s="722"/>
      <c r="Q218" s="1252" t="s">
        <v>66</v>
      </c>
      <c r="R218" s="721"/>
      <c r="S218" s="853">
        <v>7.9</v>
      </c>
      <c r="T218" s="1374">
        <v>7.5</v>
      </c>
      <c r="U218" s="37"/>
    </row>
    <row r="219" spans="1:21" ht="16.5" customHeight="1" x14ac:dyDescent="0.2">
      <c r="A219" s="1266"/>
      <c r="B219" s="1267"/>
      <c r="C219" s="1899"/>
      <c r="D219" s="1190" t="s">
        <v>167</v>
      </c>
      <c r="E219" s="1269"/>
      <c r="F219" s="1271"/>
      <c r="G219" s="58"/>
      <c r="H219" s="79"/>
      <c r="I219" s="206"/>
      <c r="J219" s="56"/>
      <c r="K219" s="79"/>
      <c r="L219" s="206"/>
      <c r="M219" s="56"/>
      <c r="N219" s="79"/>
      <c r="O219" s="206"/>
      <c r="P219" s="56"/>
      <c r="Q219" s="1303"/>
      <c r="R219" s="206"/>
      <c r="S219" s="95"/>
      <c r="T219" s="36"/>
      <c r="U219" s="37"/>
    </row>
    <row r="220" spans="1:21" ht="15.75" customHeight="1" x14ac:dyDescent="0.2">
      <c r="A220" s="1266"/>
      <c r="B220" s="1267"/>
      <c r="C220" s="1899"/>
      <c r="D220" s="213" t="s">
        <v>174</v>
      </c>
      <c r="E220" s="1269"/>
      <c r="F220" s="1271"/>
      <c r="G220" s="58"/>
      <c r="H220" s="79"/>
      <c r="I220" s="206"/>
      <c r="J220" s="56"/>
      <c r="K220" s="79"/>
      <c r="L220" s="206"/>
      <c r="M220" s="56"/>
      <c r="N220" s="79"/>
      <c r="O220" s="206"/>
      <c r="P220" s="56"/>
      <c r="Q220" s="1303"/>
      <c r="R220" s="206"/>
      <c r="S220" s="95"/>
      <c r="T220" s="36"/>
      <c r="U220" s="37"/>
    </row>
    <row r="221" spans="1:21" ht="15.75" customHeight="1" x14ac:dyDescent="0.2">
      <c r="A221" s="1266"/>
      <c r="B221" s="1267"/>
      <c r="C221" s="1899"/>
      <c r="D221" s="213" t="s">
        <v>263</v>
      </c>
      <c r="E221" s="1269"/>
      <c r="F221" s="1271"/>
      <c r="G221" s="58"/>
      <c r="H221" s="79"/>
      <c r="I221" s="206"/>
      <c r="J221" s="56"/>
      <c r="K221" s="79"/>
      <c r="L221" s="206"/>
      <c r="M221" s="56"/>
      <c r="N221" s="79"/>
      <c r="O221" s="206"/>
      <c r="P221" s="56"/>
      <c r="Q221" s="1303"/>
      <c r="R221" s="206"/>
      <c r="S221" s="95"/>
      <c r="T221" s="36"/>
      <c r="U221" s="37"/>
    </row>
    <row r="222" spans="1:21" ht="14.25" customHeight="1" x14ac:dyDescent="0.2">
      <c r="A222" s="1266"/>
      <c r="B222" s="1267"/>
      <c r="C222" s="1901"/>
      <c r="D222" s="1294" t="s">
        <v>336</v>
      </c>
      <c r="E222" s="1323"/>
      <c r="F222" s="1298"/>
      <c r="G222" s="1010"/>
      <c r="H222" s="82"/>
      <c r="I222" s="39"/>
      <c r="J222" s="162"/>
      <c r="K222" s="82"/>
      <c r="L222" s="39"/>
      <c r="M222" s="162"/>
      <c r="N222" s="82"/>
      <c r="O222" s="39"/>
      <c r="P222" s="162"/>
      <c r="Q222" s="1306"/>
      <c r="R222" s="39"/>
      <c r="S222" s="38"/>
      <c r="T222" s="38"/>
      <c r="U222" s="37"/>
    </row>
    <row r="223" spans="1:21" ht="27" customHeight="1" x14ac:dyDescent="0.2">
      <c r="A223" s="1266"/>
      <c r="B223" s="1267"/>
      <c r="C223" s="200"/>
      <c r="D223" s="1714" t="s">
        <v>103</v>
      </c>
      <c r="E223" s="1269"/>
      <c r="F223" s="1285"/>
      <c r="G223" s="58" t="s">
        <v>99</v>
      </c>
      <c r="H223" s="36"/>
      <c r="I223" s="499">
        <v>152</v>
      </c>
      <c r="J223" s="1483">
        <f>I223-H223</f>
        <v>152</v>
      </c>
      <c r="K223" s="79"/>
      <c r="L223" s="206"/>
      <c r="M223" s="56"/>
      <c r="N223" s="79"/>
      <c r="O223" s="206"/>
      <c r="P223" s="56"/>
      <c r="Q223" s="1206" t="s">
        <v>293</v>
      </c>
      <c r="R223" s="1590" t="s">
        <v>377</v>
      </c>
      <c r="S223" s="467" t="s">
        <v>292</v>
      </c>
      <c r="T223" s="181" t="s">
        <v>292</v>
      </c>
      <c r="U223" s="1973" t="s">
        <v>387</v>
      </c>
    </row>
    <row r="224" spans="1:21" ht="31.5" customHeight="1" x14ac:dyDescent="0.2">
      <c r="A224" s="1576"/>
      <c r="B224" s="1577"/>
      <c r="C224" s="200"/>
      <c r="D224" s="1714"/>
      <c r="E224" s="1578"/>
      <c r="F224" s="1575"/>
      <c r="G224" s="55" t="s">
        <v>99</v>
      </c>
      <c r="H224" s="830"/>
      <c r="I224" s="1603">
        <v>110.5</v>
      </c>
      <c r="J224" s="1604">
        <f>I224-H224</f>
        <v>110.5</v>
      </c>
      <c r="K224" s="128"/>
      <c r="L224" s="1546"/>
      <c r="M224" s="1547"/>
      <c r="N224" s="128"/>
      <c r="O224" s="1546"/>
      <c r="P224" s="1547"/>
      <c r="Q224" s="1600" t="s">
        <v>379</v>
      </c>
      <c r="R224" s="1601" t="s">
        <v>380</v>
      </c>
      <c r="S224" s="1602"/>
      <c r="T224" s="176"/>
      <c r="U224" s="1974"/>
    </row>
    <row r="225" spans="1:21" ht="26.25" customHeight="1" x14ac:dyDescent="0.2">
      <c r="A225" s="1266"/>
      <c r="B225" s="1267"/>
      <c r="C225" s="200"/>
      <c r="D225" s="1714"/>
      <c r="E225" s="1269"/>
      <c r="F225" s="1285"/>
      <c r="G225" s="58" t="s">
        <v>25</v>
      </c>
      <c r="H225" s="36"/>
      <c r="I225" s="499">
        <v>-40</v>
      </c>
      <c r="J225" s="1483">
        <f>I225-H225</f>
        <v>-40</v>
      </c>
      <c r="K225" s="79"/>
      <c r="L225" s="206"/>
      <c r="M225" s="56"/>
      <c r="N225" s="79"/>
      <c r="O225" s="206"/>
      <c r="P225" s="56"/>
      <c r="Q225" s="1418" t="s">
        <v>40</v>
      </c>
      <c r="R225" s="756" t="s">
        <v>294</v>
      </c>
      <c r="S225" s="1598" t="s">
        <v>294</v>
      </c>
      <c r="T225" s="1599" t="s">
        <v>294</v>
      </c>
      <c r="U225" s="1968"/>
    </row>
    <row r="226" spans="1:21" ht="42" customHeight="1" x14ac:dyDescent="0.2">
      <c r="A226" s="1266"/>
      <c r="B226" s="1267"/>
      <c r="C226" s="200"/>
      <c r="D226" s="1715"/>
      <c r="E226" s="1323"/>
      <c r="F226" s="1285"/>
      <c r="G226" s="69"/>
      <c r="H226" s="82"/>
      <c r="I226" s="39"/>
      <c r="J226" s="162"/>
      <c r="K226" s="82"/>
      <c r="L226" s="39"/>
      <c r="M226" s="162"/>
      <c r="N226" s="82"/>
      <c r="O226" s="39"/>
      <c r="P226" s="162"/>
      <c r="Q226" s="1306" t="s">
        <v>65</v>
      </c>
      <c r="R226" s="1035" t="s">
        <v>288</v>
      </c>
      <c r="S226" s="915" t="s">
        <v>288</v>
      </c>
      <c r="T226" s="495" t="s">
        <v>288</v>
      </c>
      <c r="U226" s="1964"/>
    </row>
    <row r="227" spans="1:21" ht="15.75" customHeight="1" x14ac:dyDescent="0.2">
      <c r="A227" s="1704"/>
      <c r="B227" s="1705"/>
      <c r="C227" s="1706"/>
      <c r="D227" s="1707" t="s">
        <v>53</v>
      </c>
      <c r="E227" s="1269"/>
      <c r="F227" s="1285"/>
      <c r="G227" s="58"/>
      <c r="H227" s="79"/>
      <c r="I227" s="206"/>
      <c r="J227" s="56"/>
      <c r="K227" s="79"/>
      <c r="L227" s="206"/>
      <c r="M227" s="56"/>
      <c r="N227" s="79"/>
      <c r="O227" s="206"/>
      <c r="P227" s="56"/>
      <c r="Q227" s="1682" t="s">
        <v>290</v>
      </c>
      <c r="R227" s="323" t="s">
        <v>289</v>
      </c>
      <c r="S227" s="755" t="s">
        <v>289</v>
      </c>
      <c r="T227" s="407" t="s">
        <v>289</v>
      </c>
      <c r="U227" s="314"/>
    </row>
    <row r="228" spans="1:21" ht="18" customHeight="1" x14ac:dyDescent="0.2">
      <c r="A228" s="1704"/>
      <c r="B228" s="1705"/>
      <c r="C228" s="1706"/>
      <c r="D228" s="1708"/>
      <c r="E228" s="1323"/>
      <c r="F228" s="1285"/>
      <c r="G228" s="707"/>
      <c r="H228" s="1383"/>
      <c r="I228" s="1384"/>
      <c r="J228" s="1379"/>
      <c r="K228" s="1383"/>
      <c r="L228" s="1384"/>
      <c r="M228" s="1379"/>
      <c r="N228" s="82"/>
      <c r="O228" s="39"/>
      <c r="P228" s="162"/>
      <c r="Q228" s="1849"/>
      <c r="R228" s="39"/>
      <c r="S228" s="143"/>
      <c r="T228" s="38"/>
      <c r="U228" s="37"/>
    </row>
    <row r="229" spans="1:21" ht="27.75" customHeight="1" x14ac:dyDescent="0.2">
      <c r="A229" s="1704"/>
      <c r="B229" s="1705"/>
      <c r="C229" s="1706"/>
      <c r="D229" s="1695" t="s">
        <v>271</v>
      </c>
      <c r="E229" s="1836"/>
      <c r="F229" s="1706"/>
      <c r="G229" s="58" t="s">
        <v>99</v>
      </c>
      <c r="H229" s="79"/>
      <c r="I229" s="499">
        <v>111.5</v>
      </c>
      <c r="J229" s="636">
        <f>I229-H229</f>
        <v>111.5</v>
      </c>
      <c r="K229" s="79"/>
      <c r="L229" s="206"/>
      <c r="M229" s="56"/>
      <c r="N229" s="79"/>
      <c r="O229" s="206"/>
      <c r="P229" s="56"/>
      <c r="Q229" s="1327" t="s">
        <v>295</v>
      </c>
      <c r="R229" s="1487" t="s">
        <v>357</v>
      </c>
      <c r="S229" s="600" t="s">
        <v>299</v>
      </c>
      <c r="T229" s="600" t="s">
        <v>299</v>
      </c>
      <c r="U229" s="1973" t="s">
        <v>374</v>
      </c>
    </row>
    <row r="230" spans="1:21" ht="53.25" customHeight="1" x14ac:dyDescent="0.2">
      <c r="A230" s="1704"/>
      <c r="B230" s="1705"/>
      <c r="C230" s="1706"/>
      <c r="D230" s="1810"/>
      <c r="E230" s="1836"/>
      <c r="F230" s="1706"/>
      <c r="G230" s="58"/>
      <c r="H230" s="79"/>
      <c r="I230" s="206"/>
      <c r="J230" s="56"/>
      <c r="K230" s="79"/>
      <c r="L230" s="206"/>
      <c r="M230" s="56"/>
      <c r="N230" s="79"/>
      <c r="O230" s="206"/>
      <c r="P230" s="56"/>
      <c r="Q230" s="1303" t="s">
        <v>291</v>
      </c>
      <c r="R230" s="1485" t="s">
        <v>359</v>
      </c>
      <c r="S230" s="34" t="s">
        <v>312</v>
      </c>
      <c r="T230" s="181" t="s">
        <v>312</v>
      </c>
      <c r="U230" s="1985"/>
    </row>
    <row r="231" spans="1:21" ht="18" customHeight="1" x14ac:dyDescent="0.2">
      <c r="A231" s="1704"/>
      <c r="B231" s="1705"/>
      <c r="C231" s="1706"/>
      <c r="D231" s="935"/>
      <c r="E231" s="1836"/>
      <c r="F231" s="1706"/>
      <c r="G231" s="58"/>
      <c r="H231" s="79"/>
      <c r="I231" s="206"/>
      <c r="J231" s="56"/>
      <c r="K231" s="79"/>
      <c r="L231" s="206"/>
      <c r="M231" s="56"/>
      <c r="N231" s="79"/>
      <c r="O231" s="206"/>
      <c r="P231" s="56"/>
      <c r="Q231" s="1702" t="s">
        <v>337</v>
      </c>
      <c r="R231" s="1489" t="s">
        <v>286</v>
      </c>
      <c r="S231" s="1491" t="s">
        <v>286</v>
      </c>
      <c r="T231" s="346"/>
      <c r="U231" s="1967" t="s">
        <v>373</v>
      </c>
    </row>
    <row r="232" spans="1:21" ht="11.25" customHeight="1" x14ac:dyDescent="0.2">
      <c r="A232" s="1704"/>
      <c r="B232" s="1705"/>
      <c r="C232" s="1706"/>
      <c r="D232" s="935"/>
      <c r="E232" s="1836"/>
      <c r="F232" s="1706"/>
      <c r="G232" s="58"/>
      <c r="H232" s="79"/>
      <c r="I232" s="206"/>
      <c r="J232" s="56"/>
      <c r="K232" s="79"/>
      <c r="L232" s="206"/>
      <c r="M232" s="56"/>
      <c r="N232" s="79"/>
      <c r="O232" s="206"/>
      <c r="P232" s="56"/>
      <c r="Q232" s="1984"/>
      <c r="R232" s="1490"/>
      <c r="S232" s="1492"/>
      <c r="T232" s="756"/>
      <c r="U232" s="1968"/>
    </row>
    <row r="233" spans="1:21" ht="55.5" customHeight="1" x14ac:dyDescent="0.2">
      <c r="A233" s="1704"/>
      <c r="B233" s="1705"/>
      <c r="C233" s="1681"/>
      <c r="D233" s="1403"/>
      <c r="E233" s="1836"/>
      <c r="F233" s="1706"/>
      <c r="G233" s="58"/>
      <c r="H233" s="79"/>
      <c r="I233" s="206"/>
      <c r="J233" s="56"/>
      <c r="K233" s="79"/>
      <c r="L233" s="206"/>
      <c r="M233" s="56"/>
      <c r="N233" s="79"/>
      <c r="O233" s="206"/>
      <c r="P233" s="56"/>
      <c r="Q233" s="1405" t="s">
        <v>297</v>
      </c>
      <c r="R233" s="1490" t="s">
        <v>287</v>
      </c>
      <c r="S233" s="1492" t="s">
        <v>287</v>
      </c>
      <c r="T233" s="756"/>
      <c r="U233" s="1969"/>
    </row>
    <row r="234" spans="1:21" ht="30" customHeight="1" x14ac:dyDescent="0.2">
      <c r="A234" s="1401"/>
      <c r="B234" s="1402"/>
      <c r="C234" s="1399"/>
      <c r="D234" s="1407"/>
      <c r="E234" s="1406"/>
      <c r="F234" s="1399"/>
      <c r="G234" s="1010"/>
      <c r="H234" s="82"/>
      <c r="I234" s="39"/>
      <c r="J234" s="162"/>
      <c r="K234" s="82"/>
      <c r="L234" s="39"/>
      <c r="M234" s="162"/>
      <c r="N234" s="82"/>
      <c r="O234" s="39"/>
      <c r="P234" s="162"/>
      <c r="Q234" s="1409" t="s">
        <v>348</v>
      </c>
      <c r="R234" s="286" t="s">
        <v>55</v>
      </c>
      <c r="S234" s="468"/>
      <c r="T234" s="286"/>
      <c r="U234" s="1558"/>
    </row>
    <row r="235" spans="1:21" ht="17.25" customHeight="1" x14ac:dyDescent="0.2">
      <c r="A235" s="1266"/>
      <c r="B235" s="1267"/>
      <c r="C235" s="1285"/>
      <c r="D235" s="1696" t="s">
        <v>102</v>
      </c>
      <c r="E235" s="1269"/>
      <c r="F235" s="1285"/>
      <c r="G235" s="58"/>
      <c r="H235" s="79"/>
      <c r="I235" s="206"/>
      <c r="J235" s="56"/>
      <c r="K235" s="79"/>
      <c r="L235" s="206"/>
      <c r="M235" s="56"/>
      <c r="N235" s="79"/>
      <c r="O235" s="206"/>
      <c r="P235" s="56"/>
      <c r="Q235" s="1840" t="s">
        <v>146</v>
      </c>
      <c r="R235" s="1329">
        <v>14</v>
      </c>
      <c r="S235" s="399">
        <v>12</v>
      </c>
      <c r="T235" s="695">
        <v>6</v>
      </c>
      <c r="U235" s="1248"/>
    </row>
    <row r="236" spans="1:21" ht="15" customHeight="1" x14ac:dyDescent="0.2">
      <c r="A236" s="1266"/>
      <c r="B236" s="1267"/>
      <c r="C236" s="1285"/>
      <c r="D236" s="1894"/>
      <c r="E236" s="1323"/>
      <c r="F236" s="1285"/>
      <c r="G236" s="1010"/>
      <c r="H236" s="82"/>
      <c r="I236" s="39"/>
      <c r="J236" s="162"/>
      <c r="K236" s="82"/>
      <c r="L236" s="39"/>
      <c r="M236" s="162"/>
      <c r="N236" s="82"/>
      <c r="O236" s="39"/>
      <c r="P236" s="162"/>
      <c r="Q236" s="1841"/>
      <c r="R236" s="19"/>
      <c r="S236" s="283"/>
      <c r="T236" s="44"/>
      <c r="U236" s="1278"/>
    </row>
    <row r="237" spans="1:21" ht="15.75" customHeight="1" x14ac:dyDescent="0.2">
      <c r="A237" s="1297"/>
      <c r="B237" s="1267"/>
      <c r="C237" s="1285"/>
      <c r="D237" s="1707" t="s">
        <v>39</v>
      </c>
      <c r="E237" s="1277"/>
      <c r="F237" s="1285"/>
      <c r="G237" s="54"/>
      <c r="H237" s="79"/>
      <c r="I237" s="206"/>
      <c r="J237" s="56"/>
      <c r="K237" s="79"/>
      <c r="L237" s="206"/>
      <c r="M237" s="56"/>
      <c r="N237" s="79"/>
      <c r="O237" s="206"/>
      <c r="P237" s="56"/>
      <c r="Q237" s="1305" t="s">
        <v>270</v>
      </c>
      <c r="R237" s="1289">
        <v>14</v>
      </c>
      <c r="S237" s="1261">
        <v>14</v>
      </c>
      <c r="T237" s="1288">
        <v>14</v>
      </c>
      <c r="U237" s="1278"/>
    </row>
    <row r="238" spans="1:21" ht="6" customHeight="1" x14ac:dyDescent="0.2">
      <c r="A238" s="1297"/>
      <c r="B238" s="1267"/>
      <c r="C238" s="1285"/>
      <c r="D238" s="1708"/>
      <c r="E238" s="1323"/>
      <c r="F238" s="1285"/>
      <c r="G238" s="1010"/>
      <c r="H238" s="82"/>
      <c r="I238" s="39"/>
      <c r="J238" s="162"/>
      <c r="K238" s="82"/>
      <c r="L238" s="39"/>
      <c r="M238" s="162"/>
      <c r="N238" s="82"/>
      <c r="O238" s="39"/>
      <c r="P238" s="143"/>
      <c r="Q238" s="1303"/>
      <c r="R238" s="19"/>
      <c r="S238" s="283"/>
      <c r="T238" s="44"/>
      <c r="U238" s="1278"/>
    </row>
    <row r="239" spans="1:21" ht="15" customHeight="1" x14ac:dyDescent="0.2">
      <c r="A239" s="1297"/>
      <c r="B239" s="1267"/>
      <c r="C239" s="1285"/>
      <c r="D239" s="1707" t="s">
        <v>235</v>
      </c>
      <c r="E239" s="1269"/>
      <c r="F239" s="1285"/>
      <c r="G239" s="1007"/>
      <c r="H239" s="83"/>
      <c r="I239" s="46"/>
      <c r="J239" s="180"/>
      <c r="K239" s="83"/>
      <c r="L239" s="46"/>
      <c r="M239" s="180"/>
      <c r="N239" s="83"/>
      <c r="O239" s="46"/>
      <c r="P239" s="180"/>
      <c r="Q239" s="791" t="s">
        <v>92</v>
      </c>
      <c r="R239" s="633">
        <v>1</v>
      </c>
      <c r="S239" s="282"/>
      <c r="T239" s="1315"/>
      <c r="U239" s="1278"/>
    </row>
    <row r="240" spans="1:21" ht="27.75" customHeight="1" x14ac:dyDescent="0.2">
      <c r="A240" s="1297"/>
      <c r="B240" s="1267"/>
      <c r="C240" s="1285"/>
      <c r="D240" s="1708"/>
      <c r="E240" s="1269"/>
      <c r="F240" s="1285"/>
      <c r="G240" s="1008"/>
      <c r="H240" s="82"/>
      <c r="I240" s="39"/>
      <c r="J240" s="162"/>
      <c r="K240" s="82"/>
      <c r="L240" s="39"/>
      <c r="M240" s="162"/>
      <c r="N240" s="82"/>
      <c r="O240" s="39"/>
      <c r="P240" s="162"/>
      <c r="Q240" s="441" t="s">
        <v>249</v>
      </c>
      <c r="R240" s="796"/>
      <c r="S240" s="797">
        <v>100</v>
      </c>
      <c r="T240" s="1375"/>
      <c r="U240" s="1278"/>
    </row>
    <row r="241" spans="1:21" ht="14.25" customHeight="1" x14ac:dyDescent="0.2">
      <c r="A241" s="1297"/>
      <c r="B241" s="1267"/>
      <c r="C241" s="1268"/>
      <c r="D241" s="1255" t="s">
        <v>339</v>
      </c>
      <c r="E241" s="131"/>
      <c r="F241" s="1285"/>
      <c r="G241" s="852" t="s">
        <v>99</v>
      </c>
      <c r="H241" s="720"/>
      <c r="I241" s="1472">
        <v>20</v>
      </c>
      <c r="J241" s="1473">
        <f>I241-H241</f>
        <v>20</v>
      </c>
      <c r="K241" s="853"/>
      <c r="L241" s="1472">
        <v>170</v>
      </c>
      <c r="M241" s="1474">
        <f>L241-K241</f>
        <v>170</v>
      </c>
      <c r="N241" s="83"/>
      <c r="O241" s="637">
        <v>190</v>
      </c>
      <c r="P241" s="638">
        <f>O241-N241</f>
        <v>190</v>
      </c>
      <c r="Q241" s="854" t="s">
        <v>46</v>
      </c>
      <c r="R241" s="472">
        <v>3</v>
      </c>
      <c r="S241" s="1498">
        <v>1</v>
      </c>
      <c r="T241" s="1499">
        <v>2</v>
      </c>
      <c r="U241" s="1956" t="s">
        <v>375</v>
      </c>
    </row>
    <row r="242" spans="1:21" ht="26.25" customHeight="1" x14ac:dyDescent="0.2">
      <c r="A242" s="1272"/>
      <c r="B242" s="1273"/>
      <c r="C242" s="1274"/>
      <c r="D242" s="855" t="s">
        <v>342</v>
      </c>
      <c r="E242" s="1920"/>
      <c r="F242" s="1922"/>
      <c r="G242" s="848"/>
      <c r="H242" s="306"/>
      <c r="I242" s="348"/>
      <c r="J242" s="307"/>
      <c r="K242" s="95"/>
      <c r="L242" s="206"/>
      <c r="M242" s="95"/>
      <c r="N242" s="79"/>
      <c r="O242" s="206"/>
      <c r="P242" s="56"/>
      <c r="Q242" s="440" t="s">
        <v>265</v>
      </c>
      <c r="R242" s="1311"/>
      <c r="S242" s="1495">
        <v>50</v>
      </c>
      <c r="T242" s="1500">
        <v>100</v>
      </c>
      <c r="U242" s="1940"/>
    </row>
    <row r="243" spans="1:21" ht="12.75" customHeight="1" x14ac:dyDescent="0.2">
      <c r="A243" s="1272"/>
      <c r="B243" s="1273"/>
      <c r="C243" s="1274"/>
      <c r="D243" s="855" t="s">
        <v>340</v>
      </c>
      <c r="E243" s="1920"/>
      <c r="F243" s="1922"/>
      <c r="G243" s="848"/>
      <c r="H243" s="306"/>
      <c r="I243" s="348"/>
      <c r="J243" s="307"/>
      <c r="K243" s="95"/>
      <c r="L243" s="206"/>
      <c r="M243" s="95"/>
      <c r="N243" s="79"/>
      <c r="O243" s="206"/>
      <c r="P243" s="56"/>
      <c r="Q243" s="440"/>
      <c r="R243" s="1311"/>
      <c r="S243" s="1311"/>
      <c r="T243" s="357"/>
      <c r="U243" s="1940"/>
    </row>
    <row r="244" spans="1:21" ht="15.75" customHeight="1" x14ac:dyDescent="0.2">
      <c r="A244" s="1272"/>
      <c r="B244" s="1273"/>
      <c r="C244" s="1274"/>
      <c r="D244" s="1308" t="s">
        <v>341</v>
      </c>
      <c r="E244" s="1921"/>
      <c r="F244" s="1923"/>
      <c r="G244" s="849"/>
      <c r="H244" s="120"/>
      <c r="I244" s="708"/>
      <c r="J244" s="726"/>
      <c r="K244" s="143"/>
      <c r="L244" s="39"/>
      <c r="M244" s="143"/>
      <c r="N244" s="82"/>
      <c r="O244" s="39"/>
      <c r="P244" s="162"/>
      <c r="Q244" s="441"/>
      <c r="R244" s="1311"/>
      <c r="S244" s="357"/>
      <c r="T244" s="357"/>
      <c r="U244" s="1982"/>
    </row>
    <row r="245" spans="1:21" ht="13.5" customHeight="1" x14ac:dyDescent="0.2">
      <c r="A245" s="1297"/>
      <c r="B245" s="1293"/>
      <c r="C245" s="89"/>
      <c r="D245" s="1707" t="s">
        <v>338</v>
      </c>
      <c r="E245" s="940" t="s">
        <v>47</v>
      </c>
      <c r="F245" s="557"/>
      <c r="G245" s="1012"/>
      <c r="H245" s="83"/>
      <c r="I245" s="46"/>
      <c r="J245" s="180"/>
      <c r="K245" s="83"/>
      <c r="L245" s="46"/>
      <c r="M245" s="180"/>
      <c r="N245" s="83"/>
      <c r="O245" s="46"/>
      <c r="P245" s="180"/>
      <c r="Q245" s="791" t="s">
        <v>92</v>
      </c>
      <c r="R245" s="792">
        <v>1</v>
      </c>
      <c r="S245" s="793"/>
      <c r="T245" s="1376"/>
      <c r="U245" s="1192"/>
    </row>
    <row r="246" spans="1:21" ht="25.5" customHeight="1" x14ac:dyDescent="0.2">
      <c r="A246" s="1297"/>
      <c r="B246" s="1293"/>
      <c r="C246" s="89"/>
      <c r="D246" s="1742"/>
      <c r="E246" s="309"/>
      <c r="F246" s="1251"/>
      <c r="G246" s="1013"/>
      <c r="H246" s="82"/>
      <c r="I246" s="39"/>
      <c r="J246" s="162"/>
      <c r="K246" s="82"/>
      <c r="L246" s="39"/>
      <c r="M246" s="162"/>
      <c r="N246" s="82"/>
      <c r="O246" s="39"/>
      <c r="P246" s="162"/>
      <c r="Q246" s="440" t="s">
        <v>283</v>
      </c>
      <c r="R246" s="1191"/>
      <c r="S246" s="472">
        <v>20</v>
      </c>
      <c r="T246" s="1377">
        <v>100</v>
      </c>
      <c r="U246" s="1192"/>
    </row>
    <row r="247" spans="1:21" ht="16.5" customHeight="1" thickBot="1" x14ac:dyDescent="0.25">
      <c r="A247" s="64"/>
      <c r="B247" s="1282"/>
      <c r="C247" s="49"/>
      <c r="D247" s="1187"/>
      <c r="E247" s="1188"/>
      <c r="F247" s="49"/>
      <c r="G247" s="129" t="s">
        <v>6</v>
      </c>
      <c r="H247" s="189">
        <f>SUM(H204:H246)</f>
        <v>3683.8</v>
      </c>
      <c r="I247" s="606">
        <f>SUM(I204:I246)</f>
        <v>4037.8</v>
      </c>
      <c r="J247" s="575">
        <f>SUM(J204:J246)</f>
        <v>354</v>
      </c>
      <c r="K247" s="189">
        <f t="shared" ref="K247" si="27">SUM(K204:K246)</f>
        <v>3635.8</v>
      </c>
      <c r="L247" s="606">
        <f>SUM(L204:L246)</f>
        <v>3805.8</v>
      </c>
      <c r="M247" s="575">
        <f t="shared" ref="M247:P247" si="28">SUM(M204:M246)</f>
        <v>170</v>
      </c>
      <c r="N247" s="189">
        <f t="shared" ref="N247:O247" si="29">SUM(N204:N246)</f>
        <v>3748.4</v>
      </c>
      <c r="O247" s="606">
        <f t="shared" si="29"/>
        <v>3938.4</v>
      </c>
      <c r="P247" s="575">
        <f t="shared" si="28"/>
        <v>190</v>
      </c>
      <c r="Q247" s="481"/>
      <c r="R247" s="171"/>
      <c r="S247" s="587"/>
      <c r="T247" s="170"/>
      <c r="U247" s="37"/>
    </row>
    <row r="248" spans="1:21" ht="26.25" customHeight="1" x14ac:dyDescent="0.2">
      <c r="A248" s="1297" t="s">
        <v>5</v>
      </c>
      <c r="B248" s="1267" t="s">
        <v>33</v>
      </c>
      <c r="C248" s="200" t="s">
        <v>7</v>
      </c>
      <c r="D248" s="1742" t="s">
        <v>132</v>
      </c>
      <c r="E248" s="1761" t="s">
        <v>47</v>
      </c>
      <c r="F248" s="1854" t="s">
        <v>43</v>
      </c>
      <c r="G248" s="58" t="s">
        <v>25</v>
      </c>
      <c r="H248" s="79"/>
      <c r="I248" s="206"/>
      <c r="J248" s="56"/>
      <c r="K248" s="79">
        <v>111</v>
      </c>
      <c r="L248" s="206">
        <v>111</v>
      </c>
      <c r="M248" s="56"/>
      <c r="N248" s="79">
        <v>199.3</v>
      </c>
      <c r="O248" s="206">
        <v>199.3</v>
      </c>
      <c r="P248" s="56"/>
      <c r="Q248" s="1327" t="s">
        <v>140</v>
      </c>
      <c r="R248" s="633"/>
      <c r="S248" s="292">
        <v>1</v>
      </c>
      <c r="T248" s="319"/>
      <c r="U248" s="1278"/>
    </row>
    <row r="249" spans="1:21" ht="26.25" customHeight="1" x14ac:dyDescent="0.2">
      <c r="A249" s="1297"/>
      <c r="B249" s="1267"/>
      <c r="C249" s="200"/>
      <c r="D249" s="1742"/>
      <c r="E249" s="1761"/>
      <c r="F249" s="1854"/>
      <c r="G249" s="58" t="s">
        <v>60</v>
      </c>
      <c r="H249" s="79">
        <v>83.9</v>
      </c>
      <c r="I249" s="206">
        <v>83.9</v>
      </c>
      <c r="J249" s="56"/>
      <c r="K249" s="79"/>
      <c r="L249" s="206"/>
      <c r="M249" s="56"/>
      <c r="N249" s="79"/>
      <c r="O249" s="206"/>
      <c r="P249" s="56"/>
      <c r="Q249" s="81" t="s">
        <v>210</v>
      </c>
      <c r="R249" s="23">
        <v>100</v>
      </c>
      <c r="S249" s="291"/>
      <c r="T249" s="155"/>
      <c r="U249" s="1278"/>
    </row>
    <row r="250" spans="1:21" ht="26.25" customHeight="1" x14ac:dyDescent="0.2">
      <c r="A250" s="1297"/>
      <c r="B250" s="1267"/>
      <c r="C250" s="200"/>
      <c r="D250" s="1742"/>
      <c r="E250" s="1761"/>
      <c r="F250" s="1855"/>
      <c r="G250" s="1010"/>
      <c r="H250" s="82"/>
      <c r="I250" s="39"/>
      <c r="J250" s="162"/>
      <c r="K250" s="82"/>
      <c r="L250" s="39"/>
      <c r="M250" s="162"/>
      <c r="N250" s="82"/>
      <c r="O250" s="39"/>
      <c r="P250" s="162"/>
      <c r="Q250" s="1317" t="s">
        <v>135</v>
      </c>
      <c r="R250" s="346"/>
      <c r="S250" s="1000">
        <v>30</v>
      </c>
      <c r="T250" s="473">
        <v>100</v>
      </c>
      <c r="U250" s="1278"/>
    </row>
    <row r="251" spans="1:21" ht="17.25" customHeight="1" thickBot="1" x14ac:dyDescent="0.25">
      <c r="A251" s="64"/>
      <c r="B251" s="1282"/>
      <c r="C251" s="91"/>
      <c r="D251" s="1852"/>
      <c r="E251" s="1853"/>
      <c r="F251" s="1856"/>
      <c r="G251" s="129" t="s">
        <v>6</v>
      </c>
      <c r="H251" s="189">
        <f>SUM(H248:H249)</f>
        <v>83.9</v>
      </c>
      <c r="I251" s="606">
        <f>SUM(I248:I249)</f>
        <v>83.9</v>
      </c>
      <c r="J251" s="318">
        <f>SUM(J248:J249)</f>
        <v>0</v>
      </c>
      <c r="K251" s="189">
        <f t="shared" ref="K251:L251" si="30">SUM(K248:K249)</f>
        <v>111</v>
      </c>
      <c r="L251" s="606">
        <f t="shared" si="30"/>
        <v>111</v>
      </c>
      <c r="M251" s="318">
        <f t="shared" ref="M251:P251" si="31">SUM(M248:M249)</f>
        <v>0</v>
      </c>
      <c r="N251" s="189">
        <f t="shared" ref="N251:O251" si="32">SUM(N248:N249)</f>
        <v>199.3</v>
      </c>
      <c r="O251" s="606">
        <f t="shared" si="32"/>
        <v>199.3</v>
      </c>
      <c r="P251" s="318">
        <f t="shared" si="31"/>
        <v>0</v>
      </c>
      <c r="Q251" s="1069"/>
      <c r="R251" s="182"/>
      <c r="S251" s="593"/>
      <c r="T251" s="1378"/>
      <c r="U251" s="625"/>
    </row>
    <row r="252" spans="1:21" ht="14.25" customHeight="1" thickBot="1" x14ac:dyDescent="0.25">
      <c r="A252" s="64" t="s">
        <v>5</v>
      </c>
      <c r="B252" s="1282" t="s">
        <v>33</v>
      </c>
      <c r="C252" s="1857" t="s">
        <v>8</v>
      </c>
      <c r="D252" s="1857"/>
      <c r="E252" s="1857"/>
      <c r="F252" s="1857"/>
      <c r="G252" s="1858"/>
      <c r="H252" s="619">
        <f>H251+H247</f>
        <v>3767.7</v>
      </c>
      <c r="I252" s="1282">
        <f>I251+I247</f>
        <v>4121.7</v>
      </c>
      <c r="J252" s="1380">
        <f>J251+J247</f>
        <v>354</v>
      </c>
      <c r="K252" s="619">
        <f t="shared" ref="K252:L252" si="33">K251+K247</f>
        <v>3746.8</v>
      </c>
      <c r="L252" s="1282">
        <f t="shared" si="33"/>
        <v>3916.8</v>
      </c>
      <c r="M252" s="1380">
        <f t="shared" ref="M252:P252" si="34">M251+M247</f>
        <v>170</v>
      </c>
      <c r="N252" s="619">
        <f t="shared" ref="N252:O252" si="35">N251+N247</f>
        <v>3947.7</v>
      </c>
      <c r="O252" s="1282">
        <f t="shared" si="35"/>
        <v>4137.7</v>
      </c>
      <c r="P252" s="1380">
        <f t="shared" si="34"/>
        <v>190</v>
      </c>
      <c r="Q252" s="1842"/>
      <c r="R252" s="1842"/>
      <c r="S252" s="1842"/>
      <c r="T252" s="1842"/>
      <c r="U252" s="1843"/>
    </row>
    <row r="253" spans="1:21" ht="14.25" customHeight="1" thickBot="1" x14ac:dyDescent="0.25">
      <c r="A253" s="86" t="s">
        <v>5</v>
      </c>
      <c r="B253" s="1844" t="s">
        <v>9</v>
      </c>
      <c r="C253" s="1845"/>
      <c r="D253" s="1845"/>
      <c r="E253" s="1845"/>
      <c r="F253" s="1845"/>
      <c r="G253" s="1846"/>
      <c r="H253" s="64">
        <f t="shared" ref="H253:P253" si="36">H252+H202+H151+H106</f>
        <v>27558.6</v>
      </c>
      <c r="I253" s="623">
        <f t="shared" si="36"/>
        <v>27486.3</v>
      </c>
      <c r="J253" s="1381">
        <f t="shared" si="36"/>
        <v>-72.3</v>
      </c>
      <c r="K253" s="64">
        <f t="shared" si="36"/>
        <v>33727.599999999999</v>
      </c>
      <c r="L253" s="623">
        <f t="shared" si="36"/>
        <v>34570.199999999997</v>
      </c>
      <c r="M253" s="1381">
        <f t="shared" si="36"/>
        <v>842.6</v>
      </c>
      <c r="N253" s="64">
        <f t="shared" si="36"/>
        <v>27569.599999999999</v>
      </c>
      <c r="O253" s="623">
        <f t="shared" si="36"/>
        <v>27840.799999999999</v>
      </c>
      <c r="P253" s="1381">
        <f t="shared" si="36"/>
        <v>271.2</v>
      </c>
      <c r="Q253" s="1847"/>
      <c r="R253" s="1847"/>
      <c r="S253" s="1847"/>
      <c r="T253" s="1847"/>
      <c r="U253" s="1848"/>
    </row>
    <row r="254" spans="1:21" ht="14.25" customHeight="1" thickBot="1" x14ac:dyDescent="0.25">
      <c r="A254" s="97" t="s">
        <v>35</v>
      </c>
      <c r="B254" s="1895" t="s">
        <v>57</v>
      </c>
      <c r="C254" s="1896"/>
      <c r="D254" s="1896"/>
      <c r="E254" s="1896"/>
      <c r="F254" s="1896"/>
      <c r="G254" s="1897"/>
      <c r="H254" s="622">
        <f t="shared" ref="H254:M254" si="37">SUM(H253)</f>
        <v>27558.6</v>
      </c>
      <c r="I254" s="624">
        <f t="shared" si="37"/>
        <v>27486.3</v>
      </c>
      <c r="J254" s="1382">
        <f t="shared" si="37"/>
        <v>-72.3</v>
      </c>
      <c r="K254" s="622">
        <f t="shared" si="37"/>
        <v>33727.599999999999</v>
      </c>
      <c r="L254" s="624">
        <f t="shared" si="37"/>
        <v>34570.199999999997</v>
      </c>
      <c r="M254" s="1382">
        <f t="shared" si="37"/>
        <v>842.6</v>
      </c>
      <c r="N254" s="622">
        <f t="shared" ref="N254:P254" si="38">SUM(N253)</f>
        <v>27569.599999999999</v>
      </c>
      <c r="O254" s="624">
        <f t="shared" ref="O254" si="39">SUM(O253)</f>
        <v>27840.799999999999</v>
      </c>
      <c r="P254" s="1382">
        <f t="shared" si="38"/>
        <v>271.2</v>
      </c>
      <c r="Q254" s="1850"/>
      <c r="R254" s="1850"/>
      <c r="S254" s="1850"/>
      <c r="T254" s="1850"/>
      <c r="U254" s="1851"/>
    </row>
    <row r="255" spans="1:21" s="5" customFormat="1" ht="8.25" customHeight="1" x14ac:dyDescent="0.2">
      <c r="A255" s="1321"/>
      <c r="B255" s="1322"/>
      <c r="C255" s="1322"/>
      <c r="D255" s="1322"/>
      <c r="E255" s="1322"/>
      <c r="F255" s="1322"/>
      <c r="G255" s="1322"/>
      <c r="H255" s="1322"/>
      <c r="I255" s="1322"/>
      <c r="J255" s="1322"/>
      <c r="K255" s="1322"/>
      <c r="L255" s="1322"/>
      <c r="M255" s="1322"/>
      <c r="N255" s="1322"/>
      <c r="O255" s="1322"/>
      <c r="P255" s="1322"/>
      <c r="Q255" s="714"/>
      <c r="R255" s="714"/>
      <c r="S255" s="714"/>
      <c r="T255" s="714"/>
      <c r="U255" s="714"/>
    </row>
    <row r="256" spans="1:21" s="4" customFormat="1" ht="12" customHeight="1" x14ac:dyDescent="0.2">
      <c r="A256" s="714"/>
      <c r="B256" s="649"/>
      <c r="C256" s="649"/>
      <c r="D256" s="649"/>
      <c r="E256" s="649"/>
      <c r="F256" s="649"/>
      <c r="G256" s="649"/>
      <c r="H256" s="649"/>
      <c r="I256" s="649"/>
      <c r="J256" s="649"/>
      <c r="K256" s="649"/>
      <c r="L256" s="649"/>
      <c r="M256" s="649"/>
      <c r="N256" s="649"/>
      <c r="O256" s="649"/>
      <c r="P256" s="649"/>
      <c r="Q256" s="649"/>
      <c r="R256" s="714"/>
      <c r="S256" s="714"/>
      <c r="T256" s="714"/>
      <c r="U256" s="714"/>
    </row>
    <row r="257" spans="1:21" s="5" customFormat="1" ht="15" customHeight="1" thickBot="1" x14ac:dyDescent="0.25">
      <c r="A257" s="1930" t="s">
        <v>13</v>
      </c>
      <c r="B257" s="1930"/>
      <c r="C257" s="1930"/>
      <c r="D257" s="1930"/>
      <c r="E257" s="1930"/>
      <c r="F257" s="1930"/>
      <c r="G257" s="1930"/>
      <c r="H257" s="144"/>
      <c r="I257" s="144"/>
      <c r="J257" s="144"/>
      <c r="K257" s="144"/>
      <c r="L257" s="144"/>
      <c r="M257" s="144"/>
      <c r="N257" s="144"/>
      <c r="O257" s="144"/>
      <c r="P257" s="144"/>
      <c r="Q257" s="98"/>
      <c r="R257" s="98"/>
      <c r="S257" s="98"/>
      <c r="T257" s="98"/>
      <c r="U257" s="98"/>
    </row>
    <row r="258" spans="1:21" ht="75.75" customHeight="1" thickBot="1" x14ac:dyDescent="0.25">
      <c r="A258" s="1931" t="s">
        <v>10</v>
      </c>
      <c r="B258" s="1932"/>
      <c r="C258" s="1932"/>
      <c r="D258" s="1932"/>
      <c r="E258" s="1932"/>
      <c r="F258" s="1932"/>
      <c r="G258" s="1933"/>
      <c r="H258" s="1369" t="s">
        <v>228</v>
      </c>
      <c r="I258" s="1370" t="s">
        <v>345</v>
      </c>
      <c r="J258" s="1371" t="s">
        <v>220</v>
      </c>
      <c r="K258" s="1372" t="s">
        <v>159</v>
      </c>
      <c r="L258" s="1370" t="s">
        <v>221</v>
      </c>
      <c r="M258" s="1371" t="s">
        <v>220</v>
      </c>
      <c r="N258" s="1372" t="s">
        <v>224</v>
      </c>
      <c r="O258" s="1370" t="s">
        <v>344</v>
      </c>
      <c r="P258" s="1371" t="s">
        <v>220</v>
      </c>
      <c r="Q258" s="13"/>
      <c r="R258" s="13"/>
      <c r="S258" s="13"/>
      <c r="T258" s="13"/>
      <c r="U258" s="13"/>
    </row>
    <row r="259" spans="1:21" ht="14.25" customHeight="1" x14ac:dyDescent="0.2">
      <c r="A259" s="1934" t="s">
        <v>14</v>
      </c>
      <c r="B259" s="1935"/>
      <c r="C259" s="1935"/>
      <c r="D259" s="1935"/>
      <c r="E259" s="1935"/>
      <c r="F259" s="1935"/>
      <c r="G259" s="1936"/>
      <c r="H259" s="670">
        <f>H260+H268+H269+H270+H267+H266</f>
        <v>24850.7</v>
      </c>
      <c r="I259" s="1395">
        <f t="shared" ref="I259" si="40">I260+I268+I269+I270+I267</f>
        <v>24778.400000000001</v>
      </c>
      <c r="J259" s="1387">
        <f t="shared" ref="J259:P259" si="41">J260+J268+J269+J270+J267</f>
        <v>-72.3</v>
      </c>
      <c r="K259" s="670">
        <f t="shared" ref="K259:L259" si="42">K260+K268+K269+K270+K267</f>
        <v>15439.6</v>
      </c>
      <c r="L259" s="1395">
        <f t="shared" si="42"/>
        <v>16218.2</v>
      </c>
      <c r="M259" s="1387">
        <f t="shared" si="41"/>
        <v>778.6</v>
      </c>
      <c r="N259" s="670">
        <f t="shared" ref="N259:O259" si="43">N260+N268+N269+N270+N267</f>
        <v>16160.8</v>
      </c>
      <c r="O259" s="1395">
        <f t="shared" si="43"/>
        <v>16350.8</v>
      </c>
      <c r="P259" s="1392">
        <f t="shared" si="41"/>
        <v>190</v>
      </c>
      <c r="Q259" s="13"/>
      <c r="R259" s="13"/>
      <c r="S259" s="13"/>
      <c r="T259" s="13"/>
      <c r="U259" s="13"/>
    </row>
    <row r="260" spans="1:21" ht="14.25" customHeight="1" x14ac:dyDescent="0.2">
      <c r="A260" s="1914" t="s">
        <v>91</v>
      </c>
      <c r="B260" s="1915"/>
      <c r="C260" s="1915"/>
      <c r="D260" s="1915"/>
      <c r="E260" s="1915"/>
      <c r="F260" s="1915"/>
      <c r="G260" s="1916"/>
      <c r="H260" s="671">
        <f>SUM(H261:H265)</f>
        <v>17657.5</v>
      </c>
      <c r="I260" s="626">
        <f>SUM(I261:I266)</f>
        <v>20261.3</v>
      </c>
      <c r="J260" s="1388">
        <f>SUM(J261:J266)</f>
        <v>-2274</v>
      </c>
      <c r="K260" s="671">
        <f t="shared" ref="K260:L260" si="44">SUM(K261:K266)</f>
        <v>11023.1</v>
      </c>
      <c r="L260" s="626">
        <f t="shared" si="44"/>
        <v>11026.6</v>
      </c>
      <c r="M260" s="1388">
        <f t="shared" ref="M260:P260" si="45">SUM(M261:M266)</f>
        <v>3.5</v>
      </c>
      <c r="N260" s="671">
        <f t="shared" ref="N260:O260" si="46">SUM(N261:N266)</f>
        <v>11414.1</v>
      </c>
      <c r="O260" s="626">
        <f t="shared" si="46"/>
        <v>11414.1</v>
      </c>
      <c r="P260" s="1393">
        <f t="shared" si="45"/>
        <v>0</v>
      </c>
      <c r="Q260" s="13"/>
      <c r="R260" s="13"/>
      <c r="S260" s="13"/>
      <c r="T260" s="13"/>
      <c r="U260" s="13"/>
    </row>
    <row r="261" spans="1:21" ht="14.25" customHeight="1" x14ac:dyDescent="0.2">
      <c r="A261" s="1917" t="s">
        <v>19</v>
      </c>
      <c r="B261" s="1918"/>
      <c r="C261" s="1918"/>
      <c r="D261" s="1918"/>
      <c r="E261" s="1918"/>
      <c r="F261" s="1918"/>
      <c r="G261" s="1919"/>
      <c r="H261" s="82">
        <f>SUMIF(G12:G254,"SB",H12:H254)</f>
        <v>10056.9</v>
      </c>
      <c r="I261" s="39">
        <f>SUMIF(G12:G254,"SB",I12:I254)</f>
        <v>7994.3</v>
      </c>
      <c r="J261" s="162">
        <f>SUMIF(G12:G254,"SB",J12:J254)</f>
        <v>-2062.6</v>
      </c>
      <c r="K261" s="82">
        <f>SUMIF(G14:G254,"SB",K14:K254)</f>
        <v>9129.7000000000007</v>
      </c>
      <c r="L261" s="39">
        <f>SUMIF(G14:G254,"SB",L14:L254)</f>
        <v>9133.2000000000007</v>
      </c>
      <c r="M261" s="162">
        <f>SUMIF(G14:G254,"SB",M14:M254)</f>
        <v>3.5</v>
      </c>
      <c r="N261" s="82">
        <f>SUMIF(G14:G254,"SB",N14:N254)</f>
        <v>9598.7999999999993</v>
      </c>
      <c r="O261" s="39">
        <f>SUMIF(G14:G254,"SB",O14:O254)</f>
        <v>9598.7999999999993</v>
      </c>
      <c r="P261" s="162">
        <f>SUMIF(G14:G254,"SB",P14:P254)</f>
        <v>0</v>
      </c>
      <c r="Q261" s="13"/>
      <c r="R261" s="13"/>
      <c r="S261" s="13"/>
      <c r="T261" s="13"/>
      <c r="U261" s="13"/>
    </row>
    <row r="262" spans="1:21" ht="14.25" customHeight="1" x14ac:dyDescent="0.2">
      <c r="A262" s="1891" t="s">
        <v>20</v>
      </c>
      <c r="B262" s="1892"/>
      <c r="C262" s="1892"/>
      <c r="D262" s="1892"/>
      <c r="E262" s="1892"/>
      <c r="F262" s="1892"/>
      <c r="G262" s="1893"/>
      <c r="H262" s="139">
        <f>SUMIF(G25:G254,"SB(P)",H25:H254)</f>
        <v>0</v>
      </c>
      <c r="I262" s="150">
        <f>SUMIF(G25:G254,"SB(P)",I25:I254)</f>
        <v>0</v>
      </c>
      <c r="J262" s="354">
        <f>SUMIF(G25:G254,"SB(P)",J25:J254)</f>
        <v>0</v>
      </c>
      <c r="K262" s="139">
        <f>SUMIF(G25:G254,"SB(P)",K25:K254)</f>
        <v>0</v>
      </c>
      <c r="L262" s="150">
        <f>SUMIF(G25:G254,"SB(P)",L25:L254)</f>
        <v>0</v>
      </c>
      <c r="M262" s="354">
        <f>SUMIF(G25:G254,"SB(P)",M25:M254)</f>
        <v>0</v>
      </c>
      <c r="N262" s="139">
        <f>SUMIF(G25:G254,"SB(P)",N25:N254)</f>
        <v>0</v>
      </c>
      <c r="O262" s="150">
        <f>SUMIF(G25:G254,"SB(P)",O25:O254)</f>
        <v>0</v>
      </c>
      <c r="P262" s="354">
        <f>SUMIF(G25:G254,"SB(P)",P25:P254)</f>
        <v>0</v>
      </c>
      <c r="Q262" s="13"/>
      <c r="R262" s="13"/>
      <c r="S262" s="13"/>
      <c r="T262" s="13"/>
      <c r="U262" s="13"/>
    </row>
    <row r="263" spans="1:21" ht="14.25" customHeight="1" x14ac:dyDescent="0.2">
      <c r="A263" s="1891" t="s">
        <v>69</v>
      </c>
      <c r="B263" s="1892"/>
      <c r="C263" s="1892"/>
      <c r="D263" s="1892"/>
      <c r="E263" s="1892"/>
      <c r="F263" s="1892"/>
      <c r="G263" s="1893"/>
      <c r="H263" s="82">
        <f>SUMIF(G25:G254,"SB(VR)",H25:H254)</f>
        <v>1770.6</v>
      </c>
      <c r="I263" s="39">
        <f>SUMIF(G25:G254,"SB(VR)",I25:I254)</f>
        <v>1770.6</v>
      </c>
      <c r="J263" s="162">
        <f>SUMIF(G25:G254,"SB(VR)",J25:J254)</f>
        <v>0</v>
      </c>
      <c r="K263" s="82">
        <f>SUMIF(G25:G254,"SB(VR)",K25:K254)</f>
        <v>1770.6</v>
      </c>
      <c r="L263" s="39">
        <f>SUMIF(G25:G254,"SB(VR)",L25:L254)</f>
        <v>1770.6</v>
      </c>
      <c r="M263" s="162">
        <f>SUMIF(G25:G254,"SB(VR)",M25:M254)</f>
        <v>0</v>
      </c>
      <c r="N263" s="82">
        <f>SUMIF(G25:G254,"SB(VR)",N25:N254)</f>
        <v>1770.6</v>
      </c>
      <c r="O263" s="39">
        <f>SUMIF(G25:G254,"SB(VR)",O25:O254)</f>
        <v>1770.6</v>
      </c>
      <c r="P263" s="162">
        <f>SUMIF(G25:G254,"SB(VR)",P25:P254)</f>
        <v>0</v>
      </c>
      <c r="Q263" s="13"/>
      <c r="R263" s="13"/>
      <c r="S263" s="1573"/>
      <c r="T263" s="13"/>
      <c r="U263" s="13"/>
    </row>
    <row r="264" spans="1:21" ht="14.25" customHeight="1" x14ac:dyDescent="0.2">
      <c r="A264" s="1885" t="s">
        <v>217</v>
      </c>
      <c r="B264" s="1886"/>
      <c r="C264" s="1886"/>
      <c r="D264" s="1886"/>
      <c r="E264" s="1886"/>
      <c r="F264" s="1886"/>
      <c r="G264" s="1887"/>
      <c r="H264" s="139">
        <f>SUMIF(G15:G249,"SB(ES)",H15:H249)</f>
        <v>5830</v>
      </c>
      <c r="I264" s="150">
        <f>SUMIF(G15:G249,"SB(ES)",I15:I249)</f>
        <v>5830</v>
      </c>
      <c r="J264" s="354">
        <f>SUMIF(G15:G248,"SB(ES)",J15:J248)</f>
        <v>0</v>
      </c>
      <c r="K264" s="139">
        <f>SUMIF(G15:G249,"SB(ES)",K15:K249)</f>
        <v>122.8</v>
      </c>
      <c r="L264" s="150">
        <f>SUMIF(G15:G249,"SB(ES)",L15:L249)</f>
        <v>122.8</v>
      </c>
      <c r="M264" s="354">
        <f>SUMIF(G15:G249,"SB(ES)",M15:M249)</f>
        <v>0</v>
      </c>
      <c r="N264" s="139">
        <f>SUMIF(G15:G249,"SB(ES)",N15:N249)</f>
        <v>0</v>
      </c>
      <c r="O264" s="150">
        <f>SUMIF(G15:G249,"SB(ES)",O15:O249)</f>
        <v>0</v>
      </c>
      <c r="P264" s="354">
        <f>SUMIF(G15:G248,"SB(ES)",P15:P248)</f>
        <v>0</v>
      </c>
      <c r="Q264" s="13"/>
      <c r="R264" s="13"/>
      <c r="S264" s="13"/>
      <c r="T264" s="13"/>
      <c r="U264" s="13"/>
    </row>
    <row r="265" spans="1:21" ht="14.25" customHeight="1" x14ac:dyDescent="0.2">
      <c r="A265" s="1885" t="s">
        <v>247</v>
      </c>
      <c r="B265" s="1886"/>
      <c r="C265" s="1886"/>
      <c r="D265" s="1886"/>
      <c r="E265" s="1886"/>
      <c r="F265" s="1886"/>
      <c r="G265" s="1887"/>
      <c r="H265" s="139">
        <f>SUMIF(G25:G249,"SB(VB)",H25:H249)</f>
        <v>0</v>
      </c>
      <c r="I265" s="150">
        <f>SUMIF(G25:G249,"SB(VB)",I25:I249)</f>
        <v>0</v>
      </c>
      <c r="J265" s="354">
        <f>SUMIF(G25:G249,"SB(VB)",J25:J249)</f>
        <v>0</v>
      </c>
      <c r="K265" s="139">
        <f>SUMIF(G25:G250,"SB(VB)",K25:K250)</f>
        <v>0</v>
      </c>
      <c r="L265" s="150">
        <f>SUMIF(G25:G250,"SB(VB)",L25:L250)</f>
        <v>0</v>
      </c>
      <c r="M265" s="354">
        <f>SUMIF(G25:G250,"SB(VB)",M25:M250)</f>
        <v>0</v>
      </c>
      <c r="N265" s="139">
        <f>SUMIF(G13:G249,"SB(VB)",N13:N249)</f>
        <v>44.7</v>
      </c>
      <c r="O265" s="150">
        <f>SUMIF(G13:G249,"SB(VB)",O13:O249)</f>
        <v>44.7</v>
      </c>
      <c r="P265" s="354">
        <f>SUMIF(G13:G249,"SB(VB)",P13:P249)</f>
        <v>0</v>
      </c>
      <c r="Q265" s="13"/>
      <c r="R265" s="13"/>
      <c r="S265" s="13"/>
      <c r="T265" s="13"/>
      <c r="U265" s="13"/>
    </row>
    <row r="266" spans="1:21" ht="29.25" customHeight="1" x14ac:dyDescent="0.2">
      <c r="A266" s="1924" t="s">
        <v>306</v>
      </c>
      <c r="B266" s="1925"/>
      <c r="C266" s="1925"/>
      <c r="D266" s="1925"/>
      <c r="E266" s="1925"/>
      <c r="F266" s="1925"/>
      <c r="G266" s="1926"/>
      <c r="H266" s="139">
        <f>SUMIF(G15:G255,"SB(KPP)",H15:H255)</f>
        <v>4877.8</v>
      </c>
      <c r="I266" s="150">
        <f>SUMIF(G15:G255,"SB(KPP)",I15:I255)</f>
        <v>4666.3999999999996</v>
      </c>
      <c r="J266" s="354">
        <f>I266-H266</f>
        <v>-211.4</v>
      </c>
      <c r="K266" s="139">
        <f>SUMIF(G23:G255,"SB(KP)",K23:K255)</f>
        <v>0</v>
      </c>
      <c r="L266" s="150">
        <f>SUMIF(G23:G255,"SB(KP)",L23:L255)</f>
        <v>0</v>
      </c>
      <c r="M266" s="354">
        <f>SUMIF(G23:G255,"SB(KP)",M23:M255)</f>
        <v>0</v>
      </c>
      <c r="N266" s="139">
        <f>SUMIF(G23:G255,"SB(KP)",N23:N255)</f>
        <v>0</v>
      </c>
      <c r="O266" s="150">
        <f>SUMIF(G23:G255,"SB(KP)",O23:O255)</f>
        <v>0</v>
      </c>
      <c r="P266" s="354">
        <f>SUMIF(G23:G255,"SB(KP)",P23:P255)</f>
        <v>0</v>
      </c>
      <c r="Q266" s="13"/>
      <c r="R266" s="13"/>
      <c r="S266" s="13"/>
      <c r="T266" s="13"/>
      <c r="U266" s="13"/>
    </row>
    <row r="267" spans="1:21" ht="15.75" customHeight="1" x14ac:dyDescent="0.2">
      <c r="A267" s="1876" t="s">
        <v>307</v>
      </c>
      <c r="B267" s="1927"/>
      <c r="C267" s="1927"/>
      <c r="D267" s="1927"/>
      <c r="E267" s="1927"/>
      <c r="F267" s="1927"/>
      <c r="G267" s="1928"/>
      <c r="H267" s="1385">
        <f>SUMIF(G14:G254,"SB(KP)",H14:H254)</f>
        <v>0</v>
      </c>
      <c r="I267" s="1574">
        <f>SUMIF(H14:H254,"SB(KP)",I14:I254)</f>
        <v>0</v>
      </c>
      <c r="J267" s="1396">
        <f>I267-H267</f>
        <v>0</v>
      </c>
      <c r="K267" s="1385">
        <f>SUMIF(G12:G254,"SB(KPP)",K12:K254)</f>
        <v>4416.5</v>
      </c>
      <c r="L267" s="1396">
        <f>SUMIF(G12:G254,"SB(KPP)",L12:L254)</f>
        <v>5191.6000000000004</v>
      </c>
      <c r="M267" s="1389">
        <f>SUMIF(G12:G254,"SB(KPP)",M12:M254)</f>
        <v>775.1</v>
      </c>
      <c r="N267" s="1385">
        <f>SUMIF(G14:G254,"SB(KPP)",N14:N254)</f>
        <v>4746.7</v>
      </c>
      <c r="O267" s="1396">
        <f>SUMIF(G14:G254,"SB(KPP)",O14:O254)</f>
        <v>4936.7</v>
      </c>
      <c r="P267" s="1389">
        <f>SUMIF(G14:G254,"SB(KPP)",P14:P254)</f>
        <v>190</v>
      </c>
      <c r="Q267" s="13"/>
      <c r="R267" s="13"/>
      <c r="S267" s="13"/>
      <c r="T267" s="13"/>
      <c r="U267" s="13"/>
    </row>
    <row r="268" spans="1:21" ht="14.25" customHeight="1" x14ac:dyDescent="0.2">
      <c r="A268" s="1929" t="s">
        <v>96</v>
      </c>
      <c r="B268" s="1877"/>
      <c r="C268" s="1877"/>
      <c r="D268" s="1877"/>
      <c r="E268" s="1877"/>
      <c r="F268" s="1877"/>
      <c r="G268" s="1878"/>
      <c r="H268" s="1385">
        <f>SUMIF(G25:G253,"SB(VRL)",H25:H253)</f>
        <v>761.9</v>
      </c>
      <c r="I268" s="1396">
        <f>SUMIF(G25:G253,"SB(VRL)",I25:I253)</f>
        <v>901</v>
      </c>
      <c r="J268" s="1389">
        <f>SUMIF(G25:G253,"SB(VRL)",J25:J253)</f>
        <v>139.1</v>
      </c>
      <c r="K268" s="1385">
        <f>SUMIF(G13:G253,"SB(VRL)",K13:K253)</f>
        <v>0</v>
      </c>
      <c r="L268" s="1396">
        <f>SUMIF(G13:G253,"SB(VRL)",L13:L253)</f>
        <v>0</v>
      </c>
      <c r="M268" s="1389">
        <f>SUMIF(G13:G253,"SB(VRL)",M13:M253)</f>
        <v>0</v>
      </c>
      <c r="N268" s="1385">
        <f>SUMIF(G13:G253,"SB(VRL)",N13:N253)</f>
        <v>0</v>
      </c>
      <c r="O268" s="1396">
        <f>SUMIF(G13:G253,"SB(VRL)",O13:O253)</f>
        <v>0</v>
      </c>
      <c r="P268" s="1389">
        <f>SUMIF(G13:G253,"SB(VRL)",P13:P253)</f>
        <v>0</v>
      </c>
      <c r="Q268" s="13"/>
      <c r="R268" s="13"/>
      <c r="S268" s="13"/>
      <c r="T268" s="13"/>
      <c r="U268" s="13"/>
    </row>
    <row r="269" spans="1:21" ht="14.25" customHeight="1" x14ac:dyDescent="0.2">
      <c r="A269" s="1876" t="s">
        <v>97</v>
      </c>
      <c r="B269" s="1877"/>
      <c r="C269" s="1877"/>
      <c r="D269" s="1877"/>
      <c r="E269" s="1877"/>
      <c r="F269" s="1877"/>
      <c r="G269" s="1878"/>
      <c r="H269" s="1385">
        <f>SUMIF(G13:G254,"SB(ŽPL)",H13:H254)</f>
        <v>480.6</v>
      </c>
      <c r="I269" s="1396">
        <f>SUMIF(G13:G254,"SB(ŽPL)",I13:I254)</f>
        <v>480.6</v>
      </c>
      <c r="J269" s="1389">
        <f>SUMIF(G13:G254,"SB(ŽPL)",J13:J254)</f>
        <v>0</v>
      </c>
      <c r="K269" s="1385">
        <f>SUMIF(G25:G254,"SB(ŽPL)",K25:K254)</f>
        <v>0</v>
      </c>
      <c r="L269" s="1396">
        <f>SUMIF(G25:G254,"SB(ŽPL)",L25:L254)</f>
        <v>0</v>
      </c>
      <c r="M269" s="1389">
        <f>SUMIF(G25:G254,"SB(ŽPL)",M25:M254)</f>
        <v>0</v>
      </c>
      <c r="N269" s="1385">
        <f>SUMIF(G25:G254,"SB(ŽPL)",N25:N254)</f>
        <v>0</v>
      </c>
      <c r="O269" s="1396">
        <f>SUMIF(G25:G254,"SB(ŽPL)",O25:O254)</f>
        <v>0</v>
      </c>
      <c r="P269" s="1389">
        <f>SUMIF(G25:G254,"SB(ŽPL)",P25:P254)</f>
        <v>0</v>
      </c>
      <c r="Q269" s="13"/>
      <c r="R269" s="13"/>
      <c r="S269" s="13"/>
      <c r="T269" s="13"/>
      <c r="U269" s="13"/>
    </row>
    <row r="270" spans="1:21" ht="14.25" customHeight="1" x14ac:dyDescent="0.2">
      <c r="A270" s="1879" t="s">
        <v>164</v>
      </c>
      <c r="B270" s="1880"/>
      <c r="C270" s="1880"/>
      <c r="D270" s="1880"/>
      <c r="E270" s="1880"/>
      <c r="F270" s="1880"/>
      <c r="G270" s="1881"/>
      <c r="H270" s="1385">
        <f>SUMIF(G13:G254,"SB(L)",H13:H254)</f>
        <v>1072.9000000000001</v>
      </c>
      <c r="I270" s="1396">
        <f>SUMIF(G13:G254,"SB(L)",I13:I254)</f>
        <v>3135.5</v>
      </c>
      <c r="J270" s="1389">
        <f>SUMIF(G13:G254,"SB(L)",J13:J254)</f>
        <v>2062.6</v>
      </c>
      <c r="K270" s="1385">
        <f>SUMIF(G13:G254,"SB(L)",K13:K254)</f>
        <v>0</v>
      </c>
      <c r="L270" s="1396">
        <f>SUMIF(G13:G254,"SB(L)",L13:L254)</f>
        <v>0</v>
      </c>
      <c r="M270" s="1389">
        <f>SUMIF(G13:G254,"SB(L)",M13:M254)</f>
        <v>0</v>
      </c>
      <c r="N270" s="1385">
        <f>SUMIF(G13:G254,"SB(L)",N13:N254)</f>
        <v>0</v>
      </c>
      <c r="O270" s="1396">
        <f>SUMIF(G13:G254,"SB(L)",O13:O254)</f>
        <v>0</v>
      </c>
      <c r="P270" s="1389">
        <f>SUMIF(G13:G254,"SB(L)",P13:P254)</f>
        <v>0</v>
      </c>
      <c r="Q270" s="13"/>
      <c r="R270" s="13"/>
      <c r="S270" s="13"/>
      <c r="T270" s="13"/>
      <c r="U270" s="13"/>
    </row>
    <row r="271" spans="1:21" ht="14.25" customHeight="1" x14ac:dyDescent="0.2">
      <c r="A271" s="1882" t="s">
        <v>15</v>
      </c>
      <c r="B271" s="1883"/>
      <c r="C271" s="1883"/>
      <c r="D271" s="1883"/>
      <c r="E271" s="1883"/>
      <c r="F271" s="1883"/>
      <c r="G271" s="1884"/>
      <c r="H271" s="710">
        <f t="shared" ref="H271:M271" si="47">H274+H275+H276+H272+H273</f>
        <v>2707.9</v>
      </c>
      <c r="I271" s="711">
        <f t="shared" si="47"/>
        <v>2707.9</v>
      </c>
      <c r="J271" s="712">
        <f t="shared" si="47"/>
        <v>0</v>
      </c>
      <c r="K271" s="710">
        <f t="shared" si="47"/>
        <v>18288</v>
      </c>
      <c r="L271" s="711">
        <f t="shared" si="47"/>
        <v>18352</v>
      </c>
      <c r="M271" s="712">
        <f t="shared" si="47"/>
        <v>64</v>
      </c>
      <c r="N271" s="710">
        <f t="shared" ref="N271:P271" si="48">N274+N275+N276+N272+N273</f>
        <v>11408.8</v>
      </c>
      <c r="O271" s="711">
        <f t="shared" ref="O271" si="49">O274+O275+O276+O272+O273</f>
        <v>11490</v>
      </c>
      <c r="P271" s="712">
        <f t="shared" si="48"/>
        <v>81.2</v>
      </c>
      <c r="Q271" s="13"/>
      <c r="R271" s="13"/>
      <c r="S271" s="13"/>
      <c r="T271" s="13"/>
      <c r="U271" s="13"/>
    </row>
    <row r="272" spans="1:21" ht="14.25" customHeight="1" x14ac:dyDescent="0.2">
      <c r="A272" s="1885" t="s">
        <v>21</v>
      </c>
      <c r="B272" s="1886"/>
      <c r="C272" s="1886"/>
      <c r="D272" s="1886"/>
      <c r="E272" s="1886"/>
      <c r="F272" s="1886"/>
      <c r="G272" s="1887"/>
      <c r="H272" s="139">
        <f>SUMIF(G11:G254,"ES",H11:H254)</f>
        <v>919.1</v>
      </c>
      <c r="I272" s="150">
        <f>SUMIF(G11:G254,"ES",I11:I254)</f>
        <v>919.1</v>
      </c>
      <c r="J272" s="354">
        <f>SUMIF(G11:G254,"ES",J11:J254)</f>
        <v>0</v>
      </c>
      <c r="K272" s="139">
        <f>SUMIF(G11:G254,"ES",K11:K254)</f>
        <v>1653</v>
      </c>
      <c r="L272" s="150">
        <f>SUMIF(G11:G254,"ES",L11:L254)</f>
        <v>1717</v>
      </c>
      <c r="M272" s="354">
        <f>SUMIF(G11:G254,"ES",M11:M254)</f>
        <v>64</v>
      </c>
      <c r="N272" s="139">
        <f>SUMIF(G11:G254,"ES",N11:N254)</f>
        <v>1799.7</v>
      </c>
      <c r="O272" s="150">
        <f>SUMIF(G11:G254,"ES",O11:O254)</f>
        <v>1880.9</v>
      </c>
      <c r="P272" s="354">
        <f>SUMIF(G11:G254,"ES",P11:P254)</f>
        <v>81.2</v>
      </c>
      <c r="Q272" s="13"/>
      <c r="R272" s="13"/>
      <c r="S272" s="13"/>
      <c r="T272" s="13"/>
      <c r="U272" s="13"/>
    </row>
    <row r="273" spans="1:53" ht="14.25" customHeight="1" x14ac:dyDescent="0.2">
      <c r="A273" s="1888" t="s">
        <v>305</v>
      </c>
      <c r="B273" s="1889"/>
      <c r="C273" s="1889"/>
      <c r="D273" s="1889"/>
      <c r="E273" s="1889"/>
      <c r="F273" s="1889"/>
      <c r="G273" s="1890"/>
      <c r="H273" s="672">
        <f>SUMIF(G14:G253,"KPP(VIP)",H14:H253)</f>
        <v>0</v>
      </c>
      <c r="I273" s="1397">
        <f>SUMIF(G14:G253,"KPP(VIP)",I14:I253)</f>
        <v>0</v>
      </c>
      <c r="J273" s="1390">
        <f>SUMIF(G14:G253,"KPP(VIP)",J14:J253)</f>
        <v>0</v>
      </c>
      <c r="K273" s="672">
        <f>SUMIF(G14:G253,"KPP(VIP)",K14:K253)</f>
        <v>10000</v>
      </c>
      <c r="L273" s="1397">
        <f>SUMIF(G14:G253,"KPP(VIP)",L14:L253)</f>
        <v>10000</v>
      </c>
      <c r="M273" s="1390">
        <f>SUMIF(G14:G253,"KPP(VIP)",M14:M253)</f>
        <v>0</v>
      </c>
      <c r="N273" s="672">
        <f>SUMIF(G14:G253,"KPP(VIP)",N14:N253)</f>
        <v>0</v>
      </c>
      <c r="O273" s="1397">
        <f>SUMIF(G14:G253,"KPP(VIP)",O14:O253)</f>
        <v>0</v>
      </c>
      <c r="P273" s="1394">
        <f>SUMIF(G14:G253,"KPP(VIP)",P14:P253)</f>
        <v>0</v>
      </c>
      <c r="Q273" s="13"/>
      <c r="R273" s="13"/>
      <c r="S273" s="13"/>
      <c r="T273" s="13"/>
      <c r="U273" s="13"/>
    </row>
    <row r="274" spans="1:53" ht="14.25" customHeight="1" x14ac:dyDescent="0.2">
      <c r="A274" s="1888" t="s">
        <v>22</v>
      </c>
      <c r="B274" s="1889"/>
      <c r="C274" s="1889"/>
      <c r="D274" s="1889"/>
      <c r="E274" s="1889"/>
      <c r="F274" s="1889"/>
      <c r="G274" s="1890"/>
      <c r="H274" s="139">
        <f>SUMIF(G13:G254,"KVJUD",H13:H254)</f>
        <v>1662.4</v>
      </c>
      <c r="I274" s="150">
        <f>SUMIF(G13:G254,"KVJUD",I13:I254)</f>
        <v>1662.4</v>
      </c>
      <c r="J274" s="354">
        <f>SUMIF(G13:G254,"KVJUD",J13:J254)</f>
        <v>0</v>
      </c>
      <c r="K274" s="139">
        <f>SUMIF(G15:G254,"KVJUD",K15:K254)</f>
        <v>1500</v>
      </c>
      <c r="L274" s="150">
        <f>SUMIF(G15:G254,"KVJUD",L15:L254)</f>
        <v>1500</v>
      </c>
      <c r="M274" s="354">
        <f>SUMIF(G15:G254,"KVJUD",M15:M254)</f>
        <v>0</v>
      </c>
      <c r="N274" s="139">
        <f>SUMIF(G15:G254,"KVJUD",N15:N254)</f>
        <v>1000</v>
      </c>
      <c r="O274" s="150">
        <f>SUMIF(G15:G254,"KVJUD",O15:O254)</f>
        <v>1000</v>
      </c>
      <c r="P274" s="354">
        <f>SUMIF(G15:G254,"KVJUD",P15:P254)</f>
        <v>0</v>
      </c>
      <c r="Q274" s="47"/>
      <c r="R274" s="47"/>
      <c r="S274" s="47"/>
      <c r="T274" s="47"/>
      <c r="U274" s="47"/>
    </row>
    <row r="275" spans="1:53" ht="14.25" customHeight="1" x14ac:dyDescent="0.2">
      <c r="A275" s="1891" t="s">
        <v>23</v>
      </c>
      <c r="B275" s="1892"/>
      <c r="C275" s="1892"/>
      <c r="D275" s="1892"/>
      <c r="E275" s="1892"/>
      <c r="F275" s="1892"/>
      <c r="G275" s="1893"/>
      <c r="H275" s="139">
        <f>SUMIF(G25:G254,"LRVB",H25:H254)</f>
        <v>0</v>
      </c>
      <c r="I275" s="150">
        <f>SUMIF(G25:G254,"LRVB",I25:I254)</f>
        <v>0</v>
      </c>
      <c r="J275" s="354">
        <f>SUMIF(G25:G254,"LRVB",J25:J254)</f>
        <v>0</v>
      </c>
      <c r="K275" s="139">
        <f>SUMIF(G25:G254,"LRVB",K25:K254)</f>
        <v>5000</v>
      </c>
      <c r="L275" s="150">
        <f>SUMIF(G25:G254,"LRVB",L25:L254)</f>
        <v>5000</v>
      </c>
      <c r="M275" s="354">
        <f>SUMIF(G25:G254,"LRVB",M25:M254)</f>
        <v>0</v>
      </c>
      <c r="N275" s="139">
        <f>SUMIF(G25:G254,"LRVB",N25:N254)</f>
        <v>8609.1</v>
      </c>
      <c r="O275" s="150">
        <f>SUMIF(G25:G254,"LRVB",O25:O254)</f>
        <v>8609.1</v>
      </c>
      <c r="P275" s="354">
        <f>SUMIF(G25:G254,"LRVB",P25:P254)</f>
        <v>0</v>
      </c>
      <c r="Q275" s="47"/>
      <c r="R275" s="47"/>
      <c r="S275" s="47"/>
      <c r="T275" s="47"/>
      <c r="U275" s="47"/>
    </row>
    <row r="276" spans="1:53" ht="14.25" customHeight="1" x14ac:dyDescent="0.2">
      <c r="A276" s="1859" t="s">
        <v>24</v>
      </c>
      <c r="B276" s="1860"/>
      <c r="C276" s="1860"/>
      <c r="D276" s="1860"/>
      <c r="E276" s="1860"/>
      <c r="F276" s="1860"/>
      <c r="G276" s="1861"/>
      <c r="H276" s="139">
        <f>SUMIF(G15:G254,"Kt",H15:H254)</f>
        <v>126.4</v>
      </c>
      <c r="I276" s="150">
        <f>SUMIF(G15:G254,"Kt",I15:I254)</f>
        <v>126.4</v>
      </c>
      <c r="J276" s="354">
        <f>SUMIF(G15:G254,"Kt",J15:J254)</f>
        <v>0</v>
      </c>
      <c r="K276" s="139">
        <f>SUMIF(G15:G254,"Kt",K15:K254)</f>
        <v>135</v>
      </c>
      <c r="L276" s="150">
        <f>SUMIF(G15:G254,"Kt",L15:L254)</f>
        <v>135</v>
      </c>
      <c r="M276" s="354">
        <f>SUMIF(G15:G254,"Kt",M15:M254)</f>
        <v>0</v>
      </c>
      <c r="N276" s="139">
        <f>SUMIF(G15:G254,"Kt",N15:N254)</f>
        <v>0</v>
      </c>
      <c r="O276" s="150">
        <f>SUMIF(G15:G254,"Kt",O15:O254)</f>
        <v>0</v>
      </c>
      <c r="P276" s="354">
        <f>SUMIF(G15:G254,"Kt",P15:P254)</f>
        <v>0</v>
      </c>
      <c r="Q276" s="47"/>
      <c r="R276" s="47"/>
      <c r="S276" s="47"/>
      <c r="T276" s="47"/>
      <c r="U276" s="47"/>
    </row>
    <row r="277" spans="1:53" ht="14.25" customHeight="1" thickBot="1" x14ac:dyDescent="0.25">
      <c r="A277" s="1862" t="s">
        <v>16</v>
      </c>
      <c r="B277" s="1863"/>
      <c r="C277" s="1863"/>
      <c r="D277" s="1863"/>
      <c r="E277" s="1863"/>
      <c r="F277" s="1863"/>
      <c r="G277" s="1864"/>
      <c r="H277" s="1386">
        <f t="shared" ref="H277:P277" si="50">SUM(H259,H271)</f>
        <v>27558.6</v>
      </c>
      <c r="I277" s="1398">
        <f t="shared" si="50"/>
        <v>27486.3</v>
      </c>
      <c r="J277" s="1391">
        <f t="shared" si="50"/>
        <v>-72.3</v>
      </c>
      <c r="K277" s="1386">
        <f t="shared" si="50"/>
        <v>33727.599999999999</v>
      </c>
      <c r="L277" s="1398">
        <f t="shared" si="50"/>
        <v>34570.199999999997</v>
      </c>
      <c r="M277" s="1391">
        <f t="shared" si="50"/>
        <v>842.6</v>
      </c>
      <c r="N277" s="1386">
        <f t="shared" si="50"/>
        <v>27569.599999999999</v>
      </c>
      <c r="O277" s="1398">
        <f t="shared" si="50"/>
        <v>27840.799999999999</v>
      </c>
      <c r="P277" s="1391">
        <f t="shared" si="50"/>
        <v>271.2</v>
      </c>
      <c r="Q277" s="47"/>
      <c r="R277" s="47"/>
      <c r="S277" s="47"/>
      <c r="T277" s="47"/>
      <c r="U277" s="47"/>
    </row>
    <row r="278" spans="1:53" ht="12" customHeight="1" x14ac:dyDescent="0.2">
      <c r="G278" s="629"/>
      <c r="H278" s="630"/>
      <c r="I278" s="630"/>
      <c r="J278" s="630"/>
      <c r="K278" s="630"/>
      <c r="L278" s="630"/>
      <c r="M278" s="630"/>
      <c r="N278" s="630"/>
      <c r="O278" s="630"/>
      <c r="P278" s="630"/>
      <c r="Q278" s="4"/>
    </row>
    <row r="279" spans="1:53" x14ac:dyDescent="0.2">
      <c r="E279" s="1643" t="s">
        <v>319</v>
      </c>
      <c r="F279" s="1643"/>
      <c r="G279" s="1643"/>
      <c r="H279" s="1643"/>
      <c r="I279" s="1643"/>
      <c r="J279" s="1643"/>
      <c r="K279" s="1643"/>
      <c r="L279" s="1643"/>
      <c r="M279" s="1643"/>
      <c r="N279" s="1643"/>
      <c r="O279" s="1643"/>
      <c r="P279" s="1643"/>
      <c r="Q279" s="4"/>
    </row>
    <row r="280" spans="1:53" x14ac:dyDescent="0.2">
      <c r="G280" s="1606"/>
      <c r="H280" s="651"/>
      <c r="I280" s="651"/>
      <c r="J280" s="651"/>
      <c r="K280" s="651"/>
      <c r="L280" s="651"/>
      <c r="M280" s="651"/>
      <c r="N280" s="651"/>
      <c r="O280" s="651"/>
      <c r="P280" s="651"/>
      <c r="Q280" s="4"/>
    </row>
    <row r="281" spans="1:53" x14ac:dyDescent="0.2">
      <c r="A281" s="1"/>
      <c r="B281" s="1"/>
      <c r="C281" s="1"/>
      <c r="D281" s="1"/>
      <c r="E281" s="1"/>
      <c r="F281" s="1"/>
      <c r="G281" s="1"/>
      <c r="H281" s="47"/>
      <c r="I281" s="47"/>
      <c r="J281" s="47"/>
      <c r="K281" s="47"/>
      <c r="L281" s="47"/>
      <c r="M281" s="47"/>
      <c r="N281" s="47"/>
      <c r="O281" s="47"/>
      <c r="P281" s="47"/>
      <c r="Q281" s="1"/>
      <c r="R281" s="1"/>
      <c r="S281" s="1"/>
      <c r="T281" s="1"/>
      <c r="U281" s="1"/>
    </row>
    <row r="282" spans="1:53" x14ac:dyDescent="0.2">
      <c r="A282" s="1"/>
      <c r="B282" s="1"/>
      <c r="C282" s="1"/>
      <c r="D282" s="1"/>
      <c r="E282" s="1"/>
      <c r="F282" s="1"/>
      <c r="G282" s="1"/>
      <c r="H282" s="47"/>
      <c r="I282" s="47"/>
      <c r="J282" s="47"/>
      <c r="K282" s="47"/>
      <c r="L282" s="47"/>
      <c r="M282" s="47"/>
      <c r="N282" s="47"/>
      <c r="O282" s="47"/>
      <c r="P282" s="47"/>
      <c r="Q282" s="1"/>
      <c r="R282" s="1"/>
      <c r="S282" s="1"/>
      <c r="T282" s="1"/>
      <c r="U282" s="1"/>
    </row>
    <row r="283" spans="1:53" s="2" customFormat="1" x14ac:dyDescent="0.2">
      <c r="E283" s="7"/>
      <c r="F283" s="10"/>
      <c r="G283" s="3"/>
      <c r="K283" s="13"/>
      <c r="L283" s="13"/>
      <c r="M283" s="13"/>
      <c r="N283" s="13"/>
      <c r="O283" s="13"/>
      <c r="P283" s="13"/>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row>
  </sheetData>
  <mergeCells count="289">
    <mergeCell ref="A198:A200"/>
    <mergeCell ref="B198:B200"/>
    <mergeCell ref="U229:U230"/>
    <mergeCell ref="D235:D236"/>
    <mergeCell ref="A229:A233"/>
    <mergeCell ref="B229:B233"/>
    <mergeCell ref="C229:C233"/>
    <mergeCell ref="D229:D230"/>
    <mergeCell ref="E229:E233"/>
    <mergeCell ref="F229:F233"/>
    <mergeCell ref="Q231:Q232"/>
    <mergeCell ref="A227:A228"/>
    <mergeCell ref="B227:B228"/>
    <mergeCell ref="C227:C228"/>
    <mergeCell ref="D227:D228"/>
    <mergeCell ref="B191:B193"/>
    <mergeCell ref="C191:C193"/>
    <mergeCell ref="D191:D193"/>
    <mergeCell ref="E191:E193"/>
    <mergeCell ref="F191:F193"/>
    <mergeCell ref="U241:U244"/>
    <mergeCell ref="U198:U201"/>
    <mergeCell ref="D237:D238"/>
    <mergeCell ref="D239:D240"/>
    <mergeCell ref="E242:E244"/>
    <mergeCell ref="F242:F244"/>
    <mergeCell ref="Q227:Q228"/>
    <mergeCell ref="Q198:Q199"/>
    <mergeCell ref="C202:G202"/>
    <mergeCell ref="U42:U44"/>
    <mergeCell ref="U63:U66"/>
    <mergeCell ref="U45:U49"/>
    <mergeCell ref="U77:U78"/>
    <mergeCell ref="U86:U88"/>
    <mergeCell ref="U119:U121"/>
    <mergeCell ref="U115:U116"/>
    <mergeCell ref="U231:U233"/>
    <mergeCell ref="U89:U94"/>
    <mergeCell ref="U191:U193"/>
    <mergeCell ref="U70:U72"/>
    <mergeCell ref="Q202:U202"/>
    <mergeCell ref="C203:U203"/>
    <mergeCell ref="D204:D208"/>
    <mergeCell ref="C210:C216"/>
    <mergeCell ref="C198:C200"/>
    <mergeCell ref="D198:D200"/>
    <mergeCell ref="E198:E200"/>
    <mergeCell ref="F198:F200"/>
    <mergeCell ref="U223:U226"/>
    <mergeCell ref="C194:C196"/>
    <mergeCell ref="D194:D196"/>
    <mergeCell ref="E194:E196"/>
    <mergeCell ref="F194:F196"/>
    <mergeCell ref="Q186:Q187"/>
    <mergeCell ref="D176:D180"/>
    <mergeCell ref="E176:E180"/>
    <mergeCell ref="F173:F175"/>
    <mergeCell ref="A277:G277"/>
    <mergeCell ref="H8:H10"/>
    <mergeCell ref="I8:I10"/>
    <mergeCell ref="K8:K10"/>
    <mergeCell ref="L8:L10"/>
    <mergeCell ref="N8:N10"/>
    <mergeCell ref="O8:O10"/>
    <mergeCell ref="A271:G271"/>
    <mergeCell ref="A272:G272"/>
    <mergeCell ref="A273:G273"/>
    <mergeCell ref="A274:G274"/>
    <mergeCell ref="A275:G275"/>
    <mergeCell ref="A276:G276"/>
    <mergeCell ref="A265:G265"/>
    <mergeCell ref="A266:G266"/>
    <mergeCell ref="A267:G267"/>
    <mergeCell ref="A268:G268"/>
    <mergeCell ref="A269:G269"/>
    <mergeCell ref="A270:G270"/>
    <mergeCell ref="A259:G259"/>
    <mergeCell ref="A260:G260"/>
    <mergeCell ref="A261:G261"/>
    <mergeCell ref="A262:G262"/>
    <mergeCell ref="A191:A193"/>
    <mergeCell ref="A263:G263"/>
    <mergeCell ref="A264:G264"/>
    <mergeCell ref="B253:G253"/>
    <mergeCell ref="Q253:U253"/>
    <mergeCell ref="B254:G254"/>
    <mergeCell ref="Q254:U254"/>
    <mergeCell ref="A257:G257"/>
    <mergeCell ref="A258:G258"/>
    <mergeCell ref="D245:D246"/>
    <mergeCell ref="D248:D251"/>
    <mergeCell ref="E248:E251"/>
    <mergeCell ref="F248:F251"/>
    <mergeCell ref="C252:G252"/>
    <mergeCell ref="Q252:U252"/>
    <mergeCell ref="Q235:Q236"/>
    <mergeCell ref="C218:C222"/>
    <mergeCell ref="D223:D226"/>
    <mergeCell ref="U194:U196"/>
    <mergeCell ref="A194:A196"/>
    <mergeCell ref="B194:B196"/>
    <mergeCell ref="A188:A190"/>
    <mergeCell ref="B188:B190"/>
    <mergeCell ref="C188:C190"/>
    <mergeCell ref="D188:D190"/>
    <mergeCell ref="E188:E190"/>
    <mergeCell ref="F188:F190"/>
    <mergeCell ref="A185:A186"/>
    <mergeCell ref="B185:B186"/>
    <mergeCell ref="C185:C186"/>
    <mergeCell ref="D185:D187"/>
    <mergeCell ref="E185:E187"/>
    <mergeCell ref="A183:A184"/>
    <mergeCell ref="B183:B184"/>
    <mergeCell ref="C183:C184"/>
    <mergeCell ref="D183:D184"/>
    <mergeCell ref="E183:E184"/>
    <mergeCell ref="A173:A175"/>
    <mergeCell ref="B173:B175"/>
    <mergeCell ref="C173:C175"/>
    <mergeCell ref="D173:D175"/>
    <mergeCell ref="E173:E175"/>
    <mergeCell ref="E158:E160"/>
    <mergeCell ref="Q163:Q164"/>
    <mergeCell ref="D167:D168"/>
    <mergeCell ref="Q167:Q168"/>
    <mergeCell ref="D170:D171"/>
    <mergeCell ref="Q170:Q171"/>
    <mergeCell ref="F147:F150"/>
    <mergeCell ref="Q147:Q149"/>
    <mergeCell ref="C151:G151"/>
    <mergeCell ref="Q151:U151"/>
    <mergeCell ref="C152:U152"/>
    <mergeCell ref="D153:D157"/>
    <mergeCell ref="U163:U164"/>
    <mergeCell ref="D135:D136"/>
    <mergeCell ref="D139:D141"/>
    <mergeCell ref="E139:E140"/>
    <mergeCell ref="D142:D144"/>
    <mergeCell ref="A147:A150"/>
    <mergeCell ref="B147:B150"/>
    <mergeCell ref="C147:C150"/>
    <mergeCell ref="D147:D149"/>
    <mergeCell ref="A133:A134"/>
    <mergeCell ref="B133:B134"/>
    <mergeCell ref="C133:C134"/>
    <mergeCell ref="D133:D134"/>
    <mergeCell ref="E133:E134"/>
    <mergeCell ref="F133:F134"/>
    <mergeCell ref="R126:R127"/>
    <mergeCell ref="S126:S127"/>
    <mergeCell ref="U126:U127"/>
    <mergeCell ref="A128:A130"/>
    <mergeCell ref="B128:B130"/>
    <mergeCell ref="C128:C130"/>
    <mergeCell ref="D128:D130"/>
    <mergeCell ref="E128:E130"/>
    <mergeCell ref="F128:F130"/>
    <mergeCell ref="T126:T127"/>
    <mergeCell ref="D124:D125"/>
    <mergeCell ref="Q124:Q125"/>
    <mergeCell ref="A126:A127"/>
    <mergeCell ref="B126:B127"/>
    <mergeCell ref="C126:C127"/>
    <mergeCell ref="D126:D127"/>
    <mergeCell ref="E126:E127"/>
    <mergeCell ref="F126:F127"/>
    <mergeCell ref="Q126:Q127"/>
    <mergeCell ref="Q102:Q104"/>
    <mergeCell ref="C106:G106"/>
    <mergeCell ref="C107:U107"/>
    <mergeCell ref="E108:E111"/>
    <mergeCell ref="D113:D114"/>
    <mergeCell ref="D119:D121"/>
    <mergeCell ref="Q119:Q121"/>
    <mergeCell ref="D91:D92"/>
    <mergeCell ref="E91:E92"/>
    <mergeCell ref="D93:D94"/>
    <mergeCell ref="S93:S94"/>
    <mergeCell ref="D97:D99"/>
    <mergeCell ref="E97:E99"/>
    <mergeCell ref="Q98:Q99"/>
    <mergeCell ref="U108:U111"/>
    <mergeCell ref="Q115:Q116"/>
    <mergeCell ref="Q80:Q81"/>
    <mergeCell ref="D83:D85"/>
    <mergeCell ref="E83:E85"/>
    <mergeCell ref="D86:D88"/>
    <mergeCell ref="D89:D90"/>
    <mergeCell ref="Q89:Q90"/>
    <mergeCell ref="A79:A81"/>
    <mergeCell ref="B79:B81"/>
    <mergeCell ref="C79:C81"/>
    <mergeCell ref="D79:D81"/>
    <mergeCell ref="E79:E81"/>
    <mergeCell ref="F79:F81"/>
    <mergeCell ref="D77:D78"/>
    <mergeCell ref="E77:E78"/>
    <mergeCell ref="F77:F78"/>
    <mergeCell ref="Q77:Q78"/>
    <mergeCell ref="F63:F66"/>
    <mergeCell ref="Q63:Q64"/>
    <mergeCell ref="D67:D69"/>
    <mergeCell ref="F67:F69"/>
    <mergeCell ref="D70:D71"/>
    <mergeCell ref="E70:E71"/>
    <mergeCell ref="F70:F71"/>
    <mergeCell ref="Q70:Q71"/>
    <mergeCell ref="A63:A66"/>
    <mergeCell ref="B63:B66"/>
    <mergeCell ref="C63:C66"/>
    <mergeCell ref="D63:D64"/>
    <mergeCell ref="E63:E66"/>
    <mergeCell ref="D53:D54"/>
    <mergeCell ref="E53:E54"/>
    <mergeCell ref="D73:D74"/>
    <mergeCell ref="E73:E76"/>
    <mergeCell ref="Q45:Q46"/>
    <mergeCell ref="A50:A52"/>
    <mergeCell ref="B50:B52"/>
    <mergeCell ref="C50:C52"/>
    <mergeCell ref="D50:D52"/>
    <mergeCell ref="F50:F52"/>
    <mergeCell ref="Q50:Q51"/>
    <mergeCell ref="D58:D60"/>
    <mergeCell ref="E58:E62"/>
    <mergeCell ref="A45:A49"/>
    <mergeCell ref="B45:B49"/>
    <mergeCell ref="C45:C49"/>
    <mergeCell ref="D45:D49"/>
    <mergeCell ref="F45:F49"/>
    <mergeCell ref="F53:F54"/>
    <mergeCell ref="D55:D56"/>
    <mergeCell ref="E55:E56"/>
    <mergeCell ref="F55:F56"/>
    <mergeCell ref="A29:A30"/>
    <mergeCell ref="B29:B30"/>
    <mergeCell ref="C29:C30"/>
    <mergeCell ref="D29:D30"/>
    <mergeCell ref="F29:F30"/>
    <mergeCell ref="D31:D33"/>
    <mergeCell ref="D39:D40"/>
    <mergeCell ref="F39:F40"/>
    <mergeCell ref="D42:D44"/>
    <mergeCell ref="E42:E44"/>
    <mergeCell ref="F8:F10"/>
    <mergeCell ref="G8:G10"/>
    <mergeCell ref="J8:J10"/>
    <mergeCell ref="M8:M10"/>
    <mergeCell ref="P8:P10"/>
    <mergeCell ref="A11:U11"/>
    <mergeCell ref="A12:U12"/>
    <mergeCell ref="B13:U13"/>
    <mergeCell ref="A4:U4"/>
    <mergeCell ref="A5:U5"/>
    <mergeCell ref="A6:U6"/>
    <mergeCell ref="Q7:U7"/>
    <mergeCell ref="A8:A10"/>
    <mergeCell ref="B8:B10"/>
    <mergeCell ref="C8:C10"/>
    <mergeCell ref="D8:D10"/>
    <mergeCell ref="E8:E10"/>
    <mergeCell ref="Q9:Q10"/>
    <mergeCell ref="Q8:T8"/>
    <mergeCell ref="R9:T9"/>
    <mergeCell ref="E279:P279"/>
    <mergeCell ref="D22:D24"/>
    <mergeCell ref="Q22:Q23"/>
    <mergeCell ref="E23:E24"/>
    <mergeCell ref="A25:A28"/>
    <mergeCell ref="B25:B28"/>
    <mergeCell ref="C25:C28"/>
    <mergeCell ref="C14:U14"/>
    <mergeCell ref="D15:D17"/>
    <mergeCell ref="E15:E17"/>
    <mergeCell ref="D25:D28"/>
    <mergeCell ref="F25:F28"/>
    <mergeCell ref="E26:E28"/>
    <mergeCell ref="Q27:Q28"/>
    <mergeCell ref="Q31:Q32"/>
    <mergeCell ref="E32:E33"/>
    <mergeCell ref="D34:D35"/>
    <mergeCell ref="A36:A38"/>
    <mergeCell ref="B36:B38"/>
    <mergeCell ref="C36:C38"/>
    <mergeCell ref="D36:D38"/>
    <mergeCell ref="F36:F38"/>
    <mergeCell ref="Q36:Q37"/>
    <mergeCell ref="E37:E38"/>
  </mergeCells>
  <printOptions horizontalCentered="1"/>
  <pageMargins left="0.19685039370078741" right="0.19685039370078741" top="0.59055118110236227" bottom="0.19685039370078741" header="0" footer="0"/>
  <pageSetup paperSize="9" scale="64" orientation="landscape" r:id="rId1"/>
  <headerFooter alignWithMargins="0"/>
  <rowBreaks count="3" manualBreakCount="3">
    <brk id="44" max="20" man="1"/>
    <brk id="76" max="20" man="1"/>
    <brk id="107"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276"/>
  <sheetViews>
    <sheetView topLeftCell="A246" zoomScaleNormal="100" zoomScaleSheetLayoutView="100" workbookViewId="0">
      <selection activeCell="V275" sqref="V275"/>
    </sheetView>
  </sheetViews>
  <sheetFormatPr defaultRowHeight="12.75" x14ac:dyDescent="0.2"/>
  <cols>
    <col min="1" max="3" width="2.7109375" style="2" customWidth="1"/>
    <col min="4" max="4" width="3.140625" style="2" customWidth="1"/>
    <col min="5" max="5" width="36.28515625" style="2" customWidth="1"/>
    <col min="6" max="6" width="3.28515625" style="7" customWidth="1"/>
    <col min="7" max="7" width="3" style="10" customWidth="1"/>
    <col min="8" max="8" width="10.28515625" style="10" customWidth="1"/>
    <col min="9" max="9" width="8.85546875" style="3" customWidth="1"/>
    <col min="10" max="10" width="8.85546875" style="2" customWidth="1"/>
    <col min="11" max="12" width="9" style="2" customWidth="1"/>
    <col min="13" max="13" width="39.85546875" style="2" customWidth="1"/>
    <col min="14" max="14" width="5.7109375" style="2" customWidth="1"/>
    <col min="15" max="16" width="4.7109375" style="2" customWidth="1"/>
    <col min="17" max="16384" width="9.140625" style="1"/>
  </cols>
  <sheetData>
    <row r="1" spans="1:16" s="146" customFormat="1" ht="15.75" customHeight="1" x14ac:dyDescent="0.25">
      <c r="M1" s="2022" t="s">
        <v>117</v>
      </c>
      <c r="N1" s="2023"/>
      <c r="O1" s="2023"/>
      <c r="P1" s="2023"/>
    </row>
    <row r="2" spans="1:16" s="35" customFormat="1" ht="15" x14ac:dyDescent="0.2">
      <c r="A2" s="1866" t="s">
        <v>350</v>
      </c>
      <c r="B2" s="1866"/>
      <c r="C2" s="1866"/>
      <c r="D2" s="1866"/>
      <c r="E2" s="1866"/>
      <c r="F2" s="1866"/>
      <c r="G2" s="1866"/>
      <c r="H2" s="1866"/>
      <c r="I2" s="1866"/>
      <c r="J2" s="1866"/>
      <c r="K2" s="1866"/>
      <c r="L2" s="1866"/>
      <c r="M2" s="1866"/>
      <c r="N2" s="1866"/>
      <c r="O2" s="1866"/>
      <c r="P2" s="1866"/>
    </row>
    <row r="3" spans="1:16" ht="15.75" customHeight="1" x14ac:dyDescent="0.2">
      <c r="A3" s="1867" t="s">
        <v>29</v>
      </c>
      <c r="B3" s="1867"/>
      <c r="C3" s="1867"/>
      <c r="D3" s="1867"/>
      <c r="E3" s="1867"/>
      <c r="F3" s="1867"/>
      <c r="G3" s="1867"/>
      <c r="H3" s="1867"/>
      <c r="I3" s="1867"/>
      <c r="J3" s="1867"/>
      <c r="K3" s="1867"/>
      <c r="L3" s="1867"/>
      <c r="M3" s="1867"/>
      <c r="N3" s="1867"/>
      <c r="O3" s="1867"/>
      <c r="P3" s="1867"/>
    </row>
    <row r="4" spans="1:16" ht="15" customHeight="1" x14ac:dyDescent="0.2">
      <c r="A4" s="1868" t="s">
        <v>17</v>
      </c>
      <c r="B4" s="1868"/>
      <c r="C4" s="1868"/>
      <c r="D4" s="1868"/>
      <c r="E4" s="1868"/>
      <c r="F4" s="1868"/>
      <c r="G4" s="1868"/>
      <c r="H4" s="1868"/>
      <c r="I4" s="1868"/>
      <c r="J4" s="1868"/>
      <c r="K4" s="1868"/>
      <c r="L4" s="1868"/>
      <c r="M4" s="1868"/>
      <c r="N4" s="1868"/>
      <c r="O4" s="1868"/>
      <c r="P4" s="1868"/>
    </row>
    <row r="5" spans="1:16" ht="15" customHeight="1" thickBot="1" x14ac:dyDescent="0.25">
      <c r="A5" s="14"/>
      <c r="B5" s="14"/>
      <c r="C5" s="14"/>
      <c r="D5" s="14"/>
      <c r="E5" s="14"/>
      <c r="F5" s="15"/>
      <c r="G5" s="16"/>
      <c r="H5" s="16"/>
      <c r="I5" s="221"/>
      <c r="J5" s="14"/>
      <c r="K5" s="14"/>
      <c r="L5" s="14"/>
      <c r="M5" s="1869" t="s">
        <v>109</v>
      </c>
      <c r="N5" s="1869"/>
      <c r="O5" s="1869"/>
      <c r="P5" s="1870"/>
    </row>
    <row r="6" spans="1:16" s="35" customFormat="1" ht="30" customHeight="1" x14ac:dyDescent="0.2">
      <c r="A6" s="1672" t="s">
        <v>18</v>
      </c>
      <c r="B6" s="1675" t="s">
        <v>0</v>
      </c>
      <c r="C6" s="1675" t="s">
        <v>1</v>
      </c>
      <c r="D6" s="1675" t="s">
        <v>27</v>
      </c>
      <c r="E6" s="1678" t="s">
        <v>12</v>
      </c>
      <c r="F6" s="1663" t="s">
        <v>2</v>
      </c>
      <c r="G6" s="1666" t="s">
        <v>3</v>
      </c>
      <c r="H6" s="2024" t="s">
        <v>62</v>
      </c>
      <c r="I6" s="1669" t="s">
        <v>4</v>
      </c>
      <c r="J6" s="1650" t="s">
        <v>228</v>
      </c>
      <c r="K6" s="1650" t="s">
        <v>159</v>
      </c>
      <c r="L6" s="1650" t="s">
        <v>224</v>
      </c>
      <c r="M6" s="1653" t="s">
        <v>11</v>
      </c>
      <c r="N6" s="1654"/>
      <c r="O6" s="1654"/>
      <c r="P6" s="1655"/>
    </row>
    <row r="7" spans="1:16" s="35" customFormat="1" ht="18.75" customHeight="1" x14ac:dyDescent="0.2">
      <c r="A7" s="1673"/>
      <c r="B7" s="1676"/>
      <c r="C7" s="1676"/>
      <c r="D7" s="1676"/>
      <c r="E7" s="1679"/>
      <c r="F7" s="1664"/>
      <c r="G7" s="1667"/>
      <c r="H7" s="2025"/>
      <c r="I7" s="1670"/>
      <c r="J7" s="1651"/>
      <c r="K7" s="1651"/>
      <c r="L7" s="1651"/>
      <c r="M7" s="1656" t="s">
        <v>12</v>
      </c>
      <c r="N7" s="1658"/>
      <c r="O7" s="1658"/>
      <c r="P7" s="1659"/>
    </row>
    <row r="8" spans="1:16" s="35" customFormat="1" ht="63" customHeight="1" thickBot="1" x14ac:dyDescent="0.25">
      <c r="A8" s="1674"/>
      <c r="B8" s="1677"/>
      <c r="C8" s="1677"/>
      <c r="D8" s="1677"/>
      <c r="E8" s="1680"/>
      <c r="F8" s="1665"/>
      <c r="G8" s="1668"/>
      <c r="H8" s="2026"/>
      <c r="I8" s="1671"/>
      <c r="J8" s="1652"/>
      <c r="K8" s="1652"/>
      <c r="L8" s="1652"/>
      <c r="M8" s="1657"/>
      <c r="N8" s="147" t="s">
        <v>118</v>
      </c>
      <c r="O8" s="147" t="s">
        <v>160</v>
      </c>
      <c r="P8" s="148" t="s">
        <v>225</v>
      </c>
    </row>
    <row r="9" spans="1:16" s="9" customFormat="1" ht="14.25" customHeight="1" x14ac:dyDescent="0.2">
      <c r="A9" s="1660" t="s">
        <v>61</v>
      </c>
      <c r="B9" s="1661"/>
      <c r="C9" s="1661"/>
      <c r="D9" s="1661"/>
      <c r="E9" s="1661"/>
      <c r="F9" s="1661"/>
      <c r="G9" s="1661"/>
      <c r="H9" s="1661"/>
      <c r="I9" s="1661"/>
      <c r="J9" s="1661"/>
      <c r="K9" s="1661"/>
      <c r="L9" s="1661"/>
      <c r="M9" s="1661"/>
      <c r="N9" s="1661"/>
      <c r="O9" s="1661"/>
      <c r="P9" s="1662"/>
    </row>
    <row r="10" spans="1:16" s="9" customFormat="1" ht="14.25" customHeight="1" x14ac:dyDescent="0.2">
      <c r="A10" s="1686" t="s">
        <v>26</v>
      </c>
      <c r="B10" s="1687"/>
      <c r="C10" s="1687"/>
      <c r="D10" s="1687"/>
      <c r="E10" s="1687"/>
      <c r="F10" s="1687"/>
      <c r="G10" s="1687"/>
      <c r="H10" s="1687"/>
      <c r="I10" s="1687"/>
      <c r="J10" s="1687"/>
      <c r="K10" s="1687"/>
      <c r="L10" s="1687"/>
      <c r="M10" s="1687"/>
      <c r="N10" s="1687"/>
      <c r="O10" s="1687"/>
      <c r="P10" s="1688"/>
    </row>
    <row r="11" spans="1:16" ht="16.5" customHeight="1" x14ac:dyDescent="0.2">
      <c r="A11" s="17" t="s">
        <v>5</v>
      </c>
      <c r="B11" s="1689" t="s">
        <v>30</v>
      </c>
      <c r="C11" s="1690"/>
      <c r="D11" s="1690"/>
      <c r="E11" s="1690"/>
      <c r="F11" s="1690"/>
      <c r="G11" s="1690"/>
      <c r="H11" s="1690"/>
      <c r="I11" s="1690"/>
      <c r="J11" s="1690"/>
      <c r="K11" s="1690"/>
      <c r="L11" s="1690"/>
      <c r="M11" s="1690"/>
      <c r="N11" s="1690"/>
      <c r="O11" s="1690"/>
      <c r="P11" s="1691"/>
    </row>
    <row r="12" spans="1:16" ht="15" customHeight="1" x14ac:dyDescent="0.2">
      <c r="A12" s="220" t="s">
        <v>5</v>
      </c>
      <c r="B12" s="12" t="s">
        <v>5</v>
      </c>
      <c r="C12" s="1692" t="s">
        <v>31</v>
      </c>
      <c r="D12" s="1693"/>
      <c r="E12" s="1693"/>
      <c r="F12" s="1693"/>
      <c r="G12" s="1693"/>
      <c r="H12" s="1693"/>
      <c r="I12" s="1693"/>
      <c r="J12" s="1693"/>
      <c r="K12" s="1693"/>
      <c r="L12" s="1693"/>
      <c r="M12" s="1693"/>
      <c r="N12" s="1693"/>
      <c r="O12" s="1693"/>
      <c r="P12" s="1694"/>
    </row>
    <row r="13" spans="1:16" ht="35.25" customHeight="1" x14ac:dyDescent="0.2">
      <c r="A13" s="217" t="s">
        <v>5</v>
      </c>
      <c r="B13" s="218" t="s">
        <v>5</v>
      </c>
      <c r="C13" s="329" t="s">
        <v>5</v>
      </c>
      <c r="D13" s="199"/>
      <c r="E13" s="51" t="s">
        <v>49</v>
      </c>
      <c r="F13" s="187" t="s">
        <v>86</v>
      </c>
      <c r="G13" s="219" t="s">
        <v>43</v>
      </c>
      <c r="H13" s="33"/>
      <c r="I13" s="154"/>
      <c r="J13" s="416"/>
      <c r="K13" s="417"/>
      <c r="L13" s="990"/>
      <c r="M13" s="21"/>
      <c r="N13" s="11"/>
      <c r="O13" s="675"/>
      <c r="P13" s="685"/>
    </row>
    <row r="14" spans="1:16" ht="18.75" customHeight="1" x14ac:dyDescent="0.2">
      <c r="A14" s="958"/>
      <c r="B14" s="961"/>
      <c r="C14" s="974"/>
      <c r="D14" s="971" t="s">
        <v>5</v>
      </c>
      <c r="E14" s="1695" t="s">
        <v>212</v>
      </c>
      <c r="F14" s="768" t="s">
        <v>47</v>
      </c>
      <c r="G14" s="959"/>
      <c r="H14" s="1992" t="s">
        <v>71</v>
      </c>
      <c r="I14" s="976" t="s">
        <v>25</v>
      </c>
      <c r="J14" s="976">
        <v>100</v>
      </c>
      <c r="K14" s="83">
        <v>181</v>
      </c>
      <c r="L14" s="976">
        <v>165.8</v>
      </c>
      <c r="M14" s="1697" t="s">
        <v>282</v>
      </c>
      <c r="N14" s="323"/>
      <c r="O14" s="755" t="s">
        <v>55</v>
      </c>
      <c r="P14" s="408"/>
    </row>
    <row r="15" spans="1:16" ht="33" customHeight="1" x14ac:dyDescent="0.2">
      <c r="A15" s="958"/>
      <c r="B15" s="961"/>
      <c r="C15" s="974"/>
      <c r="D15" s="959"/>
      <c r="E15" s="1696"/>
      <c r="F15" s="1699" t="s">
        <v>232</v>
      </c>
      <c r="G15" s="960"/>
      <c r="H15" s="1992"/>
      <c r="I15" s="58" t="s">
        <v>44</v>
      </c>
      <c r="J15" s="58"/>
      <c r="K15" s="79">
        <v>850</v>
      </c>
      <c r="L15" s="58">
        <v>639.4</v>
      </c>
      <c r="M15" s="1698"/>
      <c r="N15" s="756"/>
      <c r="O15" s="757"/>
      <c r="P15" s="488"/>
    </row>
    <row r="16" spans="1:16" ht="30.75" customHeight="1" x14ac:dyDescent="0.2">
      <c r="A16" s="958"/>
      <c r="B16" s="961"/>
      <c r="C16" s="974"/>
      <c r="D16" s="959"/>
      <c r="E16" s="1696"/>
      <c r="F16" s="1700"/>
      <c r="G16" s="960"/>
      <c r="H16" s="1992"/>
      <c r="I16" s="58"/>
      <c r="J16" s="58"/>
      <c r="K16" s="79"/>
      <c r="L16" s="58"/>
      <c r="M16" s="211" t="s">
        <v>241</v>
      </c>
      <c r="N16" s="756"/>
      <c r="O16" s="757" t="s">
        <v>237</v>
      </c>
      <c r="P16" s="488" t="s">
        <v>238</v>
      </c>
    </row>
    <row r="17" spans="1:16" ht="27.75" customHeight="1" x14ac:dyDescent="0.2">
      <c r="A17" s="1704"/>
      <c r="B17" s="1705"/>
      <c r="C17" s="2007"/>
      <c r="D17" s="2008" t="s">
        <v>7</v>
      </c>
      <c r="E17" s="1709" t="s">
        <v>240</v>
      </c>
      <c r="F17" s="274" t="s">
        <v>47</v>
      </c>
      <c r="G17" s="1706"/>
      <c r="H17" s="2027"/>
      <c r="I17" s="278" t="s">
        <v>98</v>
      </c>
      <c r="J17" s="238">
        <v>328.7</v>
      </c>
      <c r="K17" s="117"/>
      <c r="L17" s="976"/>
      <c r="M17" s="460" t="s">
        <v>137</v>
      </c>
      <c r="N17" s="746">
        <v>2</v>
      </c>
      <c r="O17" s="407"/>
      <c r="P17" s="408"/>
    </row>
    <row r="18" spans="1:16" ht="27.75" customHeight="1" x14ac:dyDescent="0.2">
      <c r="A18" s="1704"/>
      <c r="B18" s="1705"/>
      <c r="C18" s="2007"/>
      <c r="D18" s="1808"/>
      <c r="E18" s="1710"/>
      <c r="F18" s="1684" t="s">
        <v>108</v>
      </c>
      <c r="G18" s="1706"/>
      <c r="H18" s="2027"/>
      <c r="I18" s="758" t="s">
        <v>25</v>
      </c>
      <c r="J18" s="744"/>
      <c r="K18" s="118"/>
      <c r="L18" s="63">
        <v>322.8</v>
      </c>
      <c r="M18" s="41" t="s">
        <v>227</v>
      </c>
      <c r="N18" s="319">
        <v>1</v>
      </c>
      <c r="O18" s="600"/>
      <c r="P18" s="488"/>
    </row>
    <row r="19" spans="1:16" ht="13.5" customHeight="1" x14ac:dyDescent="0.2">
      <c r="A19" s="1704"/>
      <c r="B19" s="1705"/>
      <c r="C19" s="2007"/>
      <c r="D19" s="1808"/>
      <c r="E19" s="1710"/>
      <c r="F19" s="1701"/>
      <c r="G19" s="1706"/>
      <c r="H19" s="2027"/>
      <c r="I19" s="43" t="s">
        <v>99</v>
      </c>
      <c r="J19" s="60"/>
      <c r="K19" s="95"/>
      <c r="L19" s="58">
        <v>96.4</v>
      </c>
      <c r="M19" s="1702" t="s">
        <v>248</v>
      </c>
      <c r="N19" s="753"/>
      <c r="O19" s="181"/>
      <c r="P19" s="314" t="s">
        <v>43</v>
      </c>
    </row>
    <row r="20" spans="1:16" ht="14.25" customHeight="1" x14ac:dyDescent="0.2">
      <c r="A20" s="1704"/>
      <c r="B20" s="1705"/>
      <c r="C20" s="2007"/>
      <c r="D20" s="1808"/>
      <c r="E20" s="1710"/>
      <c r="F20" s="1701"/>
      <c r="G20" s="1706"/>
      <c r="H20" s="2027"/>
      <c r="I20" s="43" t="s">
        <v>239</v>
      </c>
      <c r="J20" s="60"/>
      <c r="K20" s="79"/>
      <c r="L20" s="58">
        <v>44.7</v>
      </c>
      <c r="M20" s="2028"/>
      <c r="N20" s="753"/>
      <c r="O20" s="181"/>
      <c r="P20" s="314"/>
    </row>
    <row r="21" spans="1:16" ht="16.5" customHeight="1" x14ac:dyDescent="0.2">
      <c r="A21" s="1704"/>
      <c r="B21" s="1705"/>
      <c r="C21" s="2007"/>
      <c r="D21" s="1808"/>
      <c r="E21" s="1711"/>
      <c r="F21" s="1685"/>
      <c r="G21" s="1706"/>
      <c r="H21" s="2027"/>
      <c r="I21" s="42" t="s">
        <v>44</v>
      </c>
      <c r="J21" s="1008"/>
      <c r="K21" s="143"/>
      <c r="L21" s="1010">
        <v>690.3</v>
      </c>
      <c r="M21" s="445"/>
      <c r="N21" s="44"/>
      <c r="O21" s="287"/>
      <c r="P21" s="411"/>
    </row>
    <row r="22" spans="1:16" ht="15.75" customHeight="1" x14ac:dyDescent="0.2">
      <c r="A22" s="1704"/>
      <c r="B22" s="1705"/>
      <c r="C22" s="2007"/>
      <c r="D22" s="2008" t="s">
        <v>28</v>
      </c>
      <c r="E22" s="1707" t="s">
        <v>198</v>
      </c>
      <c r="F22" s="942" t="s">
        <v>47</v>
      </c>
      <c r="G22" s="1681"/>
      <c r="H22" s="745"/>
      <c r="I22" s="83" t="s">
        <v>25</v>
      </c>
      <c r="J22" s="1009">
        <v>814.8</v>
      </c>
      <c r="K22" s="117"/>
      <c r="L22" s="1009"/>
      <c r="M22" s="1036" t="s">
        <v>161</v>
      </c>
      <c r="N22" s="442">
        <v>100</v>
      </c>
      <c r="O22" s="601"/>
      <c r="P22" s="443"/>
    </row>
    <row r="23" spans="1:16" ht="15" customHeight="1" x14ac:dyDescent="0.2">
      <c r="A23" s="1704"/>
      <c r="B23" s="1705"/>
      <c r="C23" s="2007"/>
      <c r="D23" s="1808"/>
      <c r="E23" s="1742"/>
      <c r="F23" s="466"/>
      <c r="G23" s="1681"/>
      <c r="H23" s="745"/>
      <c r="I23" s="79" t="s">
        <v>99</v>
      </c>
      <c r="J23" s="58">
        <v>1100</v>
      </c>
      <c r="K23" s="95"/>
      <c r="L23" s="58"/>
      <c r="M23" s="1036"/>
      <c r="N23" s="442"/>
      <c r="O23" s="177"/>
      <c r="P23" s="190"/>
    </row>
    <row r="24" spans="1:16" ht="15" customHeight="1" x14ac:dyDescent="0.2">
      <c r="A24" s="1704"/>
      <c r="B24" s="1705"/>
      <c r="C24" s="2007"/>
      <c r="D24" s="1808"/>
      <c r="E24" s="1742"/>
      <c r="F24" s="466"/>
      <c r="G24" s="1681"/>
      <c r="H24" s="745"/>
      <c r="I24" s="79" t="s">
        <v>48</v>
      </c>
      <c r="J24" s="58">
        <v>162.4</v>
      </c>
      <c r="K24" s="95"/>
      <c r="L24" s="58"/>
      <c r="M24" s="1036"/>
      <c r="N24" s="442"/>
      <c r="O24" s="177"/>
      <c r="P24" s="190"/>
    </row>
    <row r="25" spans="1:16" ht="15" customHeight="1" x14ac:dyDescent="0.2">
      <c r="A25" s="1704"/>
      <c r="B25" s="1705"/>
      <c r="C25" s="2007"/>
      <c r="D25" s="1808"/>
      <c r="E25" s="1742"/>
      <c r="F25" s="466"/>
      <c r="G25" s="1681"/>
      <c r="H25" s="745"/>
      <c r="I25" s="79" t="s">
        <v>98</v>
      </c>
      <c r="J25" s="58">
        <v>151.9</v>
      </c>
      <c r="K25" s="95"/>
      <c r="L25" s="58"/>
      <c r="M25" s="1036"/>
      <c r="N25" s="442"/>
      <c r="O25" s="177"/>
      <c r="P25" s="190"/>
    </row>
    <row r="26" spans="1:16" ht="16.5" customHeight="1" x14ac:dyDescent="0.2">
      <c r="A26" s="1704"/>
      <c r="B26" s="1705"/>
      <c r="C26" s="2007"/>
      <c r="D26" s="2009"/>
      <c r="E26" s="1708"/>
      <c r="F26" s="461"/>
      <c r="G26" s="1681"/>
      <c r="H26" s="939"/>
      <c r="I26" s="120" t="s">
        <v>60</v>
      </c>
      <c r="J26" s="1010">
        <v>100</v>
      </c>
      <c r="K26" s="143"/>
      <c r="L26" s="1010"/>
      <c r="M26" s="391"/>
      <c r="N26" s="279"/>
      <c r="O26" s="602"/>
      <c r="P26" s="280"/>
    </row>
    <row r="27" spans="1:16" ht="18.75" customHeight="1" x14ac:dyDescent="0.2">
      <c r="A27" s="222"/>
      <c r="B27" s="224"/>
      <c r="C27" s="338"/>
      <c r="D27" s="971" t="s">
        <v>33</v>
      </c>
      <c r="E27" s="1713" t="s">
        <v>197</v>
      </c>
      <c r="F27" s="274" t="s">
        <v>47</v>
      </c>
      <c r="G27" s="84"/>
      <c r="H27" s="1992" t="s">
        <v>70</v>
      </c>
      <c r="I27" s="79" t="s">
        <v>25</v>
      </c>
      <c r="J27" s="58"/>
      <c r="K27" s="95">
        <v>52</v>
      </c>
      <c r="L27" s="58"/>
      <c r="M27" s="1716" t="s">
        <v>141</v>
      </c>
      <c r="N27" s="951">
        <v>1</v>
      </c>
      <c r="O27" s="982"/>
      <c r="P27" s="981"/>
    </row>
    <row r="28" spans="1:16" ht="21" customHeight="1" x14ac:dyDescent="0.2">
      <c r="A28" s="222"/>
      <c r="B28" s="224"/>
      <c r="C28" s="338"/>
      <c r="D28" s="959"/>
      <c r="E28" s="1714"/>
      <c r="F28" s="1718" t="s">
        <v>108</v>
      </c>
      <c r="G28" s="84"/>
      <c r="H28" s="1992"/>
      <c r="I28" s="79" t="s">
        <v>60</v>
      </c>
      <c r="J28" s="58">
        <v>1.5</v>
      </c>
      <c r="K28" s="95"/>
      <c r="L28" s="58"/>
      <c r="M28" s="1717"/>
      <c r="N28" s="979"/>
      <c r="O28" s="357"/>
      <c r="P28" s="300"/>
    </row>
    <row r="29" spans="1:16" ht="29.25" customHeight="1" x14ac:dyDescent="0.2">
      <c r="A29" s="222"/>
      <c r="B29" s="224"/>
      <c r="C29" s="338"/>
      <c r="D29" s="972"/>
      <c r="E29" s="1715"/>
      <c r="F29" s="1719"/>
      <c r="G29" s="84"/>
      <c r="H29" s="1992"/>
      <c r="I29" s="82"/>
      <c r="J29" s="988"/>
      <c r="K29" s="143"/>
      <c r="L29" s="988"/>
      <c r="M29" s="997" t="s">
        <v>142</v>
      </c>
      <c r="N29" s="998"/>
      <c r="O29" s="998">
        <v>1</v>
      </c>
      <c r="P29" s="999"/>
    </row>
    <row r="30" spans="1:16" ht="17.25" customHeight="1" x14ac:dyDescent="0.2">
      <c r="A30" s="760"/>
      <c r="B30" s="761"/>
      <c r="C30" s="338"/>
      <c r="D30" s="764" t="s">
        <v>34</v>
      </c>
      <c r="E30" s="1696" t="s">
        <v>203</v>
      </c>
      <c r="F30" s="717" t="s">
        <v>47</v>
      </c>
      <c r="G30" s="762"/>
      <c r="H30" s="745"/>
      <c r="I30" s="79" t="s">
        <v>45</v>
      </c>
      <c r="J30" s="58">
        <v>21.5</v>
      </c>
      <c r="K30" s="477"/>
      <c r="L30" s="158"/>
      <c r="M30" s="763" t="s">
        <v>46</v>
      </c>
      <c r="N30" s="767">
        <v>1</v>
      </c>
      <c r="O30" s="767"/>
      <c r="P30" s="765"/>
    </row>
    <row r="31" spans="1:16" ht="18" customHeight="1" x14ac:dyDescent="0.2">
      <c r="A31" s="760"/>
      <c r="B31" s="761"/>
      <c r="C31" s="337"/>
      <c r="D31" s="766"/>
      <c r="E31" s="1720"/>
      <c r="F31" s="719" t="s">
        <v>230</v>
      </c>
      <c r="G31" s="762"/>
      <c r="H31" s="745"/>
      <c r="I31" s="82"/>
      <c r="J31" s="48"/>
      <c r="K31" s="478"/>
      <c r="L31" s="48"/>
      <c r="M31" s="193"/>
      <c r="N31" s="44"/>
      <c r="O31" s="44"/>
      <c r="P31" s="20"/>
    </row>
    <row r="32" spans="1:16" ht="15" customHeight="1" x14ac:dyDescent="0.2">
      <c r="A32" s="1704"/>
      <c r="B32" s="1705"/>
      <c r="C32" s="2007"/>
      <c r="D32" s="2008" t="s">
        <v>35</v>
      </c>
      <c r="E32" s="1713" t="s">
        <v>147</v>
      </c>
      <c r="F32" s="274" t="s">
        <v>47</v>
      </c>
      <c r="G32" s="1681"/>
      <c r="H32" s="745"/>
      <c r="I32" s="79" t="s">
        <v>25</v>
      </c>
      <c r="J32" s="58"/>
      <c r="K32" s="95"/>
      <c r="L32" s="58">
        <v>25</v>
      </c>
      <c r="M32" s="1682" t="s">
        <v>236</v>
      </c>
      <c r="N32" s="474"/>
      <c r="O32" s="725"/>
      <c r="P32" s="475"/>
    </row>
    <row r="33" spans="1:16" ht="18.75" customHeight="1" x14ac:dyDescent="0.2">
      <c r="A33" s="1704"/>
      <c r="B33" s="1705"/>
      <c r="C33" s="2007"/>
      <c r="D33" s="1808"/>
      <c r="E33" s="1714"/>
      <c r="F33" s="1684" t="s">
        <v>108</v>
      </c>
      <c r="G33" s="1681"/>
      <c r="H33" s="745"/>
      <c r="I33" s="79"/>
      <c r="J33" s="58"/>
      <c r="K33" s="95"/>
      <c r="L33" s="58"/>
      <c r="M33" s="1683"/>
      <c r="N33" s="531"/>
      <c r="O33" s="531"/>
      <c r="P33" s="532"/>
    </row>
    <row r="34" spans="1:16" ht="18" customHeight="1" x14ac:dyDescent="0.2">
      <c r="A34" s="1704"/>
      <c r="B34" s="1705"/>
      <c r="C34" s="2007"/>
      <c r="D34" s="2009"/>
      <c r="E34" s="1715"/>
      <c r="F34" s="1685"/>
      <c r="G34" s="1681"/>
      <c r="H34" s="745"/>
      <c r="I34" s="82"/>
      <c r="J34" s="418"/>
      <c r="K34" s="420"/>
      <c r="L34" s="418"/>
      <c r="M34" s="752"/>
      <c r="N34" s="44"/>
      <c r="O34" s="152"/>
      <c r="P34" s="28"/>
    </row>
    <row r="35" spans="1:16" ht="13.5" customHeight="1" x14ac:dyDescent="0.2">
      <c r="A35" s="222"/>
      <c r="B35" s="224"/>
      <c r="C35" s="332"/>
      <c r="D35" s="2008" t="s">
        <v>36</v>
      </c>
      <c r="E35" s="1695" t="s">
        <v>199</v>
      </c>
      <c r="F35" s="938" t="s">
        <v>47</v>
      </c>
      <c r="G35" s="1681"/>
      <c r="H35" s="745"/>
      <c r="I35" s="79" t="s">
        <v>25</v>
      </c>
      <c r="J35" s="58"/>
      <c r="K35" s="95"/>
      <c r="L35" s="58">
        <v>50</v>
      </c>
      <c r="M35" s="732" t="s">
        <v>143</v>
      </c>
      <c r="N35" s="248"/>
      <c r="O35" s="282"/>
      <c r="P35" s="659">
        <v>1</v>
      </c>
    </row>
    <row r="36" spans="1:16" ht="9.75" customHeight="1" x14ac:dyDescent="0.2">
      <c r="A36" s="222"/>
      <c r="B36" s="224"/>
      <c r="C36" s="332"/>
      <c r="D36" s="2009"/>
      <c r="E36" s="1720"/>
      <c r="F36" s="937"/>
      <c r="G36" s="2033"/>
      <c r="H36" s="939"/>
      <c r="I36" s="82"/>
      <c r="J36" s="57"/>
      <c r="K36" s="143"/>
      <c r="L36" s="57"/>
      <c r="M36" s="483"/>
      <c r="N36" s="19"/>
      <c r="O36" s="283"/>
      <c r="P36" s="20"/>
    </row>
    <row r="37" spans="1:16" ht="17.25" customHeight="1" thickBot="1" x14ac:dyDescent="0.25">
      <c r="A37" s="64"/>
      <c r="B37" s="267"/>
      <c r="C37" s="168"/>
      <c r="D37" s="250"/>
      <c r="E37" s="343"/>
      <c r="F37" s="344"/>
      <c r="G37" s="168"/>
      <c r="H37" s="318"/>
      <c r="I37" s="189" t="s">
        <v>6</v>
      </c>
      <c r="J37" s="129">
        <f>SUM(J13:J36)</f>
        <v>2780.8</v>
      </c>
      <c r="K37" s="129">
        <f>SUM(K13:K36)</f>
        <v>1083</v>
      </c>
      <c r="L37" s="129">
        <f>SUM(L13:L36)</f>
        <v>2034.4</v>
      </c>
      <c r="M37" s="345"/>
      <c r="N37" s="335"/>
      <c r="O37" s="335"/>
      <c r="P37" s="336"/>
    </row>
    <row r="38" spans="1:16" ht="32.25" customHeight="1" x14ac:dyDescent="0.2">
      <c r="A38" s="264" t="s">
        <v>5</v>
      </c>
      <c r="B38" s="266" t="s">
        <v>5</v>
      </c>
      <c r="C38" s="333" t="s">
        <v>7</v>
      </c>
      <c r="D38" s="173"/>
      <c r="E38" s="100" t="s">
        <v>50</v>
      </c>
      <c r="F38" s="101" t="s">
        <v>88</v>
      </c>
      <c r="G38" s="110" t="s">
        <v>43</v>
      </c>
      <c r="H38" s="191"/>
      <c r="I38" s="67"/>
      <c r="J38" s="422"/>
      <c r="K38" s="421"/>
      <c r="L38" s="422"/>
      <c r="M38" s="62"/>
      <c r="N38" s="25"/>
      <c r="O38" s="582"/>
      <c r="P38" s="686"/>
    </row>
    <row r="39" spans="1:16" ht="16.5" customHeight="1" x14ac:dyDescent="0.2">
      <c r="A39" s="1723"/>
      <c r="B39" s="1705"/>
      <c r="C39" s="2007"/>
      <c r="D39" s="325" t="s">
        <v>5</v>
      </c>
      <c r="E39" s="1714" t="s">
        <v>195</v>
      </c>
      <c r="F39" s="459" t="s">
        <v>47</v>
      </c>
      <c r="G39" s="1706"/>
      <c r="H39" s="1992" t="s">
        <v>70</v>
      </c>
      <c r="I39" s="83" t="s">
        <v>99</v>
      </c>
      <c r="J39" s="1009">
        <v>200</v>
      </c>
      <c r="K39" s="117">
        <f>696.4-200</f>
        <v>496.4</v>
      </c>
      <c r="L39" s="1009">
        <v>600</v>
      </c>
      <c r="M39" s="1716" t="s">
        <v>150</v>
      </c>
      <c r="N39" s="991">
        <v>1</v>
      </c>
      <c r="O39" s="992"/>
      <c r="P39" s="993"/>
    </row>
    <row r="40" spans="1:16" ht="23.25" customHeight="1" x14ac:dyDescent="0.2">
      <c r="A40" s="1723"/>
      <c r="B40" s="1705"/>
      <c r="C40" s="2007"/>
      <c r="D40" s="959"/>
      <c r="E40" s="1714"/>
      <c r="F40" s="956"/>
      <c r="G40" s="1706"/>
      <c r="H40" s="1992"/>
      <c r="I40" s="79" t="s">
        <v>25</v>
      </c>
      <c r="J40" s="58">
        <f>500-143.4</f>
        <v>356.6</v>
      </c>
      <c r="K40" s="95">
        <v>103.6</v>
      </c>
      <c r="L40" s="58">
        <v>200</v>
      </c>
      <c r="M40" s="1722"/>
      <c r="N40" s="573"/>
      <c r="O40" s="577"/>
      <c r="P40" s="715"/>
    </row>
    <row r="41" spans="1:16" ht="39.75" customHeight="1" x14ac:dyDescent="0.2">
      <c r="A41" s="1723"/>
      <c r="B41" s="1705"/>
      <c r="C41" s="2007"/>
      <c r="D41" s="324"/>
      <c r="E41" s="1714"/>
      <c r="F41" s="459"/>
      <c r="G41" s="1706"/>
      <c r="H41" s="1992"/>
      <c r="I41" s="79" t="s">
        <v>98</v>
      </c>
      <c r="J41" s="58"/>
      <c r="K41" s="95"/>
      <c r="L41" s="58"/>
      <c r="M41" s="27" t="s">
        <v>176</v>
      </c>
      <c r="N41" s="45">
        <v>100</v>
      </c>
      <c r="O41" s="578"/>
      <c r="P41" s="99"/>
    </row>
    <row r="42" spans="1:16" ht="28.5" customHeight="1" x14ac:dyDescent="0.2">
      <c r="A42" s="1723"/>
      <c r="B42" s="1705"/>
      <c r="C42" s="2007"/>
      <c r="D42" s="324"/>
      <c r="E42" s="1714"/>
      <c r="F42" s="459"/>
      <c r="G42" s="1706"/>
      <c r="H42" s="1992"/>
      <c r="I42" s="1"/>
      <c r="J42" s="58"/>
      <c r="K42" s="95"/>
      <c r="L42" s="58"/>
      <c r="M42" s="27" t="s">
        <v>177</v>
      </c>
      <c r="N42" s="1465" t="s">
        <v>351</v>
      </c>
      <c r="O42" s="1466">
        <v>80</v>
      </c>
      <c r="P42" s="1467">
        <v>100</v>
      </c>
    </row>
    <row r="43" spans="1:16" ht="54" customHeight="1" x14ac:dyDescent="0.2">
      <c r="A43" s="1723"/>
      <c r="B43" s="1705"/>
      <c r="C43" s="2007"/>
      <c r="D43" s="324"/>
      <c r="E43" s="1714"/>
      <c r="F43" s="750"/>
      <c r="G43" s="1706"/>
      <c r="H43" s="1992"/>
      <c r="I43" s="79"/>
      <c r="J43" s="58"/>
      <c r="K43" s="95"/>
      <c r="L43" s="58"/>
      <c r="M43" s="1045" t="s">
        <v>178</v>
      </c>
      <c r="N43" s="1465"/>
      <c r="O43" s="1466"/>
      <c r="P43" s="1467">
        <v>5</v>
      </c>
    </row>
    <row r="44" spans="1:16" ht="18.75" customHeight="1" x14ac:dyDescent="0.2">
      <c r="A44" s="1723"/>
      <c r="B44" s="1705"/>
      <c r="C44" s="2007"/>
      <c r="D44" s="2008" t="s">
        <v>7</v>
      </c>
      <c r="E44" s="1713" t="s">
        <v>58</v>
      </c>
      <c r="F44" s="864" t="s">
        <v>47</v>
      </c>
      <c r="G44" s="1681"/>
      <c r="H44" s="113"/>
      <c r="I44" s="83" t="s">
        <v>25</v>
      </c>
      <c r="J44" s="1009">
        <v>50</v>
      </c>
      <c r="K44" s="117">
        <v>361.3</v>
      </c>
      <c r="L44" s="1009">
        <v>1100</v>
      </c>
      <c r="M44" s="1682" t="s">
        <v>145</v>
      </c>
      <c r="N44" s="965">
        <v>5</v>
      </c>
      <c r="O44" s="579">
        <v>50</v>
      </c>
      <c r="P44" s="662">
        <v>80</v>
      </c>
    </row>
    <row r="45" spans="1:16" ht="12" customHeight="1" x14ac:dyDescent="0.2">
      <c r="A45" s="1723"/>
      <c r="B45" s="1705"/>
      <c r="C45" s="2007"/>
      <c r="D45" s="1808"/>
      <c r="E45" s="1714"/>
      <c r="F45" s="861"/>
      <c r="G45" s="1681"/>
      <c r="H45" s="113"/>
      <c r="I45" s="79" t="s">
        <v>99</v>
      </c>
      <c r="J45" s="58"/>
      <c r="K45" s="95">
        <v>800</v>
      </c>
      <c r="L45" s="58"/>
      <c r="M45" s="1717"/>
      <c r="N45" s="723"/>
      <c r="O45" s="584"/>
      <c r="P45" s="300"/>
    </row>
    <row r="46" spans="1:16" ht="9.75" customHeight="1" x14ac:dyDescent="0.2">
      <c r="A46" s="1723"/>
      <c r="B46" s="1705"/>
      <c r="C46" s="2007"/>
      <c r="D46" s="2009"/>
      <c r="E46" s="1715"/>
      <c r="F46" s="865"/>
      <c r="G46" s="1681"/>
      <c r="H46" s="113"/>
      <c r="I46" s="120"/>
      <c r="J46" s="1010"/>
      <c r="K46" s="143"/>
      <c r="L46" s="1010"/>
      <c r="M46" s="232"/>
      <c r="N46" s="966"/>
      <c r="O46" s="580"/>
      <c r="P46" s="28"/>
    </row>
    <row r="47" spans="1:16" ht="17.25" customHeight="1" x14ac:dyDescent="0.2">
      <c r="A47" s="748"/>
      <c r="B47" s="749"/>
      <c r="C47" s="340"/>
      <c r="D47" s="2008" t="s">
        <v>28</v>
      </c>
      <c r="E47" s="1713" t="s">
        <v>200</v>
      </c>
      <c r="F47" s="1734" t="s">
        <v>47</v>
      </c>
      <c r="G47" s="1736"/>
      <c r="H47" s="2027"/>
      <c r="I47" s="83" t="s">
        <v>60</v>
      </c>
      <c r="J47" s="975">
        <v>0.8</v>
      </c>
      <c r="K47" s="347"/>
      <c r="L47" s="975"/>
      <c r="M47" s="964" t="s">
        <v>92</v>
      </c>
      <c r="N47" s="401">
        <v>1</v>
      </c>
      <c r="O47" s="967"/>
      <c r="P47" s="970"/>
    </row>
    <row r="48" spans="1:16" ht="21.75" customHeight="1" x14ac:dyDescent="0.2">
      <c r="A48" s="748"/>
      <c r="B48" s="749"/>
      <c r="C48" s="340"/>
      <c r="D48" s="2009"/>
      <c r="E48" s="1714"/>
      <c r="F48" s="1735"/>
      <c r="G48" s="1736"/>
      <c r="H48" s="2027"/>
      <c r="I48" s="82" t="s">
        <v>25</v>
      </c>
      <c r="J48" s="994"/>
      <c r="K48" s="644"/>
      <c r="L48" s="994"/>
      <c r="M48" s="18"/>
      <c r="N48" s="414"/>
      <c r="O48" s="283"/>
      <c r="P48" s="20"/>
    </row>
    <row r="49" spans="1:18" ht="16.5" customHeight="1" x14ac:dyDescent="0.2">
      <c r="A49" s="952"/>
      <c r="B49" s="953"/>
      <c r="C49" s="340"/>
      <c r="D49" s="2008" t="s">
        <v>33</v>
      </c>
      <c r="E49" s="1713" t="s">
        <v>185</v>
      </c>
      <c r="F49" s="1734" t="s">
        <v>47</v>
      </c>
      <c r="G49" s="1736"/>
      <c r="H49" s="2027"/>
      <c r="I49" s="79" t="s">
        <v>45</v>
      </c>
      <c r="J49" s="60"/>
      <c r="K49" s="309">
        <v>95</v>
      </c>
      <c r="L49" s="60"/>
      <c r="M49" s="741" t="s">
        <v>92</v>
      </c>
      <c r="N49" s="412"/>
      <c r="O49" s="282">
        <v>1</v>
      </c>
      <c r="P49" s="968"/>
    </row>
    <row r="50" spans="1:18" ht="17.25" customHeight="1" x14ac:dyDescent="0.2">
      <c r="A50" s="952"/>
      <c r="B50" s="953"/>
      <c r="C50" s="340"/>
      <c r="D50" s="2009"/>
      <c r="E50" s="1714"/>
      <c r="F50" s="1737"/>
      <c r="G50" s="1736"/>
      <c r="H50" s="2046"/>
      <c r="I50" s="682"/>
      <c r="J50" s="977"/>
      <c r="K50" s="143"/>
      <c r="L50" s="977"/>
      <c r="M50" s="18"/>
      <c r="N50" s="414"/>
      <c r="O50" s="283"/>
      <c r="P50" s="20"/>
    </row>
    <row r="51" spans="1:18" ht="16.5" customHeight="1" thickBot="1" x14ac:dyDescent="0.25">
      <c r="A51" s="64"/>
      <c r="B51" s="267"/>
      <c r="C51" s="168"/>
      <c r="D51" s="250"/>
      <c r="E51" s="330"/>
      <c r="F51" s="331"/>
      <c r="G51" s="250"/>
      <c r="H51" s="196"/>
      <c r="I51" s="165" t="s">
        <v>6</v>
      </c>
      <c r="J51" s="85">
        <f>SUM(J39:J50)</f>
        <v>607.4</v>
      </c>
      <c r="K51" s="85">
        <f>SUM(K39:K50)</f>
        <v>1856.3</v>
      </c>
      <c r="L51" s="85">
        <f>SUM(L39:L50)</f>
        <v>1900</v>
      </c>
      <c r="M51" s="334"/>
      <c r="N51" s="335"/>
      <c r="O51" s="335"/>
      <c r="P51" s="336"/>
    </row>
    <row r="52" spans="1:18" ht="36" customHeight="1" x14ac:dyDescent="0.2">
      <c r="A52" s="222" t="s">
        <v>5</v>
      </c>
      <c r="B52" s="243" t="s">
        <v>5</v>
      </c>
      <c r="C52" s="404" t="s">
        <v>28</v>
      </c>
      <c r="D52" s="206"/>
      <c r="E52" s="208" t="s">
        <v>95</v>
      </c>
      <c r="F52" s="251" t="s">
        <v>90</v>
      </c>
      <c r="G52" s="252" t="s">
        <v>43</v>
      </c>
      <c r="H52" s="209"/>
      <c r="I52" s="448"/>
      <c r="J52" s="476"/>
      <c r="K52" s="207"/>
      <c r="L52" s="447"/>
      <c r="M52" s="734"/>
      <c r="N52" s="50"/>
      <c r="O52" s="153"/>
      <c r="P52" s="281"/>
    </row>
    <row r="53" spans="1:18" ht="14.1" customHeight="1" x14ac:dyDescent="0.2">
      <c r="A53" s="1704"/>
      <c r="B53" s="1729"/>
      <c r="C53" s="2007"/>
      <c r="D53" s="1743" t="s">
        <v>5</v>
      </c>
      <c r="E53" s="1707" t="s">
        <v>284</v>
      </c>
      <c r="F53" s="1731" t="s">
        <v>47</v>
      </c>
      <c r="G53" s="1743"/>
      <c r="H53" s="2044" t="s">
        <v>71</v>
      </c>
      <c r="I53" s="83" t="s">
        <v>99</v>
      </c>
      <c r="J53" s="1463">
        <f>755.4-236.1</f>
        <v>519.29999999999995</v>
      </c>
      <c r="K53" s="1464">
        <f>211.8+236.1</f>
        <v>447.9</v>
      </c>
      <c r="L53" s="52"/>
      <c r="M53" s="1682"/>
      <c r="N53" s="437"/>
      <c r="O53" s="658"/>
      <c r="P53" s="673"/>
      <c r="Q53" s="634"/>
      <c r="R53" s="634"/>
    </row>
    <row r="54" spans="1:18" ht="14.1" customHeight="1" x14ac:dyDescent="0.2">
      <c r="A54" s="1704"/>
      <c r="B54" s="1729"/>
      <c r="C54" s="2007"/>
      <c r="D54" s="1706"/>
      <c r="E54" s="1730"/>
      <c r="F54" s="1732"/>
      <c r="G54" s="1706"/>
      <c r="H54" s="2045"/>
      <c r="I54" s="79" t="s">
        <v>25</v>
      </c>
      <c r="J54" s="60">
        <v>875.5</v>
      </c>
      <c r="K54" s="309">
        <v>374</v>
      </c>
      <c r="L54" s="60"/>
      <c r="M54" s="1717"/>
      <c r="N54" s="151"/>
      <c r="O54" s="151"/>
      <c r="P54" s="659"/>
    </row>
    <row r="55" spans="1:18" ht="14.1" customHeight="1" x14ac:dyDescent="0.2">
      <c r="A55" s="1704"/>
      <c r="B55" s="1729"/>
      <c r="C55" s="2007"/>
      <c r="D55" s="1706"/>
      <c r="E55" s="1727"/>
      <c r="F55" s="1732"/>
      <c r="G55" s="1706"/>
      <c r="H55" s="2045"/>
      <c r="I55" s="79" t="s">
        <v>223</v>
      </c>
      <c r="J55" s="58">
        <v>1482.2</v>
      </c>
      <c r="K55" s="95">
        <v>122.8</v>
      </c>
      <c r="L55" s="58"/>
      <c r="M55" s="733"/>
      <c r="N55" s="151"/>
      <c r="O55" s="151"/>
      <c r="P55" s="659"/>
    </row>
    <row r="56" spans="1:18" ht="14.1" customHeight="1" x14ac:dyDescent="0.2">
      <c r="A56" s="1704"/>
      <c r="B56" s="1729"/>
      <c r="C56" s="2007"/>
      <c r="D56" s="1706"/>
      <c r="E56" s="432"/>
      <c r="F56" s="1732"/>
      <c r="G56" s="1706"/>
      <c r="H56" s="2045"/>
      <c r="I56" s="79" t="s">
        <v>48</v>
      </c>
      <c r="J56" s="58">
        <v>200</v>
      </c>
      <c r="K56" s="95"/>
      <c r="L56" s="58"/>
      <c r="M56" s="733"/>
      <c r="N56" s="151"/>
      <c r="O56" s="151"/>
      <c r="P56" s="659"/>
    </row>
    <row r="57" spans="1:18" ht="14.1" customHeight="1" x14ac:dyDescent="0.2">
      <c r="A57" s="1704"/>
      <c r="B57" s="1729"/>
      <c r="C57" s="2007"/>
      <c r="D57" s="1706"/>
      <c r="E57" s="432"/>
      <c r="F57" s="1732"/>
      <c r="G57" s="1706"/>
      <c r="H57" s="2045"/>
      <c r="I57" s="79" t="s">
        <v>45</v>
      </c>
      <c r="J57" s="58">
        <v>104.9</v>
      </c>
      <c r="K57" s="95"/>
      <c r="L57" s="58"/>
      <c r="M57" s="733"/>
      <c r="N57" s="151"/>
      <c r="O57" s="151"/>
      <c r="P57" s="659"/>
    </row>
    <row r="58" spans="1:18" ht="14.1" customHeight="1" x14ac:dyDescent="0.2">
      <c r="A58" s="1704"/>
      <c r="B58" s="1729"/>
      <c r="C58" s="2007"/>
      <c r="D58" s="1706"/>
      <c r="E58" s="432"/>
      <c r="F58" s="1732"/>
      <c r="G58" s="1706"/>
      <c r="H58" s="2045"/>
      <c r="I58" s="79" t="s">
        <v>60</v>
      </c>
      <c r="J58" s="58">
        <v>186.9</v>
      </c>
      <c r="K58" s="95"/>
      <c r="L58" s="58"/>
      <c r="M58" s="733"/>
      <c r="N58" s="151"/>
      <c r="O58" s="151"/>
      <c r="P58" s="659"/>
    </row>
    <row r="59" spans="1:18" ht="25.5" customHeight="1" x14ac:dyDescent="0.2">
      <c r="A59" s="1704"/>
      <c r="B59" s="1729"/>
      <c r="C59" s="2007"/>
      <c r="D59" s="1706"/>
      <c r="E59" s="444" t="s">
        <v>148</v>
      </c>
      <c r="F59" s="1732"/>
      <c r="G59" s="1706"/>
      <c r="H59" s="2045"/>
      <c r="I59" s="128"/>
      <c r="J59" s="55"/>
      <c r="K59" s="174"/>
      <c r="L59" s="55"/>
      <c r="M59" s="81" t="s">
        <v>179</v>
      </c>
      <c r="N59" s="155">
        <v>100</v>
      </c>
      <c r="O59" s="155"/>
      <c r="P59" s="24"/>
    </row>
    <row r="60" spans="1:18" ht="40.5" customHeight="1" x14ac:dyDescent="0.2">
      <c r="A60" s="1704"/>
      <c r="B60" s="1729"/>
      <c r="C60" s="2007"/>
      <c r="D60" s="1706"/>
      <c r="E60" s="435" t="s">
        <v>123</v>
      </c>
      <c r="F60" s="1733"/>
      <c r="G60" s="1744"/>
      <c r="H60" s="275"/>
      <c r="I60" s="82"/>
      <c r="J60" s="1010"/>
      <c r="K60" s="143"/>
      <c r="L60" s="1010"/>
      <c r="M60" s="445" t="s">
        <v>180</v>
      </c>
      <c r="N60" s="44">
        <v>80</v>
      </c>
      <c r="O60" s="44">
        <v>100</v>
      </c>
      <c r="P60" s="20"/>
    </row>
    <row r="61" spans="1:18" ht="15" customHeight="1" x14ac:dyDescent="0.2">
      <c r="A61" s="403"/>
      <c r="B61" s="405"/>
      <c r="C61" s="378"/>
      <c r="D61" s="2008" t="s">
        <v>7</v>
      </c>
      <c r="E61" s="1707" t="s">
        <v>285</v>
      </c>
      <c r="F61" s="406" t="s">
        <v>47</v>
      </c>
      <c r="G61" s="1736"/>
      <c r="H61" s="2034" t="s">
        <v>277</v>
      </c>
      <c r="I61" s="79" t="s">
        <v>99</v>
      </c>
      <c r="J61" s="58"/>
      <c r="K61" s="95">
        <v>500</v>
      </c>
      <c r="L61" s="1009">
        <v>400</v>
      </c>
      <c r="M61" s="963" t="s">
        <v>46</v>
      </c>
      <c r="N61" s="401">
        <v>1</v>
      </c>
      <c r="O61" s="581"/>
      <c r="P61" s="687"/>
    </row>
    <row r="62" spans="1:18" ht="15" customHeight="1" x14ac:dyDescent="0.2">
      <c r="A62" s="748"/>
      <c r="B62" s="751"/>
      <c r="C62" s="378"/>
      <c r="D62" s="1808"/>
      <c r="E62" s="1742"/>
      <c r="F62" s="482"/>
      <c r="G62" s="1736"/>
      <c r="H62" s="2006"/>
      <c r="I62" s="79" t="s">
        <v>60</v>
      </c>
      <c r="J62" s="58">
        <v>11.8</v>
      </c>
      <c r="K62" s="95"/>
      <c r="L62" s="58"/>
      <c r="M62" s="957" t="s">
        <v>144</v>
      </c>
      <c r="N62" s="412"/>
      <c r="O62" s="415">
        <v>30</v>
      </c>
      <c r="P62" s="534">
        <v>60</v>
      </c>
    </row>
    <row r="63" spans="1:18" ht="15" customHeight="1" x14ac:dyDescent="0.2">
      <c r="A63" s="862"/>
      <c r="B63" s="863"/>
      <c r="C63" s="378"/>
      <c r="D63" s="1808"/>
      <c r="E63" s="1742"/>
      <c r="F63" s="482"/>
      <c r="G63" s="1736"/>
      <c r="H63" s="2006"/>
      <c r="I63" s="79" t="s">
        <v>25</v>
      </c>
      <c r="J63" s="58"/>
      <c r="K63" s="95"/>
      <c r="L63" s="58">
        <v>100</v>
      </c>
      <c r="M63" s="957"/>
      <c r="N63" s="412"/>
      <c r="O63" s="415"/>
      <c r="P63" s="534"/>
    </row>
    <row r="64" spans="1:18" ht="21" customHeight="1" x14ac:dyDescent="0.2">
      <c r="A64" s="403"/>
      <c r="B64" s="405"/>
      <c r="C64" s="378"/>
      <c r="D64" s="1808"/>
      <c r="E64" s="1711"/>
      <c r="F64" s="902"/>
      <c r="G64" s="1736"/>
      <c r="H64" s="2006"/>
      <c r="I64" s="120" t="s">
        <v>45</v>
      </c>
      <c r="J64" s="1010"/>
      <c r="K64" s="143">
        <v>40</v>
      </c>
      <c r="L64" s="1010"/>
      <c r="M64" s="483"/>
      <c r="N64" s="414"/>
      <c r="O64" s="480"/>
      <c r="P64" s="424"/>
    </row>
    <row r="65" spans="1:16" ht="21.75" customHeight="1" x14ac:dyDescent="0.2">
      <c r="A65" s="900"/>
      <c r="B65" s="901"/>
      <c r="C65" s="378"/>
      <c r="D65" s="2008" t="s">
        <v>28</v>
      </c>
      <c r="E65" s="1713" t="s">
        <v>279</v>
      </c>
      <c r="F65" s="1737" t="s">
        <v>47</v>
      </c>
      <c r="G65" s="1736"/>
      <c r="H65" s="995"/>
      <c r="I65" s="306" t="s">
        <v>60</v>
      </c>
      <c r="J65" s="58">
        <v>100</v>
      </c>
      <c r="K65" s="95"/>
      <c r="L65" s="58"/>
      <c r="M65" s="1682" t="s">
        <v>46</v>
      </c>
      <c r="N65" s="1011">
        <v>1</v>
      </c>
      <c r="O65" s="282"/>
      <c r="P65" s="903"/>
    </row>
    <row r="66" spans="1:16" ht="17.25" customHeight="1" x14ac:dyDescent="0.2">
      <c r="A66" s="900"/>
      <c r="B66" s="901"/>
      <c r="C66" s="378"/>
      <c r="D66" s="2009"/>
      <c r="E66" s="1715"/>
      <c r="F66" s="1735"/>
      <c r="G66" s="1736"/>
      <c r="H66" s="996"/>
      <c r="I66" s="1471" t="s">
        <v>25</v>
      </c>
      <c r="J66" s="693">
        <v>10</v>
      </c>
      <c r="K66" s="143"/>
      <c r="L66" s="977"/>
      <c r="M66" s="1776"/>
      <c r="N66" s="19"/>
      <c r="O66" s="283"/>
      <c r="P66" s="20"/>
    </row>
    <row r="67" spans="1:16" ht="16.5" customHeight="1" thickBot="1" x14ac:dyDescent="0.25">
      <c r="A67" s="64"/>
      <c r="B67" s="267"/>
      <c r="C67" s="168"/>
      <c r="D67" s="250"/>
      <c r="E67" s="330"/>
      <c r="F67" s="331"/>
      <c r="G67" s="250"/>
      <c r="H67" s="196"/>
      <c r="I67" s="165" t="s">
        <v>6</v>
      </c>
      <c r="J67" s="85">
        <f>SUM(J53:J66)</f>
        <v>3490.6</v>
      </c>
      <c r="K67" s="85">
        <f>SUM(K53:K66)</f>
        <v>1484.7</v>
      </c>
      <c r="L67" s="85">
        <f>SUM(L53:L66)</f>
        <v>500</v>
      </c>
      <c r="M67" s="334"/>
      <c r="N67" s="335"/>
      <c r="O67" s="335"/>
      <c r="P67" s="336"/>
    </row>
    <row r="68" spans="1:16" ht="33" customHeight="1" x14ac:dyDescent="0.2">
      <c r="A68" s="225" t="s">
        <v>5</v>
      </c>
      <c r="B68" s="246" t="s">
        <v>5</v>
      </c>
      <c r="C68" s="333" t="s">
        <v>33</v>
      </c>
      <c r="D68" s="93"/>
      <c r="E68" s="100" t="s">
        <v>51</v>
      </c>
      <c r="F68" s="102" t="s">
        <v>87</v>
      </c>
      <c r="G68" s="111" t="s">
        <v>43</v>
      </c>
      <c r="H68" s="210"/>
      <c r="I68" s="67"/>
      <c r="J68" s="65"/>
      <c r="K68" s="351"/>
      <c r="L68" s="65"/>
      <c r="M68" s="68"/>
      <c r="N68" s="25"/>
      <c r="O68" s="582"/>
      <c r="P68" s="686"/>
    </row>
    <row r="69" spans="1:16" ht="15" customHeight="1" x14ac:dyDescent="0.2">
      <c r="A69" s="222"/>
      <c r="B69" s="243"/>
      <c r="C69" s="332"/>
      <c r="D69" s="1731" t="s">
        <v>5</v>
      </c>
      <c r="E69" s="1707" t="s">
        <v>59</v>
      </c>
      <c r="F69" s="1734" t="s">
        <v>47</v>
      </c>
      <c r="G69" s="1732"/>
      <c r="H69" s="2044" t="s">
        <v>278</v>
      </c>
      <c r="I69" s="52" t="s">
        <v>99</v>
      </c>
      <c r="J69" s="690">
        <v>0</v>
      </c>
      <c r="K69" s="117"/>
      <c r="L69" s="52"/>
      <c r="M69" s="1751" t="s">
        <v>181</v>
      </c>
      <c r="N69" s="747">
        <v>100</v>
      </c>
      <c r="O69" s="660"/>
      <c r="P69" s="673"/>
    </row>
    <row r="70" spans="1:16" ht="15" customHeight="1" x14ac:dyDescent="0.2">
      <c r="A70" s="258"/>
      <c r="B70" s="272"/>
      <c r="C70" s="332"/>
      <c r="D70" s="1732"/>
      <c r="E70" s="1742"/>
      <c r="F70" s="1737"/>
      <c r="G70" s="1732"/>
      <c r="H70" s="2027"/>
      <c r="I70" s="58" t="s">
        <v>48</v>
      </c>
      <c r="J70" s="58">
        <v>1300</v>
      </c>
      <c r="K70" s="95"/>
      <c r="L70" s="58"/>
      <c r="M70" s="2051"/>
      <c r="N70" s="248"/>
      <c r="O70" s="282"/>
      <c r="P70" s="659"/>
    </row>
    <row r="71" spans="1:16" ht="15" customHeight="1" x14ac:dyDescent="0.2">
      <c r="A71" s="258"/>
      <c r="B71" s="272"/>
      <c r="C71" s="332"/>
      <c r="D71" s="1732"/>
      <c r="E71" s="1742"/>
      <c r="F71" s="1737"/>
      <c r="G71" s="1732"/>
      <c r="H71" s="2027"/>
      <c r="I71" s="57" t="s">
        <v>45</v>
      </c>
      <c r="J71" s="57"/>
      <c r="K71" s="143"/>
      <c r="L71" s="57"/>
      <c r="M71" s="1615"/>
      <c r="N71" s="19"/>
      <c r="O71" s="282"/>
      <c r="P71" s="659"/>
    </row>
    <row r="72" spans="1:16" ht="14.25" customHeight="1" x14ac:dyDescent="0.2">
      <c r="A72" s="1704"/>
      <c r="B72" s="1729"/>
      <c r="C72" s="2007"/>
      <c r="D72" s="2008" t="s">
        <v>7</v>
      </c>
      <c r="E72" s="1713" t="s">
        <v>242</v>
      </c>
      <c r="F72" s="1760" t="s">
        <v>47</v>
      </c>
      <c r="G72" s="2048"/>
      <c r="H72" s="2052"/>
      <c r="I72" s="43" t="s">
        <v>25</v>
      </c>
      <c r="J72" s="58">
        <v>10</v>
      </c>
      <c r="K72" s="95">
        <v>24.6</v>
      </c>
      <c r="L72" s="58">
        <v>22.5</v>
      </c>
      <c r="M72" s="944" t="s">
        <v>46</v>
      </c>
      <c r="N72" s="943">
        <v>1</v>
      </c>
      <c r="O72" s="945"/>
      <c r="P72" s="947"/>
    </row>
    <row r="73" spans="1:16" ht="21" customHeight="1" x14ac:dyDescent="0.2">
      <c r="A73" s="1704"/>
      <c r="B73" s="1729"/>
      <c r="C73" s="2007"/>
      <c r="D73" s="1808"/>
      <c r="E73" s="1714"/>
      <c r="F73" s="1761"/>
      <c r="G73" s="2048"/>
      <c r="H73" s="2052"/>
      <c r="I73" s="79" t="s">
        <v>44</v>
      </c>
      <c r="J73" s="58"/>
      <c r="K73" s="95">
        <v>425</v>
      </c>
      <c r="L73" s="58">
        <v>425</v>
      </c>
      <c r="M73" s="1758" t="s">
        <v>136</v>
      </c>
      <c r="N73" s="949"/>
      <c r="O73" s="282">
        <v>50</v>
      </c>
      <c r="P73" s="946">
        <v>100</v>
      </c>
    </row>
    <row r="74" spans="1:16" ht="18.75" customHeight="1" x14ac:dyDescent="0.2">
      <c r="A74" s="1704"/>
      <c r="B74" s="1729"/>
      <c r="C74" s="2007"/>
      <c r="D74" s="2009"/>
      <c r="E74" s="1715"/>
      <c r="F74" s="2047"/>
      <c r="G74" s="2049"/>
      <c r="H74" s="2053"/>
      <c r="I74" s="120"/>
      <c r="J74" s="948"/>
      <c r="K74" s="143"/>
      <c r="L74" s="948"/>
      <c r="M74" s="2050"/>
      <c r="N74" s="19"/>
      <c r="O74" s="283"/>
      <c r="P74" s="20"/>
    </row>
    <row r="75" spans="1:16" ht="16.5" customHeight="1" thickBot="1" x14ac:dyDescent="0.25">
      <c r="A75" s="64"/>
      <c r="B75" s="267"/>
      <c r="C75" s="168"/>
      <c r="D75" s="250"/>
      <c r="E75" s="330"/>
      <c r="F75" s="331"/>
      <c r="G75" s="250"/>
      <c r="H75" s="196"/>
      <c r="I75" s="165" t="s">
        <v>6</v>
      </c>
      <c r="J75" s="85">
        <f>SUM(J69:J74)</f>
        <v>1310</v>
      </c>
      <c r="K75" s="85">
        <f>SUM(K69:K74)</f>
        <v>449.6</v>
      </c>
      <c r="L75" s="85">
        <f>SUM(L69:L74)</f>
        <v>447.5</v>
      </c>
      <c r="M75" s="334"/>
      <c r="N75" s="335"/>
      <c r="O75" s="335"/>
      <c r="P75" s="336"/>
    </row>
    <row r="76" spans="1:16" ht="33" customHeight="1" x14ac:dyDescent="0.2">
      <c r="A76" s="264" t="s">
        <v>5</v>
      </c>
      <c r="B76" s="246" t="s">
        <v>5</v>
      </c>
      <c r="C76" s="333" t="s">
        <v>34</v>
      </c>
      <c r="D76" s="93"/>
      <c r="E76" s="70" t="s">
        <v>94</v>
      </c>
      <c r="F76" s="102" t="s">
        <v>85</v>
      </c>
      <c r="G76" s="110" t="s">
        <v>43</v>
      </c>
      <c r="H76" s="112"/>
      <c r="I76" s="351"/>
      <c r="J76" s="65"/>
      <c r="K76" s="351"/>
      <c r="L76" s="65"/>
      <c r="M76" s="160"/>
      <c r="N76" s="26"/>
      <c r="O76" s="676"/>
      <c r="P76" s="281"/>
    </row>
    <row r="77" spans="1:16" ht="14.25" customHeight="1" x14ac:dyDescent="0.2">
      <c r="A77" s="917"/>
      <c r="B77" s="920"/>
      <c r="C77" s="928"/>
      <c r="D77" s="925" t="s">
        <v>5</v>
      </c>
      <c r="E77" s="1713" t="s">
        <v>196</v>
      </c>
      <c r="F77" s="103" t="s">
        <v>47</v>
      </c>
      <c r="G77" s="919"/>
      <c r="H77" s="1992" t="s">
        <v>114</v>
      </c>
      <c r="I77" s="79" t="s">
        <v>99</v>
      </c>
      <c r="J77" s="458">
        <f>845.7+10-200</f>
        <v>655.7</v>
      </c>
      <c r="K77" s="1433">
        <v>200</v>
      </c>
      <c r="L77" s="58"/>
      <c r="M77" s="1682" t="s">
        <v>182</v>
      </c>
      <c r="N77" s="1495">
        <v>80</v>
      </c>
      <c r="O77" s="1571">
        <v>100</v>
      </c>
      <c r="P77" s="1496"/>
    </row>
    <row r="78" spans="1:16" ht="12.75" customHeight="1" x14ac:dyDescent="0.2">
      <c r="A78" s="917"/>
      <c r="B78" s="920"/>
      <c r="C78" s="928"/>
      <c r="D78" s="922"/>
      <c r="E78" s="1714"/>
      <c r="F78" s="2055"/>
      <c r="G78" s="919"/>
      <c r="H78" s="2054"/>
      <c r="I78" s="571" t="s">
        <v>25</v>
      </c>
      <c r="J78" s="1476">
        <f>472.5-10</f>
        <v>462.5</v>
      </c>
      <c r="K78" s="95"/>
      <c r="L78" s="58"/>
      <c r="M78" s="1717"/>
      <c r="N78" s="723"/>
      <c r="O78" s="584"/>
      <c r="P78" s="300"/>
    </row>
    <row r="79" spans="1:16" ht="15" customHeight="1" x14ac:dyDescent="0.2">
      <c r="A79" s="917"/>
      <c r="B79" s="920"/>
      <c r="C79" s="928"/>
      <c r="D79" s="918"/>
      <c r="E79" s="1714"/>
      <c r="F79" s="2055"/>
      <c r="G79" s="919"/>
      <c r="H79" s="2054"/>
      <c r="I79" s="692"/>
      <c r="J79" s="502"/>
      <c r="K79" s="95"/>
      <c r="L79" s="58"/>
      <c r="M79" s="921"/>
      <c r="N79" s="723"/>
      <c r="O79" s="584"/>
      <c r="P79" s="300"/>
    </row>
    <row r="80" spans="1:16" ht="16.5" customHeight="1" x14ac:dyDescent="0.2">
      <c r="A80" s="917"/>
      <c r="B80" s="920"/>
      <c r="C80" s="928"/>
      <c r="D80" s="918"/>
      <c r="E80" s="1714"/>
      <c r="F80" s="2055"/>
      <c r="G80" s="919"/>
      <c r="H80" s="2054"/>
      <c r="I80" s="503"/>
      <c r="J80" s="501"/>
      <c r="K80" s="143"/>
      <c r="L80" s="929"/>
      <c r="M80" s="927"/>
      <c r="N80" s="923"/>
      <c r="O80" s="584"/>
      <c r="P80" s="300"/>
    </row>
    <row r="81" spans="1:16" ht="15.75" customHeight="1" x14ac:dyDescent="0.2">
      <c r="A81" s="917"/>
      <c r="B81" s="920"/>
      <c r="C81" s="928"/>
      <c r="D81" s="925" t="s">
        <v>7</v>
      </c>
      <c r="E81" s="1713" t="s">
        <v>201</v>
      </c>
      <c r="F81" s="103" t="s">
        <v>47</v>
      </c>
      <c r="G81" s="919"/>
      <c r="H81" s="1992"/>
      <c r="I81" s="79" t="s">
        <v>25</v>
      </c>
      <c r="J81" s="58">
        <v>43.3</v>
      </c>
      <c r="K81" s="95"/>
      <c r="L81" s="58">
        <v>160.6</v>
      </c>
      <c r="M81" s="1036" t="s">
        <v>205</v>
      </c>
      <c r="N81" s="691">
        <v>10</v>
      </c>
      <c r="O81" s="677">
        <v>40</v>
      </c>
      <c r="P81" s="688">
        <v>80</v>
      </c>
    </row>
    <row r="82" spans="1:16" ht="19.5" customHeight="1" x14ac:dyDescent="0.2">
      <c r="A82" s="917"/>
      <c r="B82" s="920"/>
      <c r="C82" s="928"/>
      <c r="D82" s="926"/>
      <c r="E82" s="1759"/>
      <c r="F82" s="504"/>
      <c r="G82" s="919"/>
      <c r="H82" s="2054"/>
      <c r="I82" s="1010" t="s">
        <v>99</v>
      </c>
      <c r="J82" s="1010"/>
      <c r="K82" s="143">
        <v>800</v>
      </c>
      <c r="L82" s="1010">
        <v>800</v>
      </c>
      <c r="M82" s="391"/>
      <c r="N82" s="923"/>
      <c r="O82" s="580"/>
      <c r="P82" s="28"/>
    </row>
    <row r="83" spans="1:16" ht="15" customHeight="1" x14ac:dyDescent="0.2">
      <c r="A83" s="258"/>
      <c r="B83" s="272"/>
      <c r="C83" s="332"/>
      <c r="D83" s="652" t="s">
        <v>28</v>
      </c>
      <c r="E83" s="1713" t="s">
        <v>130</v>
      </c>
      <c r="F83" s="1734" t="s">
        <v>309</v>
      </c>
      <c r="G83" s="731"/>
      <c r="H83" s="1992"/>
      <c r="I83" s="83"/>
      <c r="J83" s="1009"/>
      <c r="K83" s="117"/>
      <c r="L83" s="1009"/>
      <c r="M83" s="1235" t="s">
        <v>46</v>
      </c>
      <c r="N83" s="1236">
        <v>1</v>
      </c>
      <c r="O83" s="579"/>
      <c r="P83" s="1243"/>
    </row>
    <row r="84" spans="1:16" ht="21" customHeight="1" x14ac:dyDescent="0.2">
      <c r="A84" s="258"/>
      <c r="B84" s="272"/>
      <c r="C84" s="341"/>
      <c r="D84" s="652"/>
      <c r="E84" s="1714"/>
      <c r="F84" s="1777"/>
      <c r="G84" s="731"/>
      <c r="H84" s="1992"/>
      <c r="I84" s="79" t="s">
        <v>60</v>
      </c>
      <c r="J84" s="58">
        <v>18.2</v>
      </c>
      <c r="K84" s="95"/>
      <c r="L84" s="58"/>
      <c r="M84" s="1240"/>
      <c r="N84" s="1239"/>
      <c r="O84" s="584"/>
      <c r="P84" s="300"/>
    </row>
    <row r="85" spans="1:16" ht="18.75" customHeight="1" x14ac:dyDescent="0.2">
      <c r="A85" s="258"/>
      <c r="B85" s="272"/>
      <c r="C85" s="341"/>
      <c r="D85" s="936"/>
      <c r="E85" s="1753"/>
      <c r="F85" s="1777"/>
      <c r="G85" s="731"/>
      <c r="H85" s="1992"/>
      <c r="I85" s="82"/>
      <c r="J85" s="929"/>
      <c r="K85" s="143"/>
      <c r="L85" s="899"/>
      <c r="M85" s="1241" t="s">
        <v>318</v>
      </c>
      <c r="N85" s="19"/>
      <c r="O85" s="283"/>
      <c r="P85" s="20"/>
    </row>
    <row r="86" spans="1:16" ht="18.75" customHeight="1" x14ac:dyDescent="0.2">
      <c r="A86" s="655"/>
      <c r="B86" s="657"/>
      <c r="C86" s="663"/>
      <c r="D86" s="652" t="s">
        <v>33</v>
      </c>
      <c r="E86" s="1713" t="s">
        <v>222</v>
      </c>
      <c r="F86" s="103" t="s">
        <v>47</v>
      </c>
      <c r="G86" s="731"/>
      <c r="H86" s="738"/>
      <c r="I86" s="79" t="s">
        <v>25</v>
      </c>
      <c r="J86" s="58"/>
      <c r="K86" s="95">
        <v>82</v>
      </c>
      <c r="L86" s="58"/>
      <c r="M86" s="737" t="s">
        <v>46</v>
      </c>
      <c r="N86" s="505"/>
      <c r="O86" s="1756">
        <v>1</v>
      </c>
      <c r="P86" s="300"/>
    </row>
    <row r="87" spans="1:16" ht="12.75" customHeight="1" x14ac:dyDescent="0.2">
      <c r="A87" s="655"/>
      <c r="B87" s="657"/>
      <c r="C87" s="663"/>
      <c r="D87" s="652"/>
      <c r="E87" s="1755"/>
      <c r="F87" s="504"/>
      <c r="G87" s="731"/>
      <c r="H87" s="738"/>
      <c r="I87" s="82"/>
      <c r="J87" s="57"/>
      <c r="K87" s="143"/>
      <c r="L87" s="57"/>
      <c r="M87" s="743"/>
      <c r="N87" s="723"/>
      <c r="O87" s="2035"/>
      <c r="P87" s="28"/>
    </row>
    <row r="88" spans="1:16" ht="16.5" customHeight="1" thickBot="1" x14ac:dyDescent="0.25">
      <c r="A88" s="64"/>
      <c r="B88" s="267"/>
      <c r="C88" s="168"/>
      <c r="D88" s="250"/>
      <c r="E88" s="330"/>
      <c r="F88" s="331"/>
      <c r="G88" s="250"/>
      <c r="H88" s="196"/>
      <c r="I88" s="189" t="s">
        <v>6</v>
      </c>
      <c r="J88" s="129">
        <f>SUM(J77:J87)</f>
        <v>1179.7</v>
      </c>
      <c r="K88" s="129">
        <f>SUM(K77:K87)</f>
        <v>1082</v>
      </c>
      <c r="L88" s="129">
        <f>SUM(L77:L87)</f>
        <v>960.6</v>
      </c>
      <c r="M88" s="334"/>
      <c r="N88" s="335"/>
      <c r="O88" s="335"/>
      <c r="P88" s="336"/>
    </row>
    <row r="89" spans="1:16" ht="29.25" customHeight="1" x14ac:dyDescent="0.2">
      <c r="A89" s="258" t="s">
        <v>5</v>
      </c>
      <c r="B89" s="272" t="s">
        <v>5</v>
      </c>
      <c r="C89" s="332" t="s">
        <v>35</v>
      </c>
      <c r="D89" s="327"/>
      <c r="E89" s="192" t="s">
        <v>72</v>
      </c>
      <c r="F89" s="365" t="s">
        <v>89</v>
      </c>
      <c r="G89" s="239" t="s">
        <v>43</v>
      </c>
      <c r="H89" s="237"/>
      <c r="I89" s="65"/>
      <c r="J89" s="72"/>
      <c r="K89" s="349"/>
      <c r="L89" s="72"/>
      <c r="M89" s="59"/>
      <c r="N89" s="50"/>
      <c r="O89" s="153"/>
      <c r="P89" s="281"/>
    </row>
    <row r="90" spans="1:16" ht="14.25" customHeight="1" x14ac:dyDescent="0.2">
      <c r="A90" s="222"/>
      <c r="B90" s="243"/>
      <c r="C90" s="332"/>
      <c r="D90" s="339" t="s">
        <v>5</v>
      </c>
      <c r="E90" s="1713" t="s">
        <v>128</v>
      </c>
      <c r="F90" s="1734" t="s">
        <v>309</v>
      </c>
      <c r="G90" s="236"/>
      <c r="H90" s="1994" t="s">
        <v>280</v>
      </c>
      <c r="I90" s="1007" t="s">
        <v>60</v>
      </c>
      <c r="J90" s="1009">
        <v>0</v>
      </c>
      <c r="K90" s="117"/>
      <c r="L90" s="1009"/>
      <c r="M90" s="1287" t="s">
        <v>46</v>
      </c>
      <c r="N90" s="415">
        <v>1</v>
      </c>
      <c r="O90" s="658"/>
      <c r="P90" s="673"/>
    </row>
    <row r="91" spans="1:16" ht="13.5" customHeight="1" x14ac:dyDescent="0.2">
      <c r="A91" s="727"/>
      <c r="B91" s="729"/>
      <c r="C91" s="730"/>
      <c r="D91" s="339"/>
      <c r="E91" s="1714"/>
      <c r="F91" s="1777"/>
      <c r="G91" s="728"/>
      <c r="H91" s="1992"/>
      <c r="I91" s="60" t="s">
        <v>99</v>
      </c>
      <c r="J91" s="58">
        <v>243.1</v>
      </c>
      <c r="K91" s="95"/>
      <c r="L91" s="58">
        <v>1200</v>
      </c>
      <c r="M91" s="1778" t="s">
        <v>234</v>
      </c>
      <c r="N91" s="415"/>
      <c r="O91" s="979">
        <v>60</v>
      </c>
      <c r="P91" s="968">
        <v>90</v>
      </c>
    </row>
    <row r="92" spans="1:16" ht="12.75" customHeight="1" x14ac:dyDescent="0.2">
      <c r="A92" s="727"/>
      <c r="B92" s="729"/>
      <c r="C92" s="730"/>
      <c r="D92" s="339"/>
      <c r="E92" s="1714"/>
      <c r="F92" s="1777"/>
      <c r="G92" s="728"/>
      <c r="H92" s="1992"/>
      <c r="I92" s="60" t="s">
        <v>243</v>
      </c>
      <c r="J92" s="58"/>
      <c r="K92" s="95">
        <v>5000</v>
      </c>
      <c r="L92" s="58">
        <v>8609.1</v>
      </c>
      <c r="M92" s="1779"/>
      <c r="N92" s="415"/>
      <c r="O92" s="979"/>
      <c r="P92" s="968"/>
    </row>
    <row r="93" spans="1:16" ht="12.75" customHeight="1" x14ac:dyDescent="0.2">
      <c r="A93" s="983"/>
      <c r="B93" s="985"/>
      <c r="C93" s="987"/>
      <c r="D93" s="339"/>
      <c r="E93" s="1714"/>
      <c r="F93" s="482"/>
      <c r="G93" s="984"/>
      <c r="H93" s="2014"/>
      <c r="I93" s="1008" t="s">
        <v>304</v>
      </c>
      <c r="J93" s="1010"/>
      <c r="K93" s="143">
        <v>10000</v>
      </c>
      <c r="L93" s="1010"/>
      <c r="M93" s="1415"/>
      <c r="N93" s="415"/>
      <c r="O93" s="989"/>
      <c r="P93" s="986"/>
    </row>
    <row r="94" spans="1:16" ht="15" customHeight="1" thickBot="1" x14ac:dyDescent="0.25">
      <c r="A94" s="226"/>
      <c r="B94" s="245"/>
      <c r="C94" s="328"/>
      <c r="D94" s="250"/>
      <c r="E94" s="330"/>
      <c r="F94" s="331"/>
      <c r="G94" s="250"/>
      <c r="H94" s="318"/>
      <c r="I94" s="129" t="s">
        <v>6</v>
      </c>
      <c r="J94" s="318">
        <f>SUM(J90:J93)</f>
        <v>243.1</v>
      </c>
      <c r="K94" s="318">
        <f>SUM(K90:K93)</f>
        <v>15000</v>
      </c>
      <c r="L94" s="318">
        <f>SUM(L90:L93)</f>
        <v>9809.1</v>
      </c>
      <c r="M94" s="345"/>
      <c r="N94" s="335"/>
      <c r="O94" s="335"/>
      <c r="P94" s="336"/>
    </row>
    <row r="95" spans="1:16" ht="27" customHeight="1" x14ac:dyDescent="0.2">
      <c r="A95" s="222" t="s">
        <v>5</v>
      </c>
      <c r="B95" s="243" t="s">
        <v>5</v>
      </c>
      <c r="C95" s="338" t="s">
        <v>36</v>
      </c>
      <c r="D95" s="327"/>
      <c r="E95" s="104" t="s">
        <v>206</v>
      </c>
      <c r="F95" s="121"/>
      <c r="G95" s="240" t="s">
        <v>43</v>
      </c>
      <c r="H95" s="1991" t="s">
        <v>70</v>
      </c>
      <c r="I95" s="683"/>
      <c r="J95" s="353"/>
      <c r="K95" s="119"/>
      <c r="L95" s="53"/>
      <c r="M95" s="66"/>
      <c r="N95" s="25"/>
      <c r="O95" s="588"/>
      <c r="P95" s="562"/>
    </row>
    <row r="96" spans="1:16" ht="13.5" customHeight="1" x14ac:dyDescent="0.2">
      <c r="A96" s="222"/>
      <c r="B96" s="243"/>
      <c r="C96" s="337"/>
      <c r="D96" s="431" t="s">
        <v>5</v>
      </c>
      <c r="E96" s="382" t="s">
        <v>84</v>
      </c>
      <c r="F96" s="438"/>
      <c r="G96" s="235"/>
      <c r="H96" s="2054"/>
      <c r="I96" s="83"/>
      <c r="J96" s="52"/>
      <c r="K96" s="117"/>
      <c r="L96" s="52"/>
      <c r="M96" s="1780" t="s">
        <v>133</v>
      </c>
      <c r="N96" s="401">
        <v>100</v>
      </c>
      <c r="O96" s="581">
        <v>100</v>
      </c>
      <c r="P96" s="687">
        <v>100</v>
      </c>
    </row>
    <row r="97" spans="1:17" ht="16.5" customHeight="1" x14ac:dyDescent="0.2">
      <c r="A97" s="429"/>
      <c r="B97" s="430"/>
      <c r="C97" s="337"/>
      <c r="D97" s="436"/>
      <c r="E97" s="138"/>
      <c r="F97" s="439"/>
      <c r="G97" s="433"/>
      <c r="H97" s="434"/>
      <c r="I97" s="82" t="s">
        <v>25</v>
      </c>
      <c r="J97" s="57">
        <v>3</v>
      </c>
      <c r="K97" s="143">
        <v>3</v>
      </c>
      <c r="L97" s="57">
        <v>3</v>
      </c>
      <c r="M97" s="1781"/>
      <c r="N97" s="412"/>
      <c r="O97" s="415"/>
      <c r="P97" s="534"/>
    </row>
    <row r="98" spans="1:17" s="8" customFormat="1" ht="54.75" customHeight="1" x14ac:dyDescent="0.2">
      <c r="A98" s="222"/>
      <c r="B98" s="243"/>
      <c r="C98" s="332"/>
      <c r="D98" s="324" t="s">
        <v>7</v>
      </c>
      <c r="E98" s="446" t="s">
        <v>77</v>
      </c>
      <c r="F98" s="230"/>
      <c r="G98" s="261"/>
      <c r="H98" s="284"/>
      <c r="I98" s="684" t="s">
        <v>25</v>
      </c>
      <c r="J98" s="312">
        <v>25</v>
      </c>
      <c r="K98" s="311">
        <v>25</v>
      </c>
      <c r="L98" s="312">
        <v>25</v>
      </c>
      <c r="M98" s="1782"/>
      <c r="N98" s="402"/>
      <c r="O98" s="585"/>
      <c r="P98" s="604"/>
    </row>
    <row r="99" spans="1:17" ht="15" customHeight="1" thickBot="1" x14ac:dyDescent="0.25">
      <c r="A99" s="265"/>
      <c r="B99" s="245"/>
      <c r="C99" s="328"/>
      <c r="D99" s="250"/>
      <c r="E99" s="330"/>
      <c r="F99" s="331"/>
      <c r="G99" s="250"/>
      <c r="H99" s="196"/>
      <c r="I99" s="165" t="s">
        <v>6</v>
      </c>
      <c r="J99" s="129">
        <f t="shared" ref="J99:L99" si="0">SUM(J96:J98)</f>
        <v>28</v>
      </c>
      <c r="K99" s="129">
        <f>SUM(K96:K98)</f>
        <v>28</v>
      </c>
      <c r="L99" s="129">
        <f t="shared" si="0"/>
        <v>28</v>
      </c>
      <c r="M99" s="334"/>
      <c r="N99" s="335"/>
      <c r="O99" s="335"/>
      <c r="P99" s="336"/>
    </row>
    <row r="100" spans="1:17" ht="14.25" customHeight="1" thickBot="1" x14ac:dyDescent="0.25">
      <c r="A100" s="74" t="s">
        <v>5</v>
      </c>
      <c r="B100" s="247" t="s">
        <v>5</v>
      </c>
      <c r="C100" s="1766" t="s">
        <v>8</v>
      </c>
      <c r="D100" s="1767"/>
      <c r="E100" s="1767"/>
      <c r="F100" s="1767"/>
      <c r="G100" s="1767"/>
      <c r="H100" s="1767"/>
      <c r="I100" s="1768"/>
      <c r="J100" s="132">
        <f>J99+J94+J88+J75+J67+J51+J37</f>
        <v>9639.6</v>
      </c>
      <c r="K100" s="132">
        <f>K99+K94+K88+K75+K67+K51+K37</f>
        <v>20983.599999999999</v>
      </c>
      <c r="L100" s="132">
        <f>L99+L94+L88+L75+L67+L51+L37</f>
        <v>15679.6</v>
      </c>
      <c r="M100" s="858"/>
      <c r="N100" s="145"/>
      <c r="O100" s="666"/>
      <c r="P100" s="653"/>
    </row>
    <row r="101" spans="1:17" ht="14.25" customHeight="1" thickBot="1" x14ac:dyDescent="0.25">
      <c r="A101" s="74" t="s">
        <v>5</v>
      </c>
      <c r="B101" s="247" t="s">
        <v>7</v>
      </c>
      <c r="C101" s="1769" t="s">
        <v>32</v>
      </c>
      <c r="D101" s="1769"/>
      <c r="E101" s="1769"/>
      <c r="F101" s="1769"/>
      <c r="G101" s="1769"/>
      <c r="H101" s="1769"/>
      <c r="I101" s="1769"/>
      <c r="J101" s="1770"/>
      <c r="K101" s="1770"/>
      <c r="L101" s="1770"/>
      <c r="M101" s="1769"/>
      <c r="N101" s="1771"/>
      <c r="O101" s="1771"/>
      <c r="P101" s="1772"/>
    </row>
    <row r="102" spans="1:17" ht="30" customHeight="1" x14ac:dyDescent="0.2">
      <c r="A102" s="518" t="s">
        <v>5</v>
      </c>
      <c r="B102" s="246" t="s">
        <v>7</v>
      </c>
      <c r="C102" s="333" t="s">
        <v>5</v>
      </c>
      <c r="D102" s="173"/>
      <c r="E102" s="109" t="s">
        <v>56</v>
      </c>
      <c r="F102" s="105" t="s">
        <v>112</v>
      </c>
      <c r="G102" s="392"/>
      <c r="H102" s="393"/>
      <c r="I102" s="76"/>
      <c r="J102" s="1426"/>
      <c r="K102" s="140"/>
      <c r="L102" s="140"/>
      <c r="M102" s="77"/>
      <c r="N102" s="164"/>
      <c r="O102" s="678"/>
      <c r="P102" s="696"/>
    </row>
    <row r="103" spans="1:17" ht="14.25" customHeight="1" x14ac:dyDescent="0.2">
      <c r="A103" s="508"/>
      <c r="B103" s="526"/>
      <c r="C103" s="509"/>
      <c r="D103" s="506" t="s">
        <v>5</v>
      </c>
      <c r="E103" s="507" t="s">
        <v>52</v>
      </c>
      <c r="F103" s="528"/>
      <c r="G103" s="511">
        <v>6</v>
      </c>
      <c r="H103" s="1992" t="s">
        <v>73</v>
      </c>
      <c r="I103" s="78"/>
      <c r="J103" s="1427"/>
      <c r="K103" s="163"/>
      <c r="L103" s="163"/>
      <c r="M103" s="285"/>
      <c r="N103" s="156"/>
      <c r="O103" s="373"/>
      <c r="P103" s="288"/>
    </row>
    <row r="104" spans="1:17" ht="15.75" customHeight="1" x14ac:dyDescent="0.2">
      <c r="A104" s="508"/>
      <c r="B104" s="526"/>
      <c r="C104" s="509"/>
      <c r="D104" s="506"/>
      <c r="E104" s="1773" t="s">
        <v>78</v>
      </c>
      <c r="F104" s="528"/>
      <c r="G104" s="506"/>
      <c r="H104" s="2006"/>
      <c r="I104" s="79" t="s">
        <v>25</v>
      </c>
      <c r="J104" s="1428">
        <f>2865.4-400</f>
        <v>2465.4</v>
      </c>
      <c r="K104" s="123">
        <f>4978-50</f>
        <v>4928</v>
      </c>
      <c r="L104" s="58">
        <f>5055.7-127.7</f>
        <v>4928</v>
      </c>
      <c r="M104" s="1172" t="s">
        <v>41</v>
      </c>
      <c r="N104" s="206">
        <v>6</v>
      </c>
      <c r="O104" s="206">
        <v>6</v>
      </c>
      <c r="P104" s="37">
        <v>6</v>
      </c>
    </row>
    <row r="105" spans="1:17" ht="12" customHeight="1" x14ac:dyDescent="0.2">
      <c r="A105" s="508"/>
      <c r="B105" s="526"/>
      <c r="C105" s="509"/>
      <c r="D105" s="506"/>
      <c r="E105" s="1773"/>
      <c r="F105" s="528"/>
      <c r="G105" s="506"/>
      <c r="H105" s="2006"/>
      <c r="I105" s="136" t="s">
        <v>60</v>
      </c>
      <c r="J105" s="1481">
        <v>2062.6</v>
      </c>
      <c r="K105" s="127"/>
      <c r="L105" s="63"/>
      <c r="M105" s="1418"/>
      <c r="N105" s="633"/>
      <c r="O105" s="292"/>
      <c r="P105" s="674"/>
    </row>
    <row r="106" spans="1:17" ht="15" customHeight="1" x14ac:dyDescent="0.2">
      <c r="A106" s="1504"/>
      <c r="B106" s="1509"/>
      <c r="C106" s="1510"/>
      <c r="D106" s="1505"/>
      <c r="E106" s="1773"/>
      <c r="F106" s="632"/>
      <c r="G106" s="1505"/>
      <c r="H106" s="2006"/>
      <c r="I106" s="79"/>
      <c r="J106" s="1428"/>
      <c r="K106" s="123"/>
      <c r="L106" s="123"/>
      <c r="M106" s="2056" t="s">
        <v>361</v>
      </c>
      <c r="N106" s="1534">
        <v>2</v>
      </c>
      <c r="O106" s="1535">
        <v>2</v>
      </c>
      <c r="P106" s="1536">
        <v>2</v>
      </c>
      <c r="Q106" s="1" t="s">
        <v>360</v>
      </c>
    </row>
    <row r="107" spans="1:17" ht="14.25" customHeight="1" x14ac:dyDescent="0.2">
      <c r="A107" s="508"/>
      <c r="B107" s="526"/>
      <c r="C107" s="509"/>
      <c r="D107" s="506"/>
      <c r="E107" s="1773"/>
      <c r="F107" s="525"/>
      <c r="G107" s="506"/>
      <c r="H107" s="2006"/>
      <c r="I107" s="136" t="s">
        <v>75</v>
      </c>
      <c r="J107" s="1532">
        <v>75.2</v>
      </c>
      <c r="K107" s="127"/>
      <c r="L107" s="127"/>
      <c r="M107" s="2057"/>
      <c r="N107" s="633"/>
      <c r="O107" s="292"/>
      <c r="P107" s="674"/>
    </row>
    <row r="108" spans="1:17" ht="19.5" customHeight="1" x14ac:dyDescent="0.2">
      <c r="A108" s="508"/>
      <c r="B108" s="526"/>
      <c r="C108" s="509"/>
      <c r="D108" s="506"/>
      <c r="E108" s="203" t="s">
        <v>79</v>
      </c>
      <c r="F108" s="525"/>
      <c r="G108" s="506"/>
      <c r="H108" s="530"/>
      <c r="I108" s="79" t="s">
        <v>25</v>
      </c>
      <c r="J108" s="58">
        <v>10.5</v>
      </c>
      <c r="K108" s="123">
        <v>10.6</v>
      </c>
      <c r="L108" s="123">
        <v>10.8</v>
      </c>
      <c r="M108" s="81" t="s">
        <v>138</v>
      </c>
      <c r="N108" s="31">
        <v>4</v>
      </c>
      <c r="O108" s="586">
        <v>4</v>
      </c>
      <c r="P108" s="32">
        <v>4</v>
      </c>
    </row>
    <row r="109" spans="1:17" ht="26.25" customHeight="1" x14ac:dyDescent="0.2">
      <c r="A109" s="508"/>
      <c r="B109" s="526"/>
      <c r="C109" s="509"/>
      <c r="D109" s="506"/>
      <c r="E109" s="269" t="s">
        <v>80</v>
      </c>
      <c r="F109" s="525"/>
      <c r="G109" s="506"/>
      <c r="H109" s="530"/>
      <c r="I109" s="80" t="s">
        <v>25</v>
      </c>
      <c r="J109" s="55">
        <v>56.3</v>
      </c>
      <c r="K109" s="125">
        <v>56.9</v>
      </c>
      <c r="L109" s="125">
        <v>58.1</v>
      </c>
      <c r="M109" s="1174" t="s">
        <v>139</v>
      </c>
      <c r="N109" s="175">
        <v>24.8</v>
      </c>
      <c r="O109" s="394">
        <v>24.8</v>
      </c>
      <c r="P109" s="697">
        <v>24.8</v>
      </c>
    </row>
    <row r="110" spans="1:17" ht="15.75" customHeight="1" x14ac:dyDescent="0.2">
      <c r="A110" s="508"/>
      <c r="B110" s="526"/>
      <c r="C110" s="509"/>
      <c r="D110" s="511"/>
      <c r="E110" s="1774" t="s">
        <v>129</v>
      </c>
      <c r="F110" s="525"/>
      <c r="G110" s="506"/>
      <c r="H110" s="533"/>
      <c r="I110" s="79" t="s">
        <v>68</v>
      </c>
      <c r="J110" s="58">
        <v>10</v>
      </c>
      <c r="K110" s="123">
        <v>107</v>
      </c>
      <c r="L110" s="123">
        <v>107</v>
      </c>
      <c r="M110" s="1702" t="s">
        <v>310</v>
      </c>
      <c r="N110" s="1533">
        <v>6</v>
      </c>
      <c r="O110" s="473">
        <v>3</v>
      </c>
      <c r="P110" s="188">
        <v>3</v>
      </c>
    </row>
    <row r="111" spans="1:17" ht="14.25" customHeight="1" x14ac:dyDescent="0.2">
      <c r="A111" s="508"/>
      <c r="B111" s="526"/>
      <c r="C111" s="509"/>
      <c r="D111" s="511"/>
      <c r="E111" s="1873"/>
      <c r="F111" s="528"/>
      <c r="G111" s="506"/>
      <c r="H111" s="533"/>
      <c r="I111" s="79" t="s">
        <v>75</v>
      </c>
      <c r="J111" s="58">
        <v>97</v>
      </c>
      <c r="K111" s="79"/>
      <c r="L111" s="79"/>
      <c r="M111" s="1741"/>
      <c r="N111" s="1173"/>
      <c r="O111" s="1173"/>
      <c r="P111" s="1171"/>
    </row>
    <row r="112" spans="1:17" ht="17.25" customHeight="1" x14ac:dyDescent="0.2">
      <c r="A112" s="508"/>
      <c r="B112" s="526"/>
      <c r="C112" s="509"/>
      <c r="D112" s="512"/>
      <c r="E112" s="1811"/>
      <c r="F112" s="528"/>
      <c r="G112" s="506"/>
      <c r="H112" s="533"/>
      <c r="I112" s="79" t="s">
        <v>75</v>
      </c>
      <c r="J112" s="458">
        <v>63.9</v>
      </c>
      <c r="K112" s="79"/>
      <c r="L112" s="79"/>
      <c r="M112" s="1776"/>
      <c r="N112" s="44"/>
      <c r="O112" s="1194"/>
      <c r="P112" s="1193"/>
    </row>
    <row r="113" spans="1:18" ht="14.25" customHeight="1" x14ac:dyDescent="0.2">
      <c r="A113" s="508"/>
      <c r="B113" s="526"/>
      <c r="C113" s="509"/>
      <c r="D113" s="511" t="s">
        <v>7</v>
      </c>
      <c r="E113" s="256" t="s">
        <v>155</v>
      </c>
      <c r="F113" s="528"/>
      <c r="G113" s="506"/>
      <c r="H113" s="533"/>
      <c r="I113" s="141"/>
      <c r="J113" s="1161"/>
      <c r="K113" s="135"/>
      <c r="L113" s="135"/>
      <c r="M113" s="1172"/>
      <c r="N113" s="181"/>
      <c r="O113" s="157"/>
      <c r="P113" s="288"/>
    </row>
    <row r="114" spans="1:18" ht="52.5" customHeight="1" x14ac:dyDescent="0.2">
      <c r="A114" s="508"/>
      <c r="B114" s="526"/>
      <c r="C114" s="509"/>
      <c r="D114" s="511"/>
      <c r="E114" s="257" t="s">
        <v>156</v>
      </c>
      <c r="F114" s="528"/>
      <c r="G114" s="506"/>
      <c r="H114" s="533"/>
      <c r="I114" s="136" t="s">
        <v>25</v>
      </c>
      <c r="J114" s="63">
        <v>400</v>
      </c>
      <c r="K114" s="127"/>
      <c r="L114" s="127"/>
      <c r="M114" s="41" t="s">
        <v>152</v>
      </c>
      <c r="N114" s="290">
        <v>21</v>
      </c>
      <c r="O114" s="319">
        <v>21</v>
      </c>
      <c r="P114" s="674">
        <v>21</v>
      </c>
      <c r="Q114" s="634"/>
      <c r="R114" s="634"/>
    </row>
    <row r="115" spans="1:18" ht="22.5" customHeight="1" x14ac:dyDescent="0.2">
      <c r="A115" s="508"/>
      <c r="B115" s="526"/>
      <c r="C115" s="509"/>
      <c r="D115" s="511"/>
      <c r="E115" s="1785" t="s">
        <v>157</v>
      </c>
      <c r="F115" s="528"/>
      <c r="G115" s="506"/>
      <c r="H115" s="533"/>
      <c r="I115" s="79" t="s">
        <v>25</v>
      </c>
      <c r="J115" s="58"/>
      <c r="K115" s="123"/>
      <c r="L115" s="123">
        <v>99</v>
      </c>
      <c r="M115" s="1721" t="s">
        <v>207</v>
      </c>
      <c r="N115" s="289"/>
      <c r="O115" s="1194"/>
      <c r="P115" s="1195">
        <v>17</v>
      </c>
    </row>
    <row r="116" spans="1:18" ht="21" customHeight="1" x14ac:dyDescent="0.2">
      <c r="A116" s="508"/>
      <c r="B116" s="526"/>
      <c r="C116" s="509"/>
      <c r="D116" s="512"/>
      <c r="E116" s="1786"/>
      <c r="F116" s="528"/>
      <c r="G116" s="506"/>
      <c r="H116" s="533"/>
      <c r="I116" s="82"/>
      <c r="J116" s="1010"/>
      <c r="K116" s="124"/>
      <c r="L116" s="124"/>
      <c r="M116" s="1703"/>
      <c r="N116" s="287"/>
      <c r="O116" s="44"/>
      <c r="P116" s="20"/>
    </row>
    <row r="117" spans="1:18" ht="18" customHeight="1" x14ac:dyDescent="0.2">
      <c r="A117" s="1704"/>
      <c r="B117" s="1705"/>
      <c r="C117" s="2007"/>
      <c r="D117" s="1808" t="s">
        <v>28</v>
      </c>
      <c r="E117" s="1695" t="s">
        <v>42</v>
      </c>
      <c r="F117" s="1732"/>
      <c r="G117" s="1706"/>
      <c r="H117" s="513"/>
      <c r="I117" s="79" t="s">
        <v>25</v>
      </c>
      <c r="J117" s="58">
        <v>59.5</v>
      </c>
      <c r="K117" s="123">
        <v>59.5</v>
      </c>
      <c r="L117" s="123">
        <v>59.5</v>
      </c>
      <c r="M117" s="1787" t="s">
        <v>54</v>
      </c>
      <c r="N117" s="1789">
        <v>7</v>
      </c>
      <c r="O117" s="1791">
        <v>7</v>
      </c>
      <c r="P117" s="1793">
        <v>7</v>
      </c>
    </row>
    <row r="118" spans="1:18" ht="18" customHeight="1" x14ac:dyDescent="0.2">
      <c r="A118" s="1704"/>
      <c r="B118" s="1705"/>
      <c r="C118" s="2007"/>
      <c r="D118" s="1808"/>
      <c r="E118" s="1720"/>
      <c r="F118" s="1732"/>
      <c r="G118" s="1706"/>
      <c r="H118" s="513"/>
      <c r="I118" s="82" t="s">
        <v>60</v>
      </c>
      <c r="J118" s="1010"/>
      <c r="K118" s="124"/>
      <c r="L118" s="124"/>
      <c r="M118" s="1788"/>
      <c r="N118" s="1790"/>
      <c r="O118" s="1792"/>
      <c r="P118" s="1794"/>
    </row>
    <row r="119" spans="1:18" ht="18" customHeight="1" x14ac:dyDescent="0.2">
      <c r="A119" s="1704"/>
      <c r="B119" s="1729"/>
      <c r="C119" s="2007"/>
      <c r="D119" s="2008" t="s">
        <v>33</v>
      </c>
      <c r="E119" s="1795" t="s">
        <v>301</v>
      </c>
      <c r="F119" s="1797"/>
      <c r="G119" s="1681"/>
      <c r="H119" s="1992"/>
      <c r="I119" s="83"/>
      <c r="J119" s="1009"/>
      <c r="K119" s="122"/>
      <c r="L119" s="1009"/>
      <c r="M119" s="216" t="s">
        <v>175</v>
      </c>
      <c r="N119" s="293"/>
      <c r="O119" s="615"/>
      <c r="P119" s="294"/>
    </row>
    <row r="120" spans="1:18" ht="18.75" customHeight="1" x14ac:dyDescent="0.2">
      <c r="A120" s="1704"/>
      <c r="B120" s="1729"/>
      <c r="C120" s="2007"/>
      <c r="D120" s="1808"/>
      <c r="E120" s="1796"/>
      <c r="F120" s="1797"/>
      <c r="G120" s="1681"/>
      <c r="H120" s="1992"/>
      <c r="I120" s="79" t="s">
        <v>25</v>
      </c>
      <c r="J120" s="58">
        <v>40</v>
      </c>
      <c r="K120" s="123">
        <v>40</v>
      </c>
      <c r="L120" s="58">
        <v>40</v>
      </c>
      <c r="M120" s="81" t="s">
        <v>204</v>
      </c>
      <c r="N120" s="390">
        <v>1</v>
      </c>
      <c r="O120" s="400">
        <v>1</v>
      </c>
      <c r="P120" s="30">
        <v>1</v>
      </c>
    </row>
    <row r="121" spans="1:18" ht="25.5" customHeight="1" x14ac:dyDescent="0.2">
      <c r="A121" s="1704"/>
      <c r="B121" s="1729"/>
      <c r="C121" s="2007"/>
      <c r="D121" s="1808"/>
      <c r="E121" s="1796"/>
      <c r="F121" s="1797"/>
      <c r="G121" s="1681"/>
      <c r="H121" s="1992"/>
      <c r="I121" s="79"/>
      <c r="J121" s="58"/>
      <c r="K121" s="79"/>
      <c r="L121" s="58"/>
      <c r="M121" s="1237" t="s">
        <v>151</v>
      </c>
      <c r="N121" s="1023">
        <v>1</v>
      </c>
      <c r="O121" s="1024">
        <v>1</v>
      </c>
      <c r="P121" s="1025">
        <v>1</v>
      </c>
    </row>
    <row r="122" spans="1:18" ht="15" customHeight="1" x14ac:dyDescent="0.2">
      <c r="A122" s="1015"/>
      <c r="B122" s="1019"/>
      <c r="C122" s="1022"/>
      <c r="D122" s="1016"/>
      <c r="E122" s="1017"/>
      <c r="F122" s="1020"/>
      <c r="G122" s="1018"/>
      <c r="H122" s="1021"/>
      <c r="I122" s="128" t="s">
        <v>25</v>
      </c>
      <c r="J122" s="55">
        <v>4</v>
      </c>
      <c r="K122" s="174">
        <v>4</v>
      </c>
      <c r="L122" s="55"/>
      <c r="M122" s="81" t="s">
        <v>251</v>
      </c>
      <c r="N122" s="390">
        <v>1</v>
      </c>
      <c r="O122" s="400">
        <v>1</v>
      </c>
      <c r="P122" s="30"/>
    </row>
    <row r="123" spans="1:18" ht="15" customHeight="1" x14ac:dyDescent="0.2">
      <c r="A123" s="770"/>
      <c r="B123" s="775"/>
      <c r="C123" s="778"/>
      <c r="D123" s="771"/>
      <c r="E123" s="772"/>
      <c r="F123" s="632"/>
      <c r="G123" s="773"/>
      <c r="H123" s="777"/>
      <c r="I123" s="79" t="s">
        <v>25</v>
      </c>
      <c r="J123" s="58"/>
      <c r="K123" s="95">
        <v>55</v>
      </c>
      <c r="L123" s="58">
        <v>55</v>
      </c>
      <c r="M123" s="1240" t="s">
        <v>250</v>
      </c>
      <c r="N123" s="282">
        <v>1</v>
      </c>
      <c r="O123" s="1233">
        <v>1</v>
      </c>
      <c r="P123" s="1227">
        <v>1</v>
      </c>
    </row>
    <row r="124" spans="1:18" ht="15" customHeight="1" x14ac:dyDescent="0.2">
      <c r="A124" s="1225"/>
      <c r="B124" s="1230"/>
      <c r="C124" s="1234"/>
      <c r="D124" s="1226"/>
      <c r="E124" s="1224"/>
      <c r="F124" s="632"/>
      <c r="G124" s="1228"/>
      <c r="H124" s="1232"/>
      <c r="I124" s="136" t="s">
        <v>75</v>
      </c>
      <c r="J124" s="63">
        <v>55</v>
      </c>
      <c r="K124" s="118"/>
      <c r="L124" s="63"/>
      <c r="M124" s="1240"/>
      <c r="N124" s="399"/>
      <c r="O124" s="695"/>
      <c r="P124" s="1222"/>
    </row>
    <row r="125" spans="1:18" ht="27" customHeight="1" x14ac:dyDescent="0.2">
      <c r="A125" s="770"/>
      <c r="B125" s="775"/>
      <c r="C125" s="778"/>
      <c r="D125" s="771"/>
      <c r="E125" s="772"/>
      <c r="F125" s="776"/>
      <c r="G125" s="773"/>
      <c r="H125" s="777"/>
      <c r="I125" s="720"/>
      <c r="J125" s="71"/>
      <c r="K125" s="853"/>
      <c r="L125" s="71"/>
      <c r="M125" s="1237" t="s">
        <v>314</v>
      </c>
      <c r="N125" s="1000"/>
      <c r="O125" s="473"/>
      <c r="P125" s="188"/>
    </row>
    <row r="126" spans="1:18" ht="15" customHeight="1" x14ac:dyDescent="0.2">
      <c r="A126" s="770"/>
      <c r="B126" s="775"/>
      <c r="C126" s="778"/>
      <c r="D126" s="771"/>
      <c r="E126" s="772"/>
      <c r="F126" s="776"/>
      <c r="G126" s="773"/>
      <c r="H126" s="777"/>
      <c r="I126" s="136"/>
      <c r="J126" s="63"/>
      <c r="K126" s="118"/>
      <c r="L126" s="63"/>
      <c r="M126" s="1242" t="s">
        <v>313</v>
      </c>
      <c r="N126" s="1151"/>
      <c r="O126" s="1152"/>
      <c r="P126" s="22"/>
    </row>
    <row r="127" spans="1:18" ht="22.5" customHeight="1" x14ac:dyDescent="0.2">
      <c r="A127" s="1704"/>
      <c r="B127" s="1729"/>
      <c r="C127" s="2007"/>
      <c r="D127" s="2013" t="s">
        <v>34</v>
      </c>
      <c r="E127" s="1695" t="s">
        <v>127</v>
      </c>
      <c r="F127" s="1731" t="s">
        <v>308</v>
      </c>
      <c r="G127" s="1681"/>
      <c r="H127" s="513"/>
      <c r="I127" s="83" t="s">
        <v>68</v>
      </c>
      <c r="J127" s="1009">
        <v>188.7</v>
      </c>
      <c r="K127" s="117">
        <v>188.7</v>
      </c>
      <c r="L127" s="1009"/>
      <c r="M127" s="1238" t="s">
        <v>252</v>
      </c>
      <c r="N127" s="802">
        <v>205</v>
      </c>
      <c r="O127" s="616"/>
      <c r="P127" s="538"/>
    </row>
    <row r="128" spans="1:18" ht="26.25" customHeight="1" x14ac:dyDescent="0.2">
      <c r="A128" s="1704"/>
      <c r="B128" s="1729"/>
      <c r="C128" s="2007"/>
      <c r="D128" s="1923"/>
      <c r="E128" s="1720"/>
      <c r="F128" s="1733"/>
      <c r="G128" s="1681"/>
      <c r="H128" s="513"/>
      <c r="I128" s="82" t="s">
        <v>75</v>
      </c>
      <c r="J128" s="1010">
        <v>250</v>
      </c>
      <c r="K128" s="82"/>
      <c r="L128" s="1010"/>
      <c r="M128" s="1241" t="s">
        <v>253</v>
      </c>
      <c r="N128" s="1153">
        <f>65+18</f>
        <v>83</v>
      </c>
      <c r="O128" s="1154">
        <v>100</v>
      </c>
      <c r="P128" s="539"/>
    </row>
    <row r="129" spans="1:16" ht="19.5" customHeight="1" x14ac:dyDescent="0.2">
      <c r="A129" s="529"/>
      <c r="B129" s="526"/>
      <c r="C129" s="338"/>
      <c r="D129" s="511" t="s">
        <v>35</v>
      </c>
      <c r="E129" s="1796" t="s">
        <v>191</v>
      </c>
      <c r="F129" s="1063"/>
      <c r="G129" s="1043"/>
      <c r="H129" s="1992"/>
      <c r="I129" s="79" t="s">
        <v>68</v>
      </c>
      <c r="J129" s="58"/>
      <c r="K129" s="79"/>
      <c r="L129" s="58"/>
      <c r="M129" s="1170" t="s">
        <v>192</v>
      </c>
      <c r="N129" s="234">
        <v>1</v>
      </c>
      <c r="O129" s="399"/>
      <c r="P129" s="1169"/>
    </row>
    <row r="130" spans="1:16" ht="15" customHeight="1" x14ac:dyDescent="0.2">
      <c r="A130" s="529"/>
      <c r="B130" s="526"/>
      <c r="C130" s="338"/>
      <c r="D130" s="457"/>
      <c r="E130" s="1796"/>
      <c r="F130" s="107"/>
      <c r="G130" s="1088"/>
      <c r="H130" s="1999"/>
      <c r="I130" s="82" t="s">
        <v>75</v>
      </c>
      <c r="J130" s="1010">
        <v>3</v>
      </c>
      <c r="K130" s="124"/>
      <c r="L130" s="124"/>
      <c r="M130" s="193"/>
      <c r="N130" s="298"/>
      <c r="O130" s="282"/>
      <c r="P130" s="1171"/>
    </row>
    <row r="131" spans="1:16" ht="18" customHeight="1" thickBot="1" x14ac:dyDescent="0.25">
      <c r="A131" s="867"/>
      <c r="B131" s="872"/>
      <c r="C131" s="378"/>
      <c r="D131" s="885"/>
      <c r="E131" s="883"/>
      <c r="F131" s="897"/>
      <c r="G131" s="340"/>
      <c r="H131" s="621"/>
      <c r="I131" s="887" t="s">
        <v>6</v>
      </c>
      <c r="J131" s="886">
        <f>SUM(J103:J130)</f>
        <v>5841.1</v>
      </c>
      <c r="K131" s="887">
        <f>SUM(K103:K130)</f>
        <v>5449.7</v>
      </c>
      <c r="L131" s="887">
        <f>SUM(L103:L130)</f>
        <v>5357.4</v>
      </c>
      <c r="M131" s="345"/>
      <c r="N131" s="335"/>
      <c r="O131" s="335"/>
      <c r="P131" s="336"/>
    </row>
    <row r="132" spans="1:16" ht="27.75" customHeight="1" x14ac:dyDescent="0.2">
      <c r="A132" s="875" t="s">
        <v>5</v>
      </c>
      <c r="B132" s="876" t="s">
        <v>7</v>
      </c>
      <c r="C132" s="541" t="s">
        <v>7</v>
      </c>
      <c r="D132" s="870"/>
      <c r="E132" s="894" t="s">
        <v>272</v>
      </c>
      <c r="F132" s="884"/>
      <c r="G132" s="888"/>
      <c r="H132" s="393"/>
      <c r="I132" s="67"/>
      <c r="J132" s="87"/>
      <c r="K132" s="889"/>
      <c r="L132" s="61"/>
      <c r="M132" s="890"/>
      <c r="N132" s="891"/>
      <c r="O132" s="892"/>
      <c r="P132" s="893"/>
    </row>
    <row r="133" spans="1:16" ht="18" customHeight="1" x14ac:dyDescent="0.2">
      <c r="A133" s="878"/>
      <c r="B133" s="872"/>
      <c r="C133" s="338"/>
      <c r="D133" s="879" t="s">
        <v>5</v>
      </c>
      <c r="E133" s="1695" t="s">
        <v>120</v>
      </c>
      <c r="F133" s="1731" t="s">
        <v>229</v>
      </c>
      <c r="G133" s="868">
        <v>6</v>
      </c>
      <c r="H133" s="1994" t="s">
        <v>281</v>
      </c>
      <c r="I133" s="720" t="s">
        <v>68</v>
      </c>
      <c r="J133" s="71"/>
      <c r="K133" s="71"/>
      <c r="L133" s="71"/>
      <c r="M133" s="909" t="s">
        <v>254</v>
      </c>
      <c r="N133" s="908"/>
      <c r="O133" s="589"/>
      <c r="P133" s="910"/>
    </row>
    <row r="134" spans="1:16" ht="17.25" customHeight="1" x14ac:dyDescent="0.2">
      <c r="A134" s="907"/>
      <c r="B134" s="906"/>
      <c r="C134" s="338"/>
      <c r="D134" s="904"/>
      <c r="E134" s="1696"/>
      <c r="F134" s="1732"/>
      <c r="G134" s="905"/>
      <c r="H134" s="2006"/>
      <c r="I134" s="79" t="s">
        <v>68</v>
      </c>
      <c r="J134" s="58">
        <v>33.4</v>
      </c>
      <c r="K134" s="58">
        <v>50</v>
      </c>
      <c r="L134" s="58"/>
      <c r="M134" s="957" t="s">
        <v>194</v>
      </c>
      <c r="N134" s="980">
        <v>8</v>
      </c>
      <c r="O134" s="980">
        <v>5</v>
      </c>
      <c r="P134" s="968"/>
    </row>
    <row r="135" spans="1:16" ht="14.25" customHeight="1" x14ac:dyDescent="0.2">
      <c r="A135" s="878"/>
      <c r="B135" s="872"/>
      <c r="C135" s="338"/>
      <c r="D135" s="866"/>
      <c r="E135" s="1873"/>
      <c r="F135" s="1837"/>
      <c r="G135" s="871"/>
      <c r="H135" s="2031"/>
      <c r="I135" s="79" t="s">
        <v>75</v>
      </c>
      <c r="J135" s="58">
        <v>6.8</v>
      </c>
      <c r="K135" s="58"/>
      <c r="L135" s="58"/>
      <c r="M135" s="978"/>
      <c r="N135" s="633"/>
      <c r="O135" s="633"/>
      <c r="P135" s="674"/>
    </row>
    <row r="136" spans="1:16" ht="30" customHeight="1" x14ac:dyDescent="0.2">
      <c r="A136" s="907"/>
      <c r="B136" s="906"/>
      <c r="C136" s="338"/>
      <c r="D136" s="904"/>
      <c r="E136" s="803"/>
      <c r="F136" s="107"/>
      <c r="G136" s="973"/>
      <c r="H136" s="911" t="s">
        <v>193</v>
      </c>
      <c r="I136" s="703" t="s">
        <v>68</v>
      </c>
      <c r="J136" s="702">
        <v>48</v>
      </c>
      <c r="K136" s="702">
        <v>30</v>
      </c>
      <c r="L136" s="702"/>
      <c r="M136" s="193" t="s">
        <v>121</v>
      </c>
      <c r="N136" s="19">
        <v>8</v>
      </c>
      <c r="O136" s="283">
        <v>5</v>
      </c>
      <c r="P136" s="20"/>
    </row>
    <row r="137" spans="1:16" ht="16.5" customHeight="1" x14ac:dyDescent="0.2">
      <c r="A137" s="299"/>
      <c r="B137" s="877"/>
      <c r="C137" s="882"/>
      <c r="D137" s="879" t="s">
        <v>7</v>
      </c>
      <c r="E137" s="1695" t="s">
        <v>273</v>
      </c>
      <c r="F137" s="717" t="s">
        <v>47</v>
      </c>
      <c r="G137" s="871" t="s">
        <v>43</v>
      </c>
      <c r="H137" s="1994" t="s">
        <v>124</v>
      </c>
      <c r="I137" s="547" t="s">
        <v>68</v>
      </c>
      <c r="J137" s="58">
        <f>595.9-190</f>
        <v>405.9</v>
      </c>
      <c r="K137" s="95"/>
      <c r="L137" s="58"/>
      <c r="M137" s="978" t="s">
        <v>245</v>
      </c>
      <c r="N137" s="757" t="s">
        <v>244</v>
      </c>
      <c r="O137" s="600"/>
      <c r="P137" s="488"/>
    </row>
    <row r="138" spans="1:16" ht="15" customHeight="1" x14ac:dyDescent="0.2">
      <c r="A138" s="299"/>
      <c r="B138" s="877"/>
      <c r="C138" s="882"/>
      <c r="D138" s="866"/>
      <c r="E138" s="1873"/>
      <c r="F138" s="873"/>
      <c r="G138" s="871"/>
      <c r="H138" s="2006"/>
      <c r="I138" s="547" t="s">
        <v>68</v>
      </c>
      <c r="J138" s="58">
        <v>26.5</v>
      </c>
      <c r="K138" s="95"/>
      <c r="L138" s="58">
        <v>354.4</v>
      </c>
      <c r="M138" s="962" t="s">
        <v>208</v>
      </c>
      <c r="N138" s="467" t="s">
        <v>55</v>
      </c>
      <c r="O138" s="181"/>
      <c r="P138" s="314"/>
    </row>
    <row r="139" spans="1:16" ht="15.75" customHeight="1" x14ac:dyDescent="0.2">
      <c r="A139" s="299"/>
      <c r="B139" s="877"/>
      <c r="C139" s="882"/>
      <c r="D139" s="866"/>
      <c r="E139" s="1873"/>
      <c r="F139" s="873"/>
      <c r="G139" s="871"/>
      <c r="H139" s="2006"/>
      <c r="I139" s="547" t="s">
        <v>60</v>
      </c>
      <c r="J139" s="58">
        <v>0.4</v>
      </c>
      <c r="K139" s="95"/>
      <c r="L139" s="58"/>
      <c r="M139" s="610" t="s">
        <v>246</v>
      </c>
      <c r="N139" s="467"/>
      <c r="O139" s="181"/>
      <c r="P139" s="314" t="s">
        <v>183</v>
      </c>
    </row>
    <row r="140" spans="1:16" ht="12.75" customHeight="1" x14ac:dyDescent="0.2">
      <c r="A140" s="299"/>
      <c r="B140" s="877"/>
      <c r="C140" s="882"/>
      <c r="D140" s="866"/>
      <c r="E140" s="898"/>
      <c r="F140" s="873"/>
      <c r="G140" s="871"/>
      <c r="H140" s="2006"/>
      <c r="I140" s="1424"/>
      <c r="J140" s="63"/>
      <c r="K140" s="118"/>
      <c r="L140" s="63"/>
      <c r="M140" s="759"/>
      <c r="N140" s="757"/>
      <c r="O140" s="600"/>
      <c r="P140" s="488"/>
    </row>
    <row r="141" spans="1:16" ht="18.75" customHeight="1" x14ac:dyDescent="0.2">
      <c r="A141" s="299"/>
      <c r="B141" s="877"/>
      <c r="C141" s="882"/>
      <c r="D141" s="866"/>
      <c r="E141" s="1696" t="s">
        <v>275</v>
      </c>
      <c r="F141" s="873"/>
      <c r="G141" s="871"/>
      <c r="H141" s="2006"/>
      <c r="I141" s="547" t="s">
        <v>68</v>
      </c>
      <c r="J141" s="58">
        <v>30</v>
      </c>
      <c r="K141" s="95">
        <v>160</v>
      </c>
      <c r="L141" s="58"/>
      <c r="M141" s="957" t="s">
        <v>274</v>
      </c>
      <c r="N141" s="467"/>
      <c r="O141" s="181" t="s">
        <v>55</v>
      </c>
      <c r="P141" s="314"/>
    </row>
    <row r="142" spans="1:16" ht="19.5" customHeight="1" x14ac:dyDescent="0.2">
      <c r="A142" s="299"/>
      <c r="B142" s="877"/>
      <c r="C142" s="882"/>
      <c r="D142" s="866"/>
      <c r="E142" s="1811"/>
      <c r="F142" s="874"/>
      <c r="G142" s="881"/>
      <c r="H142" s="880"/>
      <c r="I142" s="1425"/>
      <c r="J142" s="69"/>
      <c r="K142" s="149"/>
      <c r="L142" s="69"/>
      <c r="M142" s="611"/>
      <c r="N142" s="468"/>
      <c r="O142" s="287"/>
      <c r="P142" s="411"/>
    </row>
    <row r="143" spans="1:16" ht="18" customHeight="1" thickBot="1" x14ac:dyDescent="0.25">
      <c r="A143" s="869"/>
      <c r="B143" s="245"/>
      <c r="C143" s="328"/>
      <c r="D143" s="168"/>
      <c r="E143" s="343"/>
      <c r="F143" s="344"/>
      <c r="G143" s="168"/>
      <c r="H143" s="318"/>
      <c r="I143" s="189" t="s">
        <v>6</v>
      </c>
      <c r="J143" s="129">
        <f>SUM(J133:J142)</f>
        <v>551</v>
      </c>
      <c r="K143" s="189">
        <f>SUM(K133:K142)</f>
        <v>240</v>
      </c>
      <c r="L143" s="189">
        <f>SUM(L133:L142)</f>
        <v>354.4</v>
      </c>
      <c r="M143" s="345"/>
      <c r="N143" s="895"/>
      <c r="O143" s="895"/>
      <c r="P143" s="896"/>
    </row>
    <row r="144" spans="1:16" ht="14.25" customHeight="1" x14ac:dyDescent="0.2">
      <c r="A144" s="1945" t="s">
        <v>5</v>
      </c>
      <c r="B144" s="1946" t="s">
        <v>7</v>
      </c>
      <c r="C144" s="1906" t="s">
        <v>28</v>
      </c>
      <c r="D144" s="2010"/>
      <c r="E144" s="1947" t="s">
        <v>119</v>
      </c>
      <c r="F144" s="716" t="s">
        <v>47</v>
      </c>
      <c r="G144" s="1906">
        <v>5</v>
      </c>
      <c r="H144" s="1991" t="s">
        <v>71</v>
      </c>
      <c r="I144" s="79" t="s">
        <v>60</v>
      </c>
      <c r="J144" s="58">
        <v>113</v>
      </c>
      <c r="K144" s="95"/>
      <c r="L144" s="169"/>
      <c r="M144" s="1948" t="s">
        <v>209</v>
      </c>
      <c r="N144" s="249"/>
      <c r="O144" s="679">
        <v>17</v>
      </c>
      <c r="P144" s="535"/>
    </row>
    <row r="145" spans="1:16" ht="14.25" customHeight="1" x14ac:dyDescent="0.2">
      <c r="A145" s="1804"/>
      <c r="B145" s="1806"/>
      <c r="C145" s="1808"/>
      <c r="D145" s="1706"/>
      <c r="E145" s="1696"/>
      <c r="F145" s="717" t="s">
        <v>230</v>
      </c>
      <c r="G145" s="1808"/>
      <c r="H145" s="1992"/>
      <c r="I145" s="79" t="s">
        <v>25</v>
      </c>
      <c r="J145" s="58"/>
      <c r="K145" s="95">
        <v>639.5</v>
      </c>
      <c r="L145" s="58"/>
      <c r="M145" s="1798"/>
      <c r="N145" s="930"/>
      <c r="O145" s="282"/>
      <c r="P145" s="924"/>
    </row>
    <row r="146" spans="1:16" ht="15" customHeight="1" x14ac:dyDescent="0.2">
      <c r="A146" s="1804"/>
      <c r="B146" s="1806"/>
      <c r="C146" s="1808"/>
      <c r="D146" s="1706"/>
      <c r="E146" s="1696"/>
      <c r="F146" s="717"/>
      <c r="G146" s="1808"/>
      <c r="H146" s="1992"/>
      <c r="I146" s="79" t="s">
        <v>223</v>
      </c>
      <c r="J146" s="58">
        <v>4264.5</v>
      </c>
      <c r="K146" s="95"/>
      <c r="L146" s="58"/>
      <c r="M146" s="1799"/>
      <c r="N146" s="248"/>
      <c r="O146" s="282"/>
      <c r="P146" s="659"/>
    </row>
    <row r="147" spans="1:16" ht="16.5" customHeight="1" thickBot="1" x14ac:dyDescent="0.25">
      <c r="A147" s="1805"/>
      <c r="B147" s="1807"/>
      <c r="C147" s="1809"/>
      <c r="D147" s="2011"/>
      <c r="E147" s="214"/>
      <c r="F147" s="718"/>
      <c r="G147" s="1809"/>
      <c r="H147" s="1993"/>
      <c r="I147" s="165" t="s">
        <v>6</v>
      </c>
      <c r="J147" s="85">
        <f>SUM(J144:J146)</f>
        <v>4377.5</v>
      </c>
      <c r="K147" s="250">
        <f>SUM(K144:K146)</f>
        <v>639.5</v>
      </c>
      <c r="L147" s="85">
        <f>SUM(L144:L146)</f>
        <v>0</v>
      </c>
      <c r="M147" s="698"/>
      <c r="N147" s="171"/>
      <c r="O147" s="587"/>
      <c r="P147" s="497"/>
    </row>
    <row r="148" spans="1:16" ht="14.25" customHeight="1" thickBot="1" x14ac:dyDescent="0.25">
      <c r="A148" s="86" t="s">
        <v>5</v>
      </c>
      <c r="B148" s="247" t="s">
        <v>7</v>
      </c>
      <c r="C148" s="1766" t="s">
        <v>8</v>
      </c>
      <c r="D148" s="1767"/>
      <c r="E148" s="1767"/>
      <c r="F148" s="1767"/>
      <c r="G148" s="1767"/>
      <c r="H148" s="1767"/>
      <c r="I148" s="1767"/>
      <c r="J148" s="132">
        <f>J147+J143+J131</f>
        <v>10769.6</v>
      </c>
      <c r="K148" s="132">
        <f t="shared" ref="K148:L148" si="1">K147+K143+K131</f>
        <v>6329.2</v>
      </c>
      <c r="L148" s="132">
        <f t="shared" si="1"/>
        <v>5711.8</v>
      </c>
      <c r="M148" s="1800"/>
      <c r="N148" s="1800"/>
      <c r="O148" s="1800"/>
      <c r="P148" s="1801"/>
    </row>
    <row r="149" spans="1:16" ht="18" customHeight="1" thickBot="1" x14ac:dyDescent="0.25">
      <c r="A149" s="74" t="s">
        <v>5</v>
      </c>
      <c r="B149" s="247" t="s">
        <v>28</v>
      </c>
      <c r="C149" s="1771" t="s">
        <v>110</v>
      </c>
      <c r="D149" s="1802"/>
      <c r="E149" s="1802"/>
      <c r="F149" s="1802"/>
      <c r="G149" s="1802"/>
      <c r="H149" s="1802"/>
      <c r="I149" s="1802"/>
      <c r="J149" s="1802"/>
      <c r="K149" s="1802"/>
      <c r="L149" s="1802"/>
      <c r="M149" s="1802"/>
      <c r="N149" s="1802"/>
      <c r="O149" s="1802"/>
      <c r="P149" s="1803"/>
    </row>
    <row r="150" spans="1:16" ht="27" customHeight="1" x14ac:dyDescent="0.2">
      <c r="A150" s="225" t="s">
        <v>5</v>
      </c>
      <c r="B150" s="246" t="s">
        <v>28</v>
      </c>
      <c r="C150" s="333" t="s">
        <v>5</v>
      </c>
      <c r="D150" s="326"/>
      <c r="E150" s="201" t="s">
        <v>107</v>
      </c>
      <c r="F150" s="106" t="s">
        <v>230</v>
      </c>
      <c r="G150" s="241"/>
      <c r="H150" s="212"/>
      <c r="I150" s="87"/>
      <c r="J150" s="126"/>
      <c r="K150" s="126"/>
      <c r="L150" s="126"/>
      <c r="M150" s="88"/>
      <c r="N150" s="172"/>
      <c r="O150" s="172"/>
      <c r="P150" s="296"/>
    </row>
    <row r="151" spans="1:16" ht="13.5" customHeight="1" x14ac:dyDescent="0.2">
      <c r="A151" s="222"/>
      <c r="B151" s="243"/>
      <c r="C151" s="332"/>
      <c r="D151" s="271" t="s">
        <v>5</v>
      </c>
      <c r="E151" s="1707" t="s">
        <v>105</v>
      </c>
      <c r="F151" s="1817" t="s">
        <v>76</v>
      </c>
      <c r="G151" s="369" t="s">
        <v>37</v>
      </c>
      <c r="H151" s="1994" t="s">
        <v>74</v>
      </c>
      <c r="I151" s="71" t="s">
        <v>68</v>
      </c>
      <c r="J151" s="123">
        <f>190.8</f>
        <v>190.8</v>
      </c>
      <c r="K151" s="58">
        <v>190.8</v>
      </c>
      <c r="L151" s="58">
        <v>190.8</v>
      </c>
      <c r="M151" s="1443" t="s">
        <v>111</v>
      </c>
      <c r="N151" s="206">
        <v>14.5</v>
      </c>
      <c r="O151" s="36">
        <v>14.5</v>
      </c>
      <c r="P151" s="37">
        <v>14.5</v>
      </c>
    </row>
    <row r="152" spans="1:16" ht="13.5" customHeight="1" x14ac:dyDescent="0.2">
      <c r="A152" s="1436"/>
      <c r="B152" s="1446"/>
      <c r="C152" s="1456"/>
      <c r="D152" s="1437"/>
      <c r="E152" s="1742"/>
      <c r="F152" s="1836"/>
      <c r="G152" s="1441"/>
      <c r="H152" s="1992"/>
      <c r="I152" s="58" t="s">
        <v>25</v>
      </c>
      <c r="J152" s="1428">
        <v>40</v>
      </c>
      <c r="K152" s="58"/>
      <c r="L152" s="58"/>
      <c r="M152" s="1443"/>
      <c r="N152" s="206"/>
      <c r="O152" s="36"/>
      <c r="P152" s="37"/>
    </row>
    <row r="153" spans="1:16" ht="17.25" customHeight="1" x14ac:dyDescent="0.2">
      <c r="A153" s="222"/>
      <c r="B153" s="243"/>
      <c r="C153" s="332"/>
      <c r="D153" s="324"/>
      <c r="E153" s="1742"/>
      <c r="F153" s="1818"/>
      <c r="G153" s="370"/>
      <c r="H153" s="1992"/>
      <c r="I153" s="63" t="s">
        <v>99</v>
      </c>
      <c r="J153" s="1481">
        <v>80</v>
      </c>
      <c r="K153" s="63">
        <v>120</v>
      </c>
      <c r="L153" s="63">
        <v>120</v>
      </c>
      <c r="M153" s="1443" t="s">
        <v>38</v>
      </c>
      <c r="N153" s="1460">
        <f>66+5</f>
        <v>71</v>
      </c>
      <c r="O153" s="1458">
        <v>71</v>
      </c>
      <c r="P153" s="1461">
        <v>71</v>
      </c>
    </row>
    <row r="154" spans="1:16" ht="18.75" customHeight="1" x14ac:dyDescent="0.2">
      <c r="A154" s="222"/>
      <c r="B154" s="243"/>
      <c r="C154" s="332"/>
      <c r="D154" s="324"/>
      <c r="E154" s="1742"/>
      <c r="F154" s="1764"/>
      <c r="G154" s="370"/>
      <c r="H154" s="1992"/>
      <c r="I154" s="63" t="s">
        <v>68</v>
      </c>
      <c r="J154" s="123">
        <v>18.3</v>
      </c>
      <c r="K154" s="58"/>
      <c r="L154" s="58"/>
      <c r="M154" s="1442" t="s">
        <v>300</v>
      </c>
      <c r="N154" s="23">
        <v>100</v>
      </c>
      <c r="O154" s="830"/>
      <c r="P154" s="831"/>
    </row>
    <row r="155" spans="1:16" ht="26.25" customHeight="1" x14ac:dyDescent="0.2">
      <c r="A155" s="258"/>
      <c r="B155" s="272"/>
      <c r="C155" s="332"/>
      <c r="D155" s="324"/>
      <c r="E155" s="1742"/>
      <c r="F155" s="263"/>
      <c r="G155" s="370"/>
      <c r="H155" s="1992"/>
      <c r="I155" s="58" t="s">
        <v>99</v>
      </c>
      <c r="J155" s="1482">
        <v>10</v>
      </c>
      <c r="K155" s="71">
        <v>94</v>
      </c>
      <c r="L155" s="71"/>
      <c r="M155" s="1442" t="s">
        <v>298</v>
      </c>
      <c r="N155" s="1484" t="s">
        <v>354</v>
      </c>
      <c r="O155" s="1479">
        <v>100</v>
      </c>
      <c r="P155" s="37"/>
    </row>
    <row r="156" spans="1:16" ht="15.75" customHeight="1" x14ac:dyDescent="0.2">
      <c r="A156" s="770"/>
      <c r="B156" s="775"/>
      <c r="C156" s="778"/>
      <c r="D156" s="769"/>
      <c r="E156" s="1742"/>
      <c r="F156" s="774"/>
      <c r="G156" s="773"/>
      <c r="H156" s="1992"/>
      <c r="I156" s="55" t="s">
        <v>68</v>
      </c>
      <c r="J156" s="125">
        <v>45</v>
      </c>
      <c r="K156" s="55"/>
      <c r="L156" s="55"/>
      <c r="M156" s="1175" t="s">
        <v>255</v>
      </c>
      <c r="N156" s="23">
        <v>1</v>
      </c>
      <c r="O156" s="808"/>
      <c r="P156" s="809"/>
    </row>
    <row r="157" spans="1:16" ht="13.5" customHeight="1" x14ac:dyDescent="0.2">
      <c r="A157" s="779"/>
      <c r="B157" s="782"/>
      <c r="C157" s="788"/>
      <c r="D157" s="780"/>
      <c r="E157" s="1742"/>
      <c r="F157" s="785"/>
      <c r="G157" s="781"/>
      <c r="H157" s="1992"/>
      <c r="I157" s="58" t="s">
        <v>75</v>
      </c>
      <c r="J157" s="123">
        <f>36.6+1.4</f>
        <v>38</v>
      </c>
      <c r="K157" s="233"/>
      <c r="L157" s="233"/>
      <c r="M157" s="2003" t="s">
        <v>352</v>
      </c>
      <c r="N157" s="1460">
        <v>5</v>
      </c>
      <c r="O157" s="1480">
        <v>3</v>
      </c>
      <c r="P157" s="537"/>
    </row>
    <row r="158" spans="1:16" ht="23.25" customHeight="1" x14ac:dyDescent="0.2">
      <c r="A158" s="366"/>
      <c r="B158" s="372"/>
      <c r="C158" s="367"/>
      <c r="D158" s="368"/>
      <c r="E158" s="1742"/>
      <c r="F158" s="371"/>
      <c r="G158" s="370"/>
      <c r="H158" s="1992"/>
      <c r="I158" s="58" t="s">
        <v>60</v>
      </c>
      <c r="J158" s="123">
        <v>31.9</v>
      </c>
      <c r="K158" s="233"/>
      <c r="L158" s="233"/>
      <c r="M158" s="2004"/>
      <c r="N158" s="1460"/>
      <c r="O158" s="618"/>
      <c r="P158" s="537"/>
    </row>
    <row r="159" spans="1:16" ht="42.75" customHeight="1" x14ac:dyDescent="0.2">
      <c r="A159" s="1436"/>
      <c r="B159" s="1446"/>
      <c r="C159" s="1456"/>
      <c r="D159" s="1449"/>
      <c r="E159" s="1435"/>
      <c r="F159" s="810"/>
      <c r="G159" s="1441"/>
      <c r="H159" s="1451"/>
      <c r="I159" s="1010" t="s">
        <v>99</v>
      </c>
      <c r="J159" s="1428">
        <v>9</v>
      </c>
      <c r="K159" s="58">
        <v>75</v>
      </c>
      <c r="L159" s="58"/>
      <c r="M159" s="2005"/>
      <c r="N159" s="1460"/>
      <c r="O159" s="1478"/>
      <c r="P159" s="537"/>
    </row>
    <row r="160" spans="1:16" ht="15" customHeight="1" x14ac:dyDescent="0.2">
      <c r="A160" s="222"/>
      <c r="B160" s="243"/>
      <c r="C160" s="332"/>
      <c r="D160" s="324" t="s">
        <v>7</v>
      </c>
      <c r="E160" s="259" t="s">
        <v>64</v>
      </c>
      <c r="F160" s="297"/>
      <c r="G160" s="384"/>
      <c r="H160" s="859"/>
      <c r="I160" s="58" t="s">
        <v>99</v>
      </c>
      <c r="J160" s="122">
        <v>120</v>
      </c>
      <c r="K160" s="1009">
        <v>120</v>
      </c>
      <c r="L160" s="52">
        <v>120</v>
      </c>
      <c r="M160" s="1429" t="s">
        <v>81</v>
      </c>
      <c r="N160" s="1419">
        <v>1</v>
      </c>
      <c r="O160" s="786">
        <v>1</v>
      </c>
      <c r="P160" s="789">
        <v>1</v>
      </c>
    </row>
    <row r="161" spans="1:16" ht="15" customHeight="1" x14ac:dyDescent="0.2">
      <c r="A161" s="779"/>
      <c r="B161" s="782"/>
      <c r="C161" s="788"/>
      <c r="D161" s="780"/>
      <c r="E161" s="783"/>
      <c r="F161" s="810"/>
      <c r="G161" s="780"/>
      <c r="H161" s="859"/>
      <c r="I161" s="58" t="s">
        <v>68</v>
      </c>
      <c r="J161" s="123">
        <v>15</v>
      </c>
      <c r="K161" s="79">
        <v>15</v>
      </c>
      <c r="L161" s="79">
        <v>15</v>
      </c>
      <c r="M161" s="1414"/>
      <c r="N161" s="1420"/>
      <c r="O161" s="282"/>
      <c r="P161" s="787"/>
    </row>
    <row r="162" spans="1:16" ht="16.5" customHeight="1" x14ac:dyDescent="0.2">
      <c r="A162" s="222"/>
      <c r="B162" s="243"/>
      <c r="C162" s="332"/>
      <c r="D162" s="546"/>
      <c r="E162" s="268"/>
      <c r="F162" s="130"/>
      <c r="G162" s="654"/>
      <c r="H162" s="386"/>
      <c r="I162" s="795"/>
      <c r="J162" s="124"/>
      <c r="K162" s="82"/>
      <c r="L162" s="82"/>
      <c r="M162" s="1430"/>
      <c r="N162" s="19"/>
      <c r="O162" s="283"/>
      <c r="P162" s="20"/>
    </row>
    <row r="163" spans="1:16" ht="13.5" customHeight="1" x14ac:dyDescent="0.2">
      <c r="A163" s="563"/>
      <c r="B163" s="565"/>
      <c r="C163" s="564"/>
      <c r="D163" s="664" t="s">
        <v>28</v>
      </c>
      <c r="E163" s="1709" t="s">
        <v>113</v>
      </c>
      <c r="F163" s="701"/>
      <c r="G163" s="423"/>
      <c r="H163" s="2038"/>
      <c r="I163" s="1009" t="s">
        <v>68</v>
      </c>
      <c r="J163" s="122">
        <v>8</v>
      </c>
      <c r="K163" s="122">
        <v>8</v>
      </c>
      <c r="L163" s="122">
        <v>8</v>
      </c>
      <c r="M163" s="2036" t="s">
        <v>213</v>
      </c>
      <c r="N163" s="1995">
        <v>14</v>
      </c>
      <c r="O163" s="2001">
        <v>14</v>
      </c>
      <c r="P163" s="1997">
        <v>14</v>
      </c>
    </row>
    <row r="164" spans="1:16" ht="10.5" customHeight="1" x14ac:dyDescent="0.2">
      <c r="A164" s="563"/>
      <c r="B164" s="565"/>
      <c r="C164" s="564"/>
      <c r="D164" s="654"/>
      <c r="E164" s="1710"/>
      <c r="F164" s="548"/>
      <c r="G164" s="423"/>
      <c r="H164" s="2038"/>
      <c r="I164" s="58"/>
      <c r="J164" s="123"/>
      <c r="K164" s="58"/>
      <c r="L164" s="58"/>
      <c r="M164" s="1814"/>
      <c r="N164" s="1996"/>
      <c r="O164" s="2002"/>
      <c r="P164" s="1998"/>
    </row>
    <row r="165" spans="1:16" ht="15.75" customHeight="1" x14ac:dyDescent="0.2">
      <c r="A165" s="568"/>
      <c r="B165" s="570"/>
      <c r="C165" s="569"/>
      <c r="D165" s="668"/>
      <c r="E165" s="1816"/>
      <c r="F165" s="549"/>
      <c r="G165" s="423"/>
      <c r="H165" s="667"/>
      <c r="I165" s="1010" t="s">
        <v>75</v>
      </c>
      <c r="J165" s="82"/>
      <c r="K165" s="82"/>
      <c r="L165" s="82"/>
      <c r="M165" s="193"/>
      <c r="N165" s="19"/>
      <c r="O165" s="283"/>
      <c r="P165" s="20"/>
    </row>
    <row r="166" spans="1:16" ht="29.25" customHeight="1" x14ac:dyDescent="0.2">
      <c r="A166" s="258"/>
      <c r="B166" s="272"/>
      <c r="C166" s="332"/>
      <c r="D166" s="1423" t="s">
        <v>33</v>
      </c>
      <c r="E166" s="1421" t="s">
        <v>106</v>
      </c>
      <c r="F166" s="1413"/>
      <c r="G166" s="262"/>
      <c r="H166" s="1431" t="s">
        <v>116</v>
      </c>
      <c r="I166" s="1010" t="s">
        <v>68</v>
      </c>
      <c r="J166" s="683">
        <v>544</v>
      </c>
      <c r="K166" s="683">
        <v>564</v>
      </c>
      <c r="L166" s="683">
        <v>574</v>
      </c>
      <c r="M166" s="193" t="s">
        <v>134</v>
      </c>
      <c r="N166" s="50">
        <v>172</v>
      </c>
      <c r="O166" s="50">
        <v>174</v>
      </c>
      <c r="P166" s="1177">
        <v>175</v>
      </c>
    </row>
    <row r="167" spans="1:16" ht="18.75" customHeight="1" x14ac:dyDescent="0.2">
      <c r="A167" s="229"/>
      <c r="B167" s="244"/>
      <c r="C167" s="338"/>
      <c r="D167" s="1026" t="s">
        <v>34</v>
      </c>
      <c r="E167" s="1796" t="s">
        <v>149</v>
      </c>
      <c r="F167" s="1030" t="s">
        <v>47</v>
      </c>
      <c r="G167" s="1027"/>
      <c r="H167" s="1992"/>
      <c r="I167" s="58" t="s">
        <v>25</v>
      </c>
      <c r="J167" s="79">
        <v>76.5</v>
      </c>
      <c r="K167" s="79"/>
      <c r="L167" s="79"/>
      <c r="M167" s="1778" t="s">
        <v>131</v>
      </c>
      <c r="N167" s="425">
        <v>15</v>
      </c>
      <c r="O167" s="442"/>
      <c r="P167" s="190"/>
    </row>
    <row r="168" spans="1:16" ht="21" customHeight="1" x14ac:dyDescent="0.2">
      <c r="A168" s="229"/>
      <c r="B168" s="244"/>
      <c r="C168" s="337"/>
      <c r="D168" s="1032"/>
      <c r="E168" s="2032"/>
      <c r="F168" s="108"/>
      <c r="G168" s="1034"/>
      <c r="H168" s="1999"/>
      <c r="I168" s="1010"/>
      <c r="J168" s="124"/>
      <c r="K168" s="124"/>
      <c r="L168" s="124"/>
      <c r="M168" s="2000"/>
      <c r="N168" s="426"/>
      <c r="O168" s="680"/>
      <c r="P168" s="700"/>
    </row>
    <row r="169" spans="1:16" ht="15.75" customHeight="1" thickBot="1" x14ac:dyDescent="0.25">
      <c r="A169" s="64"/>
      <c r="B169" s="228"/>
      <c r="C169" s="168"/>
      <c r="D169" s="168"/>
      <c r="E169" s="343"/>
      <c r="F169" s="344"/>
      <c r="G169" s="168"/>
      <c r="H169" s="318"/>
      <c r="I169" s="129" t="s">
        <v>6</v>
      </c>
      <c r="J169" s="129">
        <f>SUM(J151:J168)</f>
        <v>1226.5</v>
      </c>
      <c r="K169" s="129">
        <f>SUM(K151:K168)</f>
        <v>1186.8</v>
      </c>
      <c r="L169" s="129">
        <f>SUM(L151:L168)</f>
        <v>1027.8</v>
      </c>
      <c r="M169" s="345"/>
      <c r="N169" s="895"/>
      <c r="O169" s="335"/>
      <c r="P169" s="336"/>
    </row>
    <row r="170" spans="1:16" ht="17.25" customHeight="1" x14ac:dyDescent="0.2">
      <c r="A170" s="1902" t="s">
        <v>5</v>
      </c>
      <c r="B170" s="1904" t="s">
        <v>28</v>
      </c>
      <c r="C170" s="1906" t="s">
        <v>7</v>
      </c>
      <c r="D170" s="1988"/>
      <c r="E170" s="1907" t="s">
        <v>303</v>
      </c>
      <c r="F170" s="1909" t="s">
        <v>230</v>
      </c>
      <c r="G170" s="1823" t="s">
        <v>55</v>
      </c>
      <c r="H170" s="1991" t="s">
        <v>63</v>
      </c>
      <c r="I170" s="92" t="s">
        <v>25</v>
      </c>
      <c r="J170" s="169">
        <v>136.80000000000001</v>
      </c>
      <c r="K170" s="197">
        <v>146.69999999999999</v>
      </c>
      <c r="L170" s="197">
        <v>146.69999999999999</v>
      </c>
      <c r="M170" s="215" t="s">
        <v>67</v>
      </c>
      <c r="N170" s="242">
        <v>18</v>
      </c>
      <c r="O170" s="576">
        <v>18</v>
      </c>
      <c r="P170" s="603">
        <v>18</v>
      </c>
    </row>
    <row r="171" spans="1:16" ht="15.75" customHeight="1" x14ac:dyDescent="0.2">
      <c r="A171" s="1704"/>
      <c r="B171" s="1705"/>
      <c r="C171" s="1808"/>
      <c r="D171" s="1989"/>
      <c r="E171" s="1796"/>
      <c r="F171" s="1910"/>
      <c r="G171" s="1681"/>
      <c r="H171" s="1992"/>
      <c r="I171" s="69" t="s">
        <v>60</v>
      </c>
      <c r="J171" s="53"/>
      <c r="K171" s="139"/>
      <c r="L171" s="53"/>
      <c r="M171" s="522" t="s">
        <v>82</v>
      </c>
      <c r="N171" s="248">
        <v>7</v>
      </c>
      <c r="O171" s="282">
        <v>7</v>
      </c>
      <c r="P171" s="659">
        <v>7</v>
      </c>
    </row>
    <row r="172" spans="1:16" ht="16.5" customHeight="1" thickBot="1" x14ac:dyDescent="0.25">
      <c r="A172" s="1903"/>
      <c r="B172" s="1905"/>
      <c r="C172" s="1809"/>
      <c r="D172" s="1990"/>
      <c r="E172" s="1908"/>
      <c r="F172" s="1911"/>
      <c r="G172" s="1824"/>
      <c r="H172" s="2037"/>
      <c r="I172" s="129" t="s">
        <v>6</v>
      </c>
      <c r="J172" s="142">
        <f>SUM(J170:J171)</f>
        <v>136.80000000000001</v>
      </c>
      <c r="K172" s="189">
        <f>SUM(K170:K171)</f>
        <v>146.69999999999999</v>
      </c>
      <c r="L172" s="189">
        <f>SUM(L170:L171)</f>
        <v>146.69999999999999</v>
      </c>
      <c r="M172" s="481"/>
      <c r="N172" s="171"/>
      <c r="O172" s="587"/>
      <c r="P172" s="497"/>
    </row>
    <row r="173" spans="1:16" ht="19.5" customHeight="1" x14ac:dyDescent="0.2">
      <c r="A173" s="524" t="s">
        <v>5</v>
      </c>
      <c r="B173" s="540" t="s">
        <v>28</v>
      </c>
      <c r="C173" s="541" t="s">
        <v>28</v>
      </c>
      <c r="D173" s="523"/>
      <c r="E173" s="1825" t="s">
        <v>166</v>
      </c>
      <c r="F173" s="1827" t="s">
        <v>229</v>
      </c>
      <c r="G173" s="520"/>
      <c r="H173" s="542"/>
      <c r="I173" s="471"/>
      <c r="J173" s="471"/>
      <c r="K173" s="543"/>
      <c r="L173" s="471"/>
      <c r="M173" s="544"/>
      <c r="N173" s="166"/>
      <c r="O173" s="198"/>
      <c r="P173" s="205"/>
    </row>
    <row r="174" spans="1:16" ht="20.25" customHeight="1" x14ac:dyDescent="0.2">
      <c r="A174" s="515"/>
      <c r="B174" s="516"/>
      <c r="C174" s="514"/>
      <c r="D174" s="512"/>
      <c r="E174" s="2029"/>
      <c r="F174" s="1986"/>
      <c r="G174" s="527"/>
      <c r="H174" s="449"/>
      <c r="I174" s="447"/>
      <c r="J174" s="447"/>
      <c r="K174" s="448"/>
      <c r="L174" s="447"/>
      <c r="M174" s="1628"/>
      <c r="N174" s="39"/>
      <c r="O174" s="143"/>
      <c r="P174" s="40"/>
    </row>
    <row r="175" spans="1:16" ht="24.75" customHeight="1" x14ac:dyDescent="0.2">
      <c r="A175" s="1804"/>
      <c r="B175" s="1819"/>
      <c r="C175" s="1987"/>
      <c r="D175" s="664" t="s">
        <v>5</v>
      </c>
      <c r="E175" s="1795" t="s">
        <v>202</v>
      </c>
      <c r="F175" s="1817" t="s">
        <v>233</v>
      </c>
      <c r="G175" s="517">
        <v>5</v>
      </c>
      <c r="H175" s="1992" t="s">
        <v>163</v>
      </c>
      <c r="I175" s="58" t="s">
        <v>44</v>
      </c>
      <c r="J175" s="58">
        <v>420</v>
      </c>
      <c r="K175" s="79">
        <v>330</v>
      </c>
      <c r="L175" s="58"/>
      <c r="M175" s="1631" t="s">
        <v>126</v>
      </c>
      <c r="N175" s="234"/>
      <c r="O175" s="399"/>
      <c r="P175" s="1624">
        <v>100</v>
      </c>
    </row>
    <row r="176" spans="1:16" ht="24.75" customHeight="1" x14ac:dyDescent="0.2">
      <c r="A176" s="1804"/>
      <c r="B176" s="1819"/>
      <c r="C176" s="1987"/>
      <c r="D176" s="652"/>
      <c r="E176" s="2030"/>
      <c r="F176" s="1839"/>
      <c r="G176" s="521"/>
      <c r="H176" s="1992"/>
      <c r="I176" s="58" t="s">
        <v>25</v>
      </c>
      <c r="J176" s="58">
        <v>207</v>
      </c>
      <c r="K176" s="79">
        <v>50.2</v>
      </c>
      <c r="L176" s="58"/>
      <c r="M176" s="179" t="s">
        <v>190</v>
      </c>
      <c r="N176" s="400">
        <v>1</v>
      </c>
      <c r="O176" s="29"/>
      <c r="P176" s="30"/>
    </row>
    <row r="177" spans="1:16" ht="16.5" customHeight="1" x14ac:dyDescent="0.2">
      <c r="A177" s="1804"/>
      <c r="B177" s="1819"/>
      <c r="C177" s="1987"/>
      <c r="D177" s="1005"/>
      <c r="E177" s="2030"/>
      <c r="F177" s="1839"/>
      <c r="G177" s="1006"/>
      <c r="H177" s="1992"/>
      <c r="I177" s="58" t="s">
        <v>60</v>
      </c>
      <c r="J177" s="58">
        <v>277.3</v>
      </c>
      <c r="K177" s="79"/>
      <c r="L177" s="58"/>
      <c r="M177" s="1623"/>
      <c r="N177" s="473"/>
      <c r="O177" s="472"/>
      <c r="P177" s="188"/>
    </row>
    <row r="178" spans="1:16" ht="15" customHeight="1" x14ac:dyDescent="0.2">
      <c r="A178" s="1804"/>
      <c r="B178" s="1819"/>
      <c r="C178" s="1987"/>
      <c r="D178" s="1005"/>
      <c r="E178" s="2030"/>
      <c r="F178" s="1839"/>
      <c r="G178" s="1006"/>
      <c r="H178" s="1992"/>
      <c r="I178" s="58" t="s">
        <v>48</v>
      </c>
      <c r="J178" s="58"/>
      <c r="K178" s="79">
        <v>1500</v>
      </c>
      <c r="L178" s="58">
        <v>1000</v>
      </c>
      <c r="M178" s="1631"/>
      <c r="N178" s="1630"/>
      <c r="O178" s="1625"/>
      <c r="P178" s="1627"/>
    </row>
    <row r="179" spans="1:16" ht="13.5" customHeight="1" x14ac:dyDescent="0.2">
      <c r="A179" s="1804"/>
      <c r="B179" s="1819"/>
      <c r="C179" s="1987"/>
      <c r="D179" s="665"/>
      <c r="E179" s="1820"/>
      <c r="F179" s="1821"/>
      <c r="G179" s="654"/>
      <c r="H179" s="1992"/>
      <c r="I179" s="57"/>
      <c r="J179" s="1010"/>
      <c r="K179" s="82"/>
      <c r="L179" s="1010"/>
      <c r="M179" s="1615"/>
      <c r="N179" s="1014"/>
      <c r="O179" s="19"/>
      <c r="P179" s="20"/>
    </row>
    <row r="180" spans="1:16" ht="15.75" customHeight="1" x14ac:dyDescent="0.2">
      <c r="A180" s="1804"/>
      <c r="B180" s="1819"/>
      <c r="C180" s="1987"/>
      <c r="D180" s="511" t="s">
        <v>7</v>
      </c>
      <c r="E180" s="1696" t="s">
        <v>186</v>
      </c>
      <c r="F180" s="1836" t="s">
        <v>231</v>
      </c>
      <c r="G180" s="652"/>
      <c r="H180" s="1992"/>
      <c r="I180" s="58" t="s">
        <v>25</v>
      </c>
      <c r="J180" s="58">
        <v>42.2</v>
      </c>
      <c r="K180" s="79">
        <v>5.4</v>
      </c>
      <c r="L180" s="58">
        <v>5</v>
      </c>
      <c r="M180" s="179" t="s">
        <v>158</v>
      </c>
      <c r="N180" s="155">
        <v>1</v>
      </c>
      <c r="O180" s="1630"/>
      <c r="P180" s="1627"/>
    </row>
    <row r="181" spans="1:16" ht="24" customHeight="1" x14ac:dyDescent="0.2">
      <c r="A181" s="1804"/>
      <c r="B181" s="1819"/>
      <c r="C181" s="1987"/>
      <c r="D181" s="511"/>
      <c r="E181" s="1832"/>
      <c r="F181" s="1837"/>
      <c r="G181" s="654"/>
      <c r="H181" s="1992"/>
      <c r="I181" s="58" t="s">
        <v>60</v>
      </c>
      <c r="J181" s="58">
        <v>12.3</v>
      </c>
      <c r="K181" s="79"/>
      <c r="L181" s="58"/>
      <c r="M181" s="1830" t="s">
        <v>187</v>
      </c>
      <c r="N181" s="473"/>
      <c r="O181" s="472"/>
      <c r="P181" s="188">
        <v>1</v>
      </c>
    </row>
    <row r="182" spans="1:16" ht="19.5" customHeight="1" x14ac:dyDescent="0.2">
      <c r="A182" s="299"/>
      <c r="B182" s="516"/>
      <c r="C182" s="358"/>
      <c r="D182" s="511"/>
      <c r="E182" s="1832"/>
      <c r="F182" s="1838"/>
      <c r="G182" s="654"/>
      <c r="H182" s="566"/>
      <c r="I182" s="58" t="s">
        <v>44</v>
      </c>
      <c r="J182" s="58">
        <v>499.1</v>
      </c>
      <c r="K182" s="79">
        <v>48</v>
      </c>
      <c r="L182" s="58">
        <v>45</v>
      </c>
      <c r="M182" s="1831"/>
      <c r="N182" s="44"/>
      <c r="O182" s="19"/>
      <c r="P182" s="674"/>
    </row>
    <row r="183" spans="1:16" ht="14.25" customHeight="1" x14ac:dyDescent="0.2">
      <c r="A183" s="1704"/>
      <c r="B183" s="1705"/>
      <c r="C183" s="1987"/>
      <c r="D183" s="2015" t="s">
        <v>28</v>
      </c>
      <c r="E183" s="1695" t="s">
        <v>154</v>
      </c>
      <c r="F183" s="1817" t="s">
        <v>122</v>
      </c>
      <c r="G183" s="1808"/>
      <c r="H183" s="1992"/>
      <c r="I183" s="178" t="s">
        <v>25</v>
      </c>
      <c r="J183" s="976">
        <v>14.7</v>
      </c>
      <c r="K183" s="83"/>
      <c r="L183" s="690"/>
      <c r="M183" s="1631" t="s">
        <v>188</v>
      </c>
      <c r="N183" s="357">
        <v>6</v>
      </c>
      <c r="O183" s="695"/>
      <c r="P183" s="1622"/>
    </row>
    <row r="184" spans="1:16" ht="13.5" customHeight="1" x14ac:dyDescent="0.2">
      <c r="A184" s="1704"/>
      <c r="B184" s="1705"/>
      <c r="C184" s="1987"/>
      <c r="D184" s="2016"/>
      <c r="E184" s="1832"/>
      <c r="F184" s="1839"/>
      <c r="G184" s="1808"/>
      <c r="H184" s="1992"/>
      <c r="I184" s="58" t="s">
        <v>223</v>
      </c>
      <c r="J184" s="58">
        <v>83.3</v>
      </c>
      <c r="K184" s="79"/>
      <c r="L184" s="458"/>
      <c r="M184" s="1631"/>
      <c r="N184" s="357"/>
      <c r="O184" s="1630"/>
      <c r="P184" s="1627"/>
    </row>
    <row r="185" spans="1:16" ht="14.25" customHeight="1" x14ac:dyDescent="0.2">
      <c r="A185" s="1704"/>
      <c r="B185" s="1705"/>
      <c r="C185" s="1987"/>
      <c r="D185" s="2017"/>
      <c r="E185" s="1833"/>
      <c r="F185" s="1821"/>
      <c r="G185" s="1808"/>
      <c r="H185" s="1992"/>
      <c r="I185" s="69"/>
      <c r="J185" s="977"/>
      <c r="K185" s="82"/>
      <c r="L185" s="704"/>
      <c r="M185" s="18"/>
      <c r="N185" s="50"/>
      <c r="O185" s="44"/>
      <c r="P185" s="20"/>
    </row>
    <row r="186" spans="1:16" ht="14.25" customHeight="1" x14ac:dyDescent="0.2">
      <c r="A186" s="1704"/>
      <c r="B186" s="1705"/>
      <c r="C186" s="1987"/>
      <c r="D186" s="2015" t="s">
        <v>33</v>
      </c>
      <c r="E186" s="1975" t="s">
        <v>365</v>
      </c>
      <c r="F186" s="1978" t="s">
        <v>122</v>
      </c>
      <c r="G186" s="1808"/>
      <c r="H186" s="1992"/>
      <c r="I186" s="178" t="s">
        <v>25</v>
      </c>
      <c r="J186" s="1642"/>
      <c r="K186" s="641">
        <v>3.5</v>
      </c>
      <c r="L186" s="690"/>
      <c r="M186" s="1591" t="s">
        <v>366</v>
      </c>
      <c r="N186" s="357"/>
      <c r="O186" s="1607">
        <v>1</v>
      </c>
      <c r="P186" s="1632"/>
    </row>
    <row r="187" spans="1:16" ht="13.5" customHeight="1" x14ac:dyDescent="0.2">
      <c r="A187" s="1704"/>
      <c r="B187" s="1705"/>
      <c r="C187" s="1987"/>
      <c r="D187" s="2016"/>
      <c r="E187" s="1976"/>
      <c r="F187" s="1979"/>
      <c r="G187" s="1808"/>
      <c r="H187" s="1992"/>
      <c r="I187" s="58" t="s">
        <v>44</v>
      </c>
      <c r="J187" s="458"/>
      <c r="K187" s="498">
        <v>24</v>
      </c>
      <c r="L187" s="458">
        <v>41.2</v>
      </c>
      <c r="M187" s="1591" t="s">
        <v>367</v>
      </c>
      <c r="N187" s="357"/>
      <c r="O187" s="1479"/>
      <c r="P187" s="1633" t="s">
        <v>388</v>
      </c>
    </row>
    <row r="188" spans="1:16" ht="14.25" customHeight="1" x14ac:dyDescent="0.2">
      <c r="A188" s="1704"/>
      <c r="B188" s="1705"/>
      <c r="C188" s="1987"/>
      <c r="D188" s="2017"/>
      <c r="E188" s="1977"/>
      <c r="F188" s="1980"/>
      <c r="G188" s="1808"/>
      <c r="H188" s="1992"/>
      <c r="I188" s="69"/>
      <c r="J188" s="1010"/>
      <c r="K188" s="82"/>
      <c r="L188" s="704"/>
      <c r="M188" s="18"/>
      <c r="N188" s="50"/>
      <c r="O188" s="44"/>
      <c r="P188" s="20"/>
    </row>
    <row r="189" spans="1:16" ht="14.25" customHeight="1" x14ac:dyDescent="0.2">
      <c r="A189" s="1704"/>
      <c r="B189" s="1705"/>
      <c r="C189" s="1987"/>
      <c r="D189" s="2015" t="s">
        <v>34</v>
      </c>
      <c r="E189" s="1975" t="s">
        <v>382</v>
      </c>
      <c r="F189" s="1978" t="s">
        <v>122</v>
      </c>
      <c r="G189" s="1808"/>
      <c r="H189" s="1992"/>
      <c r="I189" s="178" t="s">
        <v>44</v>
      </c>
      <c r="J189" s="690"/>
      <c r="K189" s="641">
        <v>40</v>
      </c>
      <c r="L189" s="690">
        <v>40</v>
      </c>
      <c r="M189" s="1591" t="s">
        <v>383</v>
      </c>
      <c r="N189" s="357"/>
      <c r="O189" s="695"/>
      <c r="P189" s="1634" t="s">
        <v>381</v>
      </c>
    </row>
    <row r="190" spans="1:16" ht="13.5" customHeight="1" x14ac:dyDescent="0.2">
      <c r="A190" s="1704"/>
      <c r="B190" s="1705"/>
      <c r="C190" s="1987"/>
      <c r="D190" s="2016"/>
      <c r="E190" s="1976"/>
      <c r="F190" s="1979"/>
      <c r="G190" s="1808"/>
      <c r="H190" s="1992"/>
      <c r="I190" s="58"/>
      <c r="J190" s="58"/>
      <c r="K190" s="79"/>
      <c r="L190" s="458"/>
      <c r="M190" s="1591"/>
      <c r="N190" s="357"/>
      <c r="O190" s="1479"/>
      <c r="P190" s="1633"/>
    </row>
    <row r="191" spans="1:16" ht="14.25" customHeight="1" x14ac:dyDescent="0.2">
      <c r="A191" s="1704"/>
      <c r="B191" s="1705"/>
      <c r="C191" s="1987"/>
      <c r="D191" s="2017"/>
      <c r="E191" s="1977"/>
      <c r="F191" s="1980"/>
      <c r="G191" s="1808"/>
      <c r="H191" s="1992"/>
      <c r="I191" s="69"/>
      <c r="J191" s="1010"/>
      <c r="K191" s="82"/>
      <c r="L191" s="704"/>
      <c r="M191" s="18"/>
      <c r="N191" s="50"/>
      <c r="O191" s="44"/>
      <c r="P191" s="20"/>
    </row>
    <row r="192" spans="1:16" ht="37.5" customHeight="1" x14ac:dyDescent="0.2">
      <c r="A192" s="550"/>
      <c r="B192" s="551"/>
      <c r="C192" s="552"/>
      <c r="D192" s="510" t="s">
        <v>35</v>
      </c>
      <c r="E192" s="784" t="s">
        <v>125</v>
      </c>
      <c r="F192" s="574" t="s">
        <v>162</v>
      </c>
      <c r="G192" s="451" t="s">
        <v>37</v>
      </c>
      <c r="H192" s="790" t="s">
        <v>189</v>
      </c>
      <c r="I192" s="450" t="s">
        <v>75</v>
      </c>
      <c r="J192" s="450">
        <v>24.2</v>
      </c>
      <c r="K192" s="560"/>
      <c r="L192" s="559"/>
      <c r="M192" s="66" t="s">
        <v>83</v>
      </c>
      <c r="N192" s="554">
        <v>1</v>
      </c>
      <c r="O192" s="554"/>
      <c r="P192" s="555"/>
    </row>
    <row r="193" spans="1:16" ht="15.75" customHeight="1" x14ac:dyDescent="0.2">
      <c r="A193" s="1704"/>
      <c r="B193" s="1705"/>
      <c r="C193" s="1987"/>
      <c r="D193" s="2015" t="s">
        <v>36</v>
      </c>
      <c r="E193" s="1695" t="s">
        <v>211</v>
      </c>
      <c r="F193" s="1817" t="s">
        <v>122</v>
      </c>
      <c r="G193" s="2013" t="s">
        <v>37</v>
      </c>
      <c r="H193" s="1992"/>
      <c r="I193" s="1009" t="s">
        <v>68</v>
      </c>
      <c r="J193" s="1009">
        <v>12</v>
      </c>
      <c r="K193" s="83">
        <v>6</v>
      </c>
      <c r="L193" s="1009">
        <v>6</v>
      </c>
      <c r="M193" s="1682" t="s">
        <v>226</v>
      </c>
      <c r="N193" s="1326">
        <v>11</v>
      </c>
      <c r="O193" s="1629">
        <v>12</v>
      </c>
      <c r="P193" s="1626">
        <v>14</v>
      </c>
    </row>
    <row r="194" spans="1:16" ht="11.25" customHeight="1" x14ac:dyDescent="0.2">
      <c r="A194" s="1704"/>
      <c r="B194" s="1705"/>
      <c r="C194" s="1987"/>
      <c r="D194" s="2016"/>
      <c r="E194" s="1696"/>
      <c r="F194" s="1836"/>
      <c r="G194" s="1922"/>
      <c r="H194" s="1992"/>
      <c r="I194" s="58"/>
      <c r="J194" s="60"/>
      <c r="K194" s="79"/>
      <c r="L194" s="58"/>
      <c r="M194" s="1683"/>
      <c r="N194" s="357"/>
      <c r="O194" s="1630"/>
      <c r="P194" s="1627"/>
    </row>
    <row r="195" spans="1:16" ht="24" customHeight="1" x14ac:dyDescent="0.2">
      <c r="A195" s="1704"/>
      <c r="B195" s="1705"/>
      <c r="C195" s="1987"/>
      <c r="D195" s="2017"/>
      <c r="E195" s="1833"/>
      <c r="F195" s="1821"/>
      <c r="G195" s="1923"/>
      <c r="H195" s="2014"/>
      <c r="I195" s="1010"/>
      <c r="J195" s="693"/>
      <c r="K195" s="1189"/>
      <c r="L195" s="693"/>
      <c r="M195" s="18"/>
      <c r="N195" s="152"/>
      <c r="O195" s="44"/>
      <c r="P195" s="20"/>
    </row>
    <row r="196" spans="1:16" ht="14.25" customHeight="1" thickBot="1" x14ac:dyDescent="0.25">
      <c r="A196" s="64"/>
      <c r="B196" s="519"/>
      <c r="C196" s="359"/>
      <c r="D196" s="359"/>
      <c r="E196" s="360"/>
      <c r="F196" s="361"/>
      <c r="G196" s="359"/>
      <c r="H196" s="362"/>
      <c r="I196" s="129" t="s">
        <v>6</v>
      </c>
      <c r="J196" s="189">
        <f>SUM(J175:J195)</f>
        <v>1592.1</v>
      </c>
      <c r="K196" s="189">
        <f>SUM(K175:K195)</f>
        <v>2007.1</v>
      </c>
      <c r="L196" s="189">
        <f>SUM(L175:L195)</f>
        <v>1137.2</v>
      </c>
      <c r="M196" s="363"/>
      <c r="N196" s="681"/>
      <c r="O196" s="681"/>
      <c r="P196" s="1554"/>
    </row>
    <row r="197" spans="1:16" ht="14.25" customHeight="1" thickBot="1" x14ac:dyDescent="0.25">
      <c r="A197" s="86" t="s">
        <v>5</v>
      </c>
      <c r="B197" s="75" t="s">
        <v>28</v>
      </c>
      <c r="C197" s="1767" t="s">
        <v>8</v>
      </c>
      <c r="D197" s="1767"/>
      <c r="E197" s="1767"/>
      <c r="F197" s="1767"/>
      <c r="G197" s="1767"/>
      <c r="H197" s="1767"/>
      <c r="I197" s="1768"/>
      <c r="J197" s="194">
        <f>J196+J172+J169</f>
        <v>2955.4</v>
      </c>
      <c r="K197" s="194">
        <f>K196+K172+K169</f>
        <v>3340.6</v>
      </c>
      <c r="L197" s="194">
        <f>L196+L172+L169</f>
        <v>2311.6999999999998</v>
      </c>
      <c r="M197" s="1800"/>
      <c r="N197" s="1800"/>
      <c r="O197" s="1800"/>
      <c r="P197" s="1801"/>
    </row>
    <row r="198" spans="1:16" ht="14.25" customHeight="1" thickBot="1" x14ac:dyDescent="0.25">
      <c r="A198" s="74" t="s">
        <v>5</v>
      </c>
      <c r="B198" s="75" t="s">
        <v>33</v>
      </c>
      <c r="C198" s="1771" t="s">
        <v>165</v>
      </c>
      <c r="D198" s="1802"/>
      <c r="E198" s="1802"/>
      <c r="F198" s="1802"/>
      <c r="G198" s="1802"/>
      <c r="H198" s="1802"/>
      <c r="I198" s="1802"/>
      <c r="J198" s="1802"/>
      <c r="K198" s="1802"/>
      <c r="L198" s="1802"/>
      <c r="M198" s="1802"/>
      <c r="N198" s="1802"/>
      <c r="O198" s="1802"/>
      <c r="P198" s="1803"/>
    </row>
    <row r="199" spans="1:16" ht="31.5" customHeight="1" x14ac:dyDescent="0.2">
      <c r="A199" s="225" t="s">
        <v>5</v>
      </c>
      <c r="B199" s="227" t="s">
        <v>33</v>
      </c>
      <c r="C199" s="342" t="s">
        <v>5</v>
      </c>
      <c r="D199" s="93"/>
      <c r="E199" s="109" t="s">
        <v>104</v>
      </c>
      <c r="F199" s="121"/>
      <c r="G199" s="93"/>
      <c r="H199" s="393"/>
      <c r="I199" s="87"/>
      <c r="J199" s="73"/>
      <c r="K199" s="73"/>
      <c r="L199" s="73"/>
      <c r="M199" s="94"/>
      <c r="N199" s="6"/>
      <c r="O199" s="590"/>
      <c r="P199" s="705"/>
    </row>
    <row r="200" spans="1:16" ht="15.75" customHeight="1" x14ac:dyDescent="0.2">
      <c r="A200" s="374"/>
      <c r="B200" s="375"/>
      <c r="C200" s="338"/>
      <c r="D200" s="469" t="s">
        <v>5</v>
      </c>
      <c r="E200" s="395" t="s">
        <v>101</v>
      </c>
      <c r="F200" s="381"/>
      <c r="G200" s="389">
        <v>6</v>
      </c>
      <c r="H200" s="1994" t="s">
        <v>100</v>
      </c>
      <c r="I200" s="559"/>
      <c r="J200" s="559"/>
      <c r="K200" s="559"/>
      <c r="L200" s="559"/>
      <c r="M200" s="558"/>
      <c r="N200" s="561"/>
      <c r="O200" s="811"/>
      <c r="P200" s="648"/>
    </row>
    <row r="201" spans="1:16" ht="14.25" customHeight="1" x14ac:dyDescent="0.2">
      <c r="A201" s="812"/>
      <c r="B201" s="813"/>
      <c r="C201" s="338"/>
      <c r="D201" s="2012" t="s">
        <v>169</v>
      </c>
      <c r="E201" s="818" t="s">
        <v>258</v>
      </c>
      <c r="F201" s="821"/>
      <c r="G201" s="820"/>
      <c r="H201" s="2006"/>
      <c r="I201" s="58" t="s">
        <v>99</v>
      </c>
      <c r="J201" s="58">
        <v>1000</v>
      </c>
      <c r="K201" s="58"/>
      <c r="L201" s="58"/>
      <c r="M201" s="817" t="s">
        <v>66</v>
      </c>
      <c r="N201" s="206">
        <v>5.9</v>
      </c>
      <c r="O201" s="95"/>
      <c r="P201" s="37"/>
    </row>
    <row r="202" spans="1:16" ht="13.5" customHeight="1" x14ac:dyDescent="0.2">
      <c r="A202" s="812"/>
      <c r="B202" s="813"/>
      <c r="C202" s="338"/>
      <c r="D202" s="1899"/>
      <c r="E202" s="213" t="s">
        <v>171</v>
      </c>
      <c r="F202" s="821"/>
      <c r="G202" s="820"/>
      <c r="H202" s="2006"/>
      <c r="I202" s="58" t="s">
        <v>60</v>
      </c>
      <c r="J202" s="58">
        <v>38.200000000000003</v>
      </c>
      <c r="K202" s="58"/>
      <c r="L202" s="58"/>
      <c r="M202" s="817"/>
      <c r="N202" s="206"/>
      <c r="O202" s="95"/>
      <c r="P202" s="37"/>
    </row>
    <row r="203" spans="1:16" ht="14.25" customHeight="1" x14ac:dyDescent="0.2">
      <c r="A203" s="812"/>
      <c r="B203" s="813"/>
      <c r="C203" s="338"/>
      <c r="D203" s="1899"/>
      <c r="E203" s="213" t="s">
        <v>168</v>
      </c>
      <c r="F203" s="821"/>
      <c r="G203" s="820"/>
      <c r="H203" s="2006"/>
      <c r="I203" s="58"/>
      <c r="J203" s="58"/>
      <c r="K203" s="58"/>
      <c r="L203" s="58"/>
      <c r="M203" s="817"/>
      <c r="N203" s="206"/>
      <c r="O203" s="95"/>
      <c r="P203" s="37"/>
    </row>
    <row r="204" spans="1:16" ht="14.25" customHeight="1" x14ac:dyDescent="0.2">
      <c r="A204" s="812"/>
      <c r="B204" s="813"/>
      <c r="C204" s="338"/>
      <c r="D204" s="1899"/>
      <c r="E204" s="818" t="s">
        <v>173</v>
      </c>
      <c r="F204" s="821"/>
      <c r="G204" s="820"/>
      <c r="H204" s="824"/>
      <c r="I204" s="58"/>
      <c r="J204" s="58"/>
      <c r="K204" s="58"/>
      <c r="L204" s="58"/>
      <c r="M204" s="817"/>
      <c r="N204" s="206"/>
      <c r="O204" s="95"/>
      <c r="P204" s="37"/>
    </row>
    <row r="205" spans="1:16" ht="29.25" customHeight="1" x14ac:dyDescent="0.2">
      <c r="A205" s="812"/>
      <c r="B205" s="813"/>
      <c r="C205" s="338"/>
      <c r="D205" s="1899"/>
      <c r="E205" s="213" t="s">
        <v>259</v>
      </c>
      <c r="F205" s="821"/>
      <c r="G205" s="820"/>
      <c r="H205" s="824"/>
      <c r="I205" s="58"/>
      <c r="J205" s="58"/>
      <c r="K205" s="58"/>
      <c r="L205" s="58"/>
      <c r="M205" s="817"/>
      <c r="N205" s="206"/>
      <c r="O205" s="95"/>
      <c r="P205" s="37"/>
    </row>
    <row r="206" spans="1:16" ht="26.25" customHeight="1" x14ac:dyDescent="0.2">
      <c r="A206" s="812"/>
      <c r="B206" s="813"/>
      <c r="C206" s="338"/>
      <c r="D206" s="1899"/>
      <c r="E206" s="396" t="s">
        <v>260</v>
      </c>
      <c r="F206" s="821"/>
      <c r="G206" s="820"/>
      <c r="H206" s="824"/>
      <c r="I206" s="58"/>
      <c r="J206" s="58"/>
      <c r="K206" s="58"/>
      <c r="L206" s="58"/>
      <c r="M206" s="817"/>
      <c r="N206" s="206"/>
      <c r="O206" s="95"/>
      <c r="P206" s="37"/>
    </row>
    <row r="207" spans="1:16" ht="27" customHeight="1" x14ac:dyDescent="0.2">
      <c r="A207" s="812"/>
      <c r="B207" s="813"/>
      <c r="C207" s="338"/>
      <c r="D207" s="1899"/>
      <c r="E207" s="213" t="s">
        <v>261</v>
      </c>
      <c r="F207" s="821"/>
      <c r="G207" s="820"/>
      <c r="H207" s="824"/>
      <c r="I207" s="58"/>
      <c r="J207" s="58"/>
      <c r="K207" s="58"/>
      <c r="L207" s="58"/>
      <c r="M207" s="817"/>
      <c r="N207" s="206"/>
      <c r="O207" s="95"/>
      <c r="P207" s="37"/>
    </row>
    <row r="208" spans="1:16" ht="27" customHeight="1" x14ac:dyDescent="0.2">
      <c r="A208" s="812"/>
      <c r="B208" s="813"/>
      <c r="C208" s="338"/>
      <c r="D208" s="857"/>
      <c r="E208" s="856" t="s">
        <v>262</v>
      </c>
      <c r="F208" s="821"/>
      <c r="G208" s="820"/>
      <c r="H208" s="824"/>
      <c r="I208" s="58"/>
      <c r="J208" s="58"/>
      <c r="K208" s="58"/>
      <c r="L208" s="58"/>
      <c r="M208" s="817"/>
      <c r="N208" s="206"/>
      <c r="O208" s="95"/>
      <c r="P208" s="37"/>
    </row>
    <row r="209" spans="1:18" ht="15" customHeight="1" x14ac:dyDescent="0.2">
      <c r="A209" s="812"/>
      <c r="B209" s="813"/>
      <c r="C209" s="338"/>
      <c r="D209" s="1899" t="s">
        <v>170</v>
      </c>
      <c r="E209" s="807" t="s">
        <v>172</v>
      </c>
      <c r="F209" s="819"/>
      <c r="G209" s="820"/>
      <c r="H209" s="824"/>
      <c r="I209" s="828" t="s">
        <v>25</v>
      </c>
      <c r="J209" s="828"/>
      <c r="K209" s="1009">
        <f>336-250</f>
        <v>86</v>
      </c>
      <c r="L209" s="828"/>
      <c r="M209" s="822" t="s">
        <v>66</v>
      </c>
      <c r="N209" s="46"/>
      <c r="O209" s="117">
        <v>7.9</v>
      </c>
      <c r="P209" s="398"/>
    </row>
    <row r="210" spans="1:18" ht="16.5" customHeight="1" x14ac:dyDescent="0.2">
      <c r="A210" s="812"/>
      <c r="B210" s="813"/>
      <c r="C210" s="338"/>
      <c r="D210" s="1899"/>
      <c r="E210" s="396" t="s">
        <v>167</v>
      </c>
      <c r="F210" s="821"/>
      <c r="G210" s="820"/>
      <c r="H210" s="824"/>
      <c r="I210" s="58" t="s">
        <v>99</v>
      </c>
      <c r="J210" s="58"/>
      <c r="K210" s="58">
        <v>900</v>
      </c>
      <c r="L210" s="58"/>
      <c r="M210" s="817"/>
      <c r="N210" s="206"/>
      <c r="O210" s="95"/>
      <c r="P210" s="37"/>
    </row>
    <row r="211" spans="1:18" ht="15.75" customHeight="1" x14ac:dyDescent="0.2">
      <c r="A211" s="812"/>
      <c r="B211" s="813"/>
      <c r="C211" s="338"/>
      <c r="D211" s="1899"/>
      <c r="E211" s="213" t="s">
        <v>174</v>
      </c>
      <c r="F211" s="821"/>
      <c r="G211" s="820"/>
      <c r="H211" s="824"/>
      <c r="I211" s="58"/>
      <c r="J211" s="58"/>
      <c r="K211" s="58"/>
      <c r="L211" s="58"/>
      <c r="M211" s="817"/>
      <c r="N211" s="206"/>
      <c r="O211" s="95"/>
      <c r="P211" s="37"/>
    </row>
    <row r="212" spans="1:18" ht="15.75" customHeight="1" x14ac:dyDescent="0.2">
      <c r="A212" s="812"/>
      <c r="B212" s="813"/>
      <c r="C212" s="338"/>
      <c r="D212" s="1899"/>
      <c r="E212" s="213" t="s">
        <v>263</v>
      </c>
      <c r="F212" s="821"/>
      <c r="G212" s="820"/>
      <c r="H212" s="824"/>
      <c r="I212" s="58"/>
      <c r="J212" s="58"/>
      <c r="K212" s="58"/>
      <c r="L212" s="58"/>
      <c r="M212" s="817"/>
      <c r="N212" s="206"/>
      <c r="O212" s="95"/>
      <c r="P212" s="37"/>
    </row>
    <row r="213" spans="1:18" ht="14.25" customHeight="1" x14ac:dyDescent="0.2">
      <c r="A213" s="812"/>
      <c r="B213" s="813"/>
      <c r="C213" s="338"/>
      <c r="D213" s="1899"/>
      <c r="E213" s="816" t="s">
        <v>264</v>
      </c>
      <c r="F213" s="821"/>
      <c r="G213" s="820"/>
      <c r="H213" s="824"/>
      <c r="I213" s="829"/>
      <c r="J213" s="58"/>
      <c r="K213" s="1010"/>
      <c r="L213" s="58"/>
      <c r="M213" s="817"/>
      <c r="N213" s="206"/>
      <c r="O213" s="38"/>
      <c r="P213" s="40"/>
    </row>
    <row r="214" spans="1:18" ht="19.5" customHeight="1" x14ac:dyDescent="0.2">
      <c r="A214" s="812"/>
      <c r="B214" s="813"/>
      <c r="C214" s="338"/>
      <c r="D214" s="2012" t="s">
        <v>256</v>
      </c>
      <c r="E214" s="1707" t="s">
        <v>257</v>
      </c>
      <c r="F214" s="821"/>
      <c r="G214" s="820"/>
      <c r="H214" s="824"/>
      <c r="I214" s="58" t="s">
        <v>25</v>
      </c>
      <c r="J214" s="828"/>
      <c r="K214" s="1009"/>
      <c r="L214" s="1009">
        <v>336</v>
      </c>
      <c r="M214" s="822" t="s">
        <v>66</v>
      </c>
      <c r="N214" s="46"/>
      <c r="O214" s="114"/>
      <c r="P214" s="37">
        <v>7.5</v>
      </c>
    </row>
    <row r="215" spans="1:18" ht="18.75" customHeight="1" x14ac:dyDescent="0.2">
      <c r="A215" s="812"/>
      <c r="B215" s="813"/>
      <c r="C215" s="338"/>
      <c r="D215" s="1901"/>
      <c r="E215" s="1708"/>
      <c r="F215" s="821"/>
      <c r="G215" s="820"/>
      <c r="H215" s="824"/>
      <c r="I215" s="829" t="s">
        <v>99</v>
      </c>
      <c r="J215" s="829"/>
      <c r="K215" s="1010"/>
      <c r="L215" s="1010">
        <v>900</v>
      </c>
      <c r="M215" s="483"/>
      <c r="N215" s="39"/>
      <c r="O215" s="143"/>
      <c r="P215" s="40"/>
    </row>
    <row r="216" spans="1:18" ht="26.25" customHeight="1" x14ac:dyDescent="0.2">
      <c r="A216" s="374"/>
      <c r="B216" s="375"/>
      <c r="C216" s="338"/>
      <c r="D216" s="202" t="s">
        <v>7</v>
      </c>
      <c r="E216" s="1713" t="s">
        <v>103</v>
      </c>
      <c r="F216" s="380"/>
      <c r="G216" s="453"/>
      <c r="H216" s="454"/>
      <c r="I216" s="52" t="s">
        <v>99</v>
      </c>
      <c r="J216" s="637">
        <v>262.3</v>
      </c>
      <c r="K216" s="1009">
        <v>110.3</v>
      </c>
      <c r="L216" s="1009">
        <v>110.3</v>
      </c>
      <c r="M216" s="388" t="s">
        <v>293</v>
      </c>
      <c r="N216" s="323" t="s">
        <v>292</v>
      </c>
      <c r="O216" s="950" t="s">
        <v>292</v>
      </c>
      <c r="P216" s="932" t="s">
        <v>292</v>
      </c>
      <c r="Q216" s="1593"/>
      <c r="R216" s="1593"/>
    </row>
    <row r="217" spans="1:18" ht="26.25" customHeight="1" x14ac:dyDescent="0.2">
      <c r="A217" s="374"/>
      <c r="B217" s="375"/>
      <c r="C217" s="338"/>
      <c r="D217" s="89"/>
      <c r="E217" s="1714"/>
      <c r="F217" s="381"/>
      <c r="G217" s="453"/>
      <c r="H217" s="454"/>
      <c r="I217" s="58" t="s">
        <v>25</v>
      </c>
      <c r="J217" s="206">
        <v>666.7</v>
      </c>
      <c r="K217" s="58">
        <f>1006.7-300</f>
        <v>706.7</v>
      </c>
      <c r="L217" s="58">
        <f>1006.7-300</f>
        <v>706.7</v>
      </c>
      <c r="M217" s="81" t="s">
        <v>40</v>
      </c>
      <c r="N217" s="176" t="s">
        <v>294</v>
      </c>
      <c r="O217" s="592" t="s">
        <v>294</v>
      </c>
      <c r="P217" s="706" t="s">
        <v>294</v>
      </c>
      <c r="Q217" s="1593"/>
      <c r="R217" s="1593"/>
    </row>
    <row r="218" spans="1:18" ht="15.75" customHeight="1" x14ac:dyDescent="0.2">
      <c r="A218" s="1579"/>
      <c r="B218" s="1580"/>
      <c r="C218" s="338"/>
      <c r="D218" s="89"/>
      <c r="E218" s="1714"/>
      <c r="F218" s="1581"/>
      <c r="G218" s="1582"/>
      <c r="H218" s="1586"/>
      <c r="I218" s="58"/>
      <c r="J218" s="1433"/>
      <c r="K218" s="58"/>
      <c r="L218" s="58"/>
      <c r="M218" s="81" t="s">
        <v>65</v>
      </c>
      <c r="N218" s="176" t="s">
        <v>288</v>
      </c>
      <c r="O218" s="592" t="s">
        <v>288</v>
      </c>
      <c r="P218" s="706" t="s">
        <v>288</v>
      </c>
      <c r="Q218" s="1593"/>
      <c r="R218" s="1593"/>
    </row>
    <row r="219" spans="1:18" ht="29.25" customHeight="1" x14ac:dyDescent="0.2">
      <c r="A219" s="374"/>
      <c r="B219" s="375"/>
      <c r="C219" s="338"/>
      <c r="D219" s="90"/>
      <c r="E219" s="1715"/>
      <c r="F219" s="137"/>
      <c r="G219" s="453"/>
      <c r="H219" s="455"/>
      <c r="I219" s="69" t="s">
        <v>99</v>
      </c>
      <c r="J219" s="693">
        <v>110.5</v>
      </c>
      <c r="K219" s="1010"/>
      <c r="L219" s="1010"/>
      <c r="M219" s="1595" t="s">
        <v>379</v>
      </c>
      <c r="N219" s="1596" t="s">
        <v>380</v>
      </c>
      <c r="O219" s="1597"/>
      <c r="P219" s="1594"/>
      <c r="Q219" s="1593"/>
      <c r="R219" s="1593"/>
    </row>
    <row r="220" spans="1:18" ht="15.75" customHeight="1" x14ac:dyDescent="0.2">
      <c r="A220" s="1704"/>
      <c r="B220" s="1705"/>
      <c r="C220" s="2007"/>
      <c r="D220" s="199" t="s">
        <v>28</v>
      </c>
      <c r="E220" s="1707" t="s">
        <v>53</v>
      </c>
      <c r="F220" s="381"/>
      <c r="G220" s="379"/>
      <c r="H220" s="385"/>
      <c r="I220" s="58" t="s">
        <v>25</v>
      </c>
      <c r="J220" s="58">
        <v>400</v>
      </c>
      <c r="K220" s="58">
        <v>400</v>
      </c>
      <c r="L220" s="58">
        <v>400</v>
      </c>
      <c r="M220" s="1682" t="s">
        <v>290</v>
      </c>
      <c r="N220" s="323" t="s">
        <v>289</v>
      </c>
      <c r="O220" s="755" t="s">
        <v>289</v>
      </c>
      <c r="P220" s="408" t="s">
        <v>289</v>
      </c>
      <c r="Q220" s="1593"/>
      <c r="R220" s="1593"/>
    </row>
    <row r="221" spans="1:18" ht="18" customHeight="1" x14ac:dyDescent="0.2">
      <c r="A221" s="1704"/>
      <c r="B221" s="1705"/>
      <c r="C221" s="2007"/>
      <c r="D221" s="90"/>
      <c r="E221" s="1708"/>
      <c r="F221" s="137"/>
      <c r="G221" s="379"/>
      <c r="H221" s="385"/>
      <c r="I221" s="707"/>
      <c r="J221" s="707"/>
      <c r="K221" s="707"/>
      <c r="L221" s="1010"/>
      <c r="M221" s="1849"/>
      <c r="N221" s="39"/>
      <c r="O221" s="143"/>
      <c r="P221" s="40"/>
      <c r="Q221" s="1593"/>
      <c r="R221" s="1593"/>
    </row>
    <row r="222" spans="1:18" ht="15.75" customHeight="1" x14ac:dyDescent="0.2">
      <c r="A222" s="1704"/>
      <c r="B222" s="1705"/>
      <c r="C222" s="2007"/>
      <c r="D222" s="2008" t="s">
        <v>33</v>
      </c>
      <c r="E222" s="2042" t="s">
        <v>271</v>
      </c>
      <c r="F222" s="1817"/>
      <c r="G222" s="1706"/>
      <c r="H222" s="277"/>
      <c r="I222" s="828"/>
      <c r="J222" s="1009"/>
      <c r="K222" s="1009"/>
      <c r="L222" s="1009"/>
      <c r="M222" s="1070"/>
      <c r="N222" s="931"/>
      <c r="O222" s="494"/>
      <c r="P222" s="932"/>
    </row>
    <row r="223" spans="1:18" ht="12" customHeight="1" x14ac:dyDescent="0.2">
      <c r="A223" s="1704"/>
      <c r="B223" s="1705"/>
      <c r="C223" s="2007"/>
      <c r="D223" s="1808"/>
      <c r="E223" s="2043"/>
      <c r="F223" s="1836"/>
      <c r="G223" s="1706"/>
      <c r="H223" s="277"/>
      <c r="I223" s="58" t="s">
        <v>68</v>
      </c>
      <c r="J223" s="58">
        <f>268-48-30+5</f>
        <v>195</v>
      </c>
      <c r="K223" s="58">
        <f>447-30+34.1</f>
        <v>451.1</v>
      </c>
      <c r="L223" s="58">
        <f>417+98.4</f>
        <v>515.4</v>
      </c>
      <c r="M223" s="1840"/>
      <c r="N223" s="34"/>
      <c r="O223" s="467"/>
      <c r="P223" s="314"/>
    </row>
    <row r="224" spans="1:18" ht="15" customHeight="1" x14ac:dyDescent="0.2">
      <c r="A224" s="1704"/>
      <c r="B224" s="1705"/>
      <c r="C224" s="2007"/>
      <c r="D224" s="1808"/>
      <c r="E224" s="1873"/>
      <c r="F224" s="1836"/>
      <c r="G224" s="1706"/>
      <c r="H224" s="277"/>
      <c r="I224" s="58" t="s">
        <v>75</v>
      </c>
      <c r="J224" s="58">
        <f>270+17.9</f>
        <v>287.89999999999998</v>
      </c>
      <c r="K224" s="58"/>
      <c r="L224" s="58"/>
      <c r="M224" s="1779"/>
      <c r="N224" s="34"/>
      <c r="O224" s="467"/>
      <c r="P224" s="314"/>
    </row>
    <row r="225" spans="1:18" ht="15" customHeight="1" x14ac:dyDescent="0.2">
      <c r="A225" s="1704"/>
      <c r="B225" s="1705"/>
      <c r="C225" s="2007"/>
      <c r="D225" s="1808"/>
      <c r="E225" s="1873"/>
      <c r="F225" s="1836"/>
      <c r="G225" s="1706"/>
      <c r="H225" s="277"/>
      <c r="I225" s="58" t="s">
        <v>99</v>
      </c>
      <c r="J225" s="458">
        <v>231.5</v>
      </c>
      <c r="K225" s="58">
        <v>120</v>
      </c>
      <c r="L225" s="58">
        <v>120</v>
      </c>
      <c r="M225" s="1051"/>
      <c r="N225" s="713"/>
      <c r="O225" s="933"/>
      <c r="P225" s="934"/>
    </row>
    <row r="226" spans="1:18" ht="17.25" customHeight="1" x14ac:dyDescent="0.2">
      <c r="A226" s="1704"/>
      <c r="B226" s="1705"/>
      <c r="C226" s="2007"/>
      <c r="D226" s="1808"/>
      <c r="E226" s="935"/>
      <c r="F226" s="1836"/>
      <c r="G226" s="1706"/>
      <c r="H226" s="277"/>
      <c r="I226" s="58"/>
      <c r="J226" s="458"/>
      <c r="K226" s="58"/>
      <c r="L226" s="58"/>
      <c r="M226" s="1097" t="s">
        <v>295</v>
      </c>
      <c r="N226" s="1488" t="s">
        <v>356</v>
      </c>
      <c r="O226" s="600" t="s">
        <v>299</v>
      </c>
      <c r="P226" s="488" t="s">
        <v>299</v>
      </c>
    </row>
    <row r="227" spans="1:18" ht="18" customHeight="1" x14ac:dyDescent="0.2">
      <c r="A227" s="1704"/>
      <c r="B227" s="1705"/>
      <c r="C227" s="2007"/>
      <c r="D227" s="1808"/>
      <c r="E227" s="493"/>
      <c r="F227" s="1836"/>
      <c r="G227" s="1706"/>
      <c r="H227" s="277"/>
      <c r="I227" s="58"/>
      <c r="J227" s="58"/>
      <c r="K227" s="58"/>
      <c r="L227" s="58"/>
      <c r="M227" s="1051" t="s">
        <v>291</v>
      </c>
      <c r="N227" s="1484" t="s">
        <v>358</v>
      </c>
      <c r="O227" s="34" t="s">
        <v>312</v>
      </c>
      <c r="P227" s="314" t="s">
        <v>312</v>
      </c>
    </row>
    <row r="228" spans="1:18" ht="21.75" customHeight="1" x14ac:dyDescent="0.2">
      <c r="A228" s="1704"/>
      <c r="B228" s="1705"/>
      <c r="C228" s="2007"/>
      <c r="D228" s="1808"/>
      <c r="E228" s="935"/>
      <c r="F228" s="1836"/>
      <c r="G228" s="1706"/>
      <c r="H228" s="277"/>
      <c r="I228" s="58"/>
      <c r="J228" s="58"/>
      <c r="K228" s="58"/>
      <c r="L228" s="58"/>
      <c r="M228" s="1702" t="s">
        <v>296</v>
      </c>
      <c r="N228" s="346"/>
      <c r="O228" s="1493" t="s">
        <v>286</v>
      </c>
      <c r="P228" s="410"/>
    </row>
    <row r="229" spans="1:18" ht="11.25" customHeight="1" x14ac:dyDescent="0.2">
      <c r="A229" s="1704"/>
      <c r="B229" s="1705"/>
      <c r="C229" s="2007"/>
      <c r="D229" s="1808"/>
      <c r="E229" s="935"/>
      <c r="F229" s="1836"/>
      <c r="G229" s="1706"/>
      <c r="H229" s="277"/>
      <c r="I229" s="58"/>
      <c r="J229" s="58"/>
      <c r="K229" s="58"/>
      <c r="L229" s="58"/>
      <c r="M229" s="1984"/>
      <c r="N229" s="756"/>
      <c r="O229" s="1488"/>
      <c r="P229" s="488"/>
    </row>
    <row r="230" spans="1:18" ht="40.5" customHeight="1" x14ac:dyDescent="0.2">
      <c r="A230" s="1704"/>
      <c r="B230" s="1705"/>
      <c r="C230" s="2007"/>
      <c r="D230" s="1808"/>
      <c r="E230" s="493"/>
      <c r="F230" s="1836"/>
      <c r="G230" s="1706"/>
      <c r="H230" s="277"/>
      <c r="I230" s="58"/>
      <c r="J230" s="58"/>
      <c r="K230" s="58"/>
      <c r="L230" s="58"/>
      <c r="M230" s="1418" t="s">
        <v>297</v>
      </c>
      <c r="N230" s="756"/>
      <c r="O230" s="1488" t="s">
        <v>287</v>
      </c>
      <c r="P230" s="488"/>
    </row>
    <row r="231" spans="1:18" ht="30.75" customHeight="1" x14ac:dyDescent="0.2">
      <c r="A231" s="1704"/>
      <c r="B231" s="1705"/>
      <c r="C231" s="2007"/>
      <c r="D231" s="2009"/>
      <c r="E231" s="1432"/>
      <c r="F231" s="2020"/>
      <c r="G231" s="1706"/>
      <c r="H231" s="277"/>
      <c r="I231" s="1010"/>
      <c r="J231" s="1010"/>
      <c r="K231" s="1010"/>
      <c r="L231" s="1010"/>
      <c r="M231" s="1416" t="s">
        <v>346</v>
      </c>
      <c r="N231" s="286" t="s">
        <v>55</v>
      </c>
      <c r="O231" s="468"/>
      <c r="P231" s="411"/>
    </row>
    <row r="232" spans="1:18" ht="22.5" customHeight="1" x14ac:dyDescent="0.2">
      <c r="A232" s="374"/>
      <c r="B232" s="375"/>
      <c r="C232" s="377"/>
      <c r="D232" s="383" t="s">
        <v>34</v>
      </c>
      <c r="E232" s="1796" t="s">
        <v>102</v>
      </c>
      <c r="F232" s="381"/>
      <c r="G232" s="379"/>
      <c r="H232" s="376"/>
      <c r="I232" s="58" t="s">
        <v>25</v>
      </c>
      <c r="J232" s="58">
        <f>631-100</f>
        <v>531</v>
      </c>
      <c r="K232" s="58">
        <v>543.70000000000005</v>
      </c>
      <c r="L232" s="58">
        <v>300</v>
      </c>
      <c r="M232" s="1840" t="s">
        <v>146</v>
      </c>
      <c r="N232" s="913">
        <v>14</v>
      </c>
      <c r="O232" s="399">
        <v>12</v>
      </c>
      <c r="P232" s="912">
        <v>6</v>
      </c>
    </row>
    <row r="233" spans="1:18" ht="16.5" customHeight="1" x14ac:dyDescent="0.2">
      <c r="A233" s="222"/>
      <c r="B233" s="224"/>
      <c r="C233" s="332"/>
      <c r="D233" s="273"/>
      <c r="E233" s="2021"/>
      <c r="F233" s="137"/>
      <c r="G233" s="656"/>
      <c r="H233" s="661"/>
      <c r="I233" s="57" t="s">
        <v>60</v>
      </c>
      <c r="J233" s="1010">
        <v>61.7</v>
      </c>
      <c r="K233" s="1010"/>
      <c r="L233" s="1010"/>
      <c r="M233" s="1841"/>
      <c r="N233" s="19"/>
      <c r="O233" s="283"/>
      <c r="P233" s="20"/>
    </row>
    <row r="234" spans="1:18" ht="15.75" customHeight="1" x14ac:dyDescent="0.2">
      <c r="A234" s="229"/>
      <c r="B234" s="224"/>
      <c r="C234" s="341"/>
      <c r="D234" s="740" t="s">
        <v>35</v>
      </c>
      <c r="E234" s="1707" t="s">
        <v>39</v>
      </c>
      <c r="F234" s="735"/>
      <c r="G234" s="260"/>
      <c r="H234" s="276"/>
      <c r="I234" s="54" t="s">
        <v>99</v>
      </c>
      <c r="J234" s="58">
        <v>70</v>
      </c>
      <c r="K234" s="58">
        <v>70</v>
      </c>
      <c r="L234" s="58">
        <v>70</v>
      </c>
      <c r="M234" s="963" t="s">
        <v>270</v>
      </c>
      <c r="N234" s="223">
        <v>14</v>
      </c>
      <c r="O234" s="660">
        <v>14</v>
      </c>
      <c r="P234" s="673">
        <v>14</v>
      </c>
    </row>
    <row r="235" spans="1:18" ht="13.5" customHeight="1" x14ac:dyDescent="0.2">
      <c r="A235" s="387"/>
      <c r="B235" s="375"/>
      <c r="C235" s="378"/>
      <c r="D235" s="199"/>
      <c r="E235" s="1742"/>
      <c r="F235" s="736"/>
      <c r="G235" s="379"/>
      <c r="H235" s="462"/>
      <c r="I235" s="58" t="s">
        <v>25</v>
      </c>
      <c r="J235" s="58">
        <f>50+43</f>
        <v>93</v>
      </c>
      <c r="K235" s="58">
        <v>80</v>
      </c>
      <c r="L235" s="79">
        <v>80</v>
      </c>
      <c r="M235" s="957"/>
      <c r="N235" s="826"/>
      <c r="O235" s="282"/>
      <c r="P235" s="659"/>
    </row>
    <row r="236" spans="1:18" ht="16.5" customHeight="1" x14ac:dyDescent="0.2">
      <c r="A236" s="229"/>
      <c r="B236" s="224"/>
      <c r="C236" s="341"/>
      <c r="D236" s="90"/>
      <c r="E236" s="1708"/>
      <c r="F236" s="739"/>
      <c r="G236" s="260"/>
      <c r="H236" s="270"/>
      <c r="I236" s="57" t="s">
        <v>60</v>
      </c>
      <c r="J236" s="1010">
        <f>30+5</f>
        <v>35</v>
      </c>
      <c r="K236" s="1010"/>
      <c r="L236" s="82"/>
      <c r="M236" s="1051"/>
      <c r="N236" s="19"/>
      <c r="O236" s="283"/>
      <c r="P236" s="20"/>
    </row>
    <row r="237" spans="1:18" ht="15" customHeight="1" x14ac:dyDescent="0.2">
      <c r="A237" s="815"/>
      <c r="B237" s="813"/>
      <c r="C237" s="378"/>
      <c r="D237" s="2008" t="s">
        <v>36</v>
      </c>
      <c r="E237" s="2018" t="s">
        <v>235</v>
      </c>
      <c r="F237" s="821"/>
      <c r="G237" s="814"/>
      <c r="H237" s="825"/>
      <c r="I237" s="1007" t="s">
        <v>99</v>
      </c>
      <c r="J237" s="1009">
        <v>15</v>
      </c>
      <c r="K237" s="1009">
        <v>63</v>
      </c>
      <c r="L237" s="1009"/>
      <c r="M237" s="791" t="s">
        <v>92</v>
      </c>
      <c r="N237" s="633">
        <v>1</v>
      </c>
      <c r="O237" s="282"/>
      <c r="P237" s="1078"/>
    </row>
    <row r="238" spans="1:18" ht="27.75" customHeight="1" x14ac:dyDescent="0.2">
      <c r="A238" s="815"/>
      <c r="B238" s="813"/>
      <c r="C238" s="823"/>
      <c r="D238" s="2009"/>
      <c r="E238" s="2019"/>
      <c r="F238" s="821"/>
      <c r="G238" s="814"/>
      <c r="H238" s="835"/>
      <c r="I238" s="1008"/>
      <c r="J238" s="1010"/>
      <c r="K238" s="1010"/>
      <c r="L238" s="1010"/>
      <c r="M238" s="441" t="s">
        <v>249</v>
      </c>
      <c r="N238" s="796"/>
      <c r="O238" s="797">
        <v>100</v>
      </c>
      <c r="P238" s="799"/>
    </row>
    <row r="239" spans="1:18" ht="17.25" customHeight="1" x14ac:dyDescent="0.2">
      <c r="A239" s="840"/>
      <c r="B239" s="838"/>
      <c r="C239" s="846"/>
      <c r="D239" s="843" t="s">
        <v>184</v>
      </c>
      <c r="E239" s="841" t="s">
        <v>269</v>
      </c>
      <c r="F239" s="131"/>
      <c r="G239" s="839"/>
      <c r="H239" s="845"/>
      <c r="I239" s="852" t="s">
        <v>99</v>
      </c>
      <c r="J239" s="1494">
        <v>20</v>
      </c>
      <c r="K239" s="1474">
        <v>170</v>
      </c>
      <c r="L239" s="690">
        <v>190</v>
      </c>
      <c r="M239" s="854" t="s">
        <v>46</v>
      </c>
      <c r="N239" s="1497">
        <v>3</v>
      </c>
      <c r="O239" s="472"/>
      <c r="P239" s="188"/>
    </row>
    <row r="240" spans="1:18" ht="26.25" customHeight="1" x14ac:dyDescent="0.2">
      <c r="A240" s="833"/>
      <c r="B240" s="834"/>
      <c r="C240" s="836"/>
      <c r="D240" s="339"/>
      <c r="E240" s="855" t="s">
        <v>267</v>
      </c>
      <c r="F240" s="1920"/>
      <c r="G240" s="1922"/>
      <c r="H240" s="850"/>
      <c r="I240" s="848" t="s">
        <v>99</v>
      </c>
      <c r="J240" s="60"/>
      <c r="K240" s="95">
        <v>5</v>
      </c>
      <c r="L240" s="58">
        <v>10</v>
      </c>
      <c r="M240" s="440" t="s">
        <v>265</v>
      </c>
      <c r="N240" s="723"/>
      <c r="O240" s="1495">
        <v>50</v>
      </c>
      <c r="P240" s="1496">
        <v>100</v>
      </c>
      <c r="R240" s="47"/>
    </row>
    <row r="241" spans="1:19" ht="17.25" customHeight="1" x14ac:dyDescent="0.2">
      <c r="A241" s="842"/>
      <c r="B241" s="844"/>
      <c r="C241" s="847"/>
      <c r="D241" s="339"/>
      <c r="E241" s="855" t="s">
        <v>266</v>
      </c>
      <c r="F241" s="1920"/>
      <c r="G241" s="1922"/>
      <c r="H241" s="850"/>
      <c r="I241" s="848"/>
      <c r="J241" s="60"/>
      <c r="K241" s="1616"/>
      <c r="L241" s="1617"/>
      <c r="M241" s="440"/>
      <c r="N241" s="723"/>
      <c r="O241" s="723"/>
      <c r="P241" s="300"/>
      <c r="R241" s="47"/>
    </row>
    <row r="242" spans="1:19" ht="15.75" customHeight="1" x14ac:dyDescent="0.2">
      <c r="A242" s="842"/>
      <c r="B242" s="844"/>
      <c r="C242" s="847"/>
      <c r="D242" s="339"/>
      <c r="E242" s="837" t="s">
        <v>268</v>
      </c>
      <c r="F242" s="1921"/>
      <c r="G242" s="1923"/>
      <c r="H242" s="851"/>
      <c r="I242" s="849"/>
      <c r="J242" s="1008"/>
      <c r="K242" s="143"/>
      <c r="L242" s="1010"/>
      <c r="M242" s="441"/>
      <c r="N242" s="723"/>
      <c r="O242" s="357"/>
      <c r="P242" s="300"/>
      <c r="R242" s="47"/>
    </row>
    <row r="243" spans="1:19" ht="13.5" customHeight="1" x14ac:dyDescent="0.2">
      <c r="A243" s="1031"/>
      <c r="B243" s="1029"/>
      <c r="C243" s="337"/>
      <c r="D243" s="2008" t="s">
        <v>311</v>
      </c>
      <c r="E243" s="1707" t="s">
        <v>302</v>
      </c>
      <c r="F243" s="940" t="s">
        <v>47</v>
      </c>
      <c r="G243" s="1028"/>
      <c r="H243" s="1033"/>
      <c r="I243" s="1012" t="s">
        <v>99</v>
      </c>
      <c r="J243" s="1009">
        <v>20</v>
      </c>
      <c r="K243" s="1009">
        <v>100</v>
      </c>
      <c r="L243" s="1009">
        <v>200</v>
      </c>
      <c r="M243" s="791" t="s">
        <v>92</v>
      </c>
      <c r="N243" s="792">
        <v>1</v>
      </c>
      <c r="O243" s="793"/>
      <c r="P243" s="794"/>
    </row>
    <row r="244" spans="1:19" ht="25.5" customHeight="1" x14ac:dyDescent="0.2">
      <c r="A244" s="1031"/>
      <c r="B244" s="1029"/>
      <c r="C244" s="337"/>
      <c r="D244" s="2009"/>
      <c r="E244" s="1708"/>
      <c r="F244" s="470"/>
      <c r="G244" s="1034"/>
      <c r="H244" s="827"/>
      <c r="I244" s="1013"/>
      <c r="J244" s="1010"/>
      <c r="K244" s="1010"/>
      <c r="L244" s="1010"/>
      <c r="M244" s="441" t="s">
        <v>283</v>
      </c>
      <c r="N244" s="796"/>
      <c r="O244" s="941">
        <v>20</v>
      </c>
      <c r="P244" s="798">
        <v>100</v>
      </c>
      <c r="R244" s="47"/>
    </row>
    <row r="245" spans="1:19" ht="14.25" customHeight="1" thickBot="1" x14ac:dyDescent="0.25">
      <c r="A245" s="64"/>
      <c r="B245" s="228"/>
      <c r="C245" s="168"/>
      <c r="D245" s="250"/>
      <c r="E245" s="343"/>
      <c r="F245" s="344"/>
      <c r="G245" s="168"/>
      <c r="H245" s="318"/>
      <c r="I245" s="129" t="s">
        <v>6</v>
      </c>
      <c r="J245" s="189">
        <f>SUM(J200:J244)</f>
        <v>4037.8</v>
      </c>
      <c r="K245" s="189">
        <f>SUM(K200:K244)</f>
        <v>3805.8</v>
      </c>
      <c r="L245" s="189">
        <f>SUM(L200:L244)</f>
        <v>3938.4</v>
      </c>
      <c r="M245" s="345"/>
      <c r="N245" s="335"/>
      <c r="O245" s="335"/>
      <c r="P245" s="336"/>
    </row>
    <row r="246" spans="1:19" ht="26.25" customHeight="1" x14ac:dyDescent="0.2">
      <c r="A246" s="229" t="s">
        <v>5</v>
      </c>
      <c r="B246" s="224" t="s">
        <v>33</v>
      </c>
      <c r="C246" s="200" t="s">
        <v>7</v>
      </c>
      <c r="D246" s="1706"/>
      <c r="E246" s="2041" t="s">
        <v>132</v>
      </c>
      <c r="F246" s="1761" t="s">
        <v>47</v>
      </c>
      <c r="G246" s="1854" t="s">
        <v>43</v>
      </c>
      <c r="H246" s="2039" t="s">
        <v>115</v>
      </c>
      <c r="I246" s="58" t="s">
        <v>25</v>
      </c>
      <c r="J246" s="58"/>
      <c r="K246" s="58">
        <v>111</v>
      </c>
      <c r="L246" s="58">
        <v>199.3</v>
      </c>
      <c r="M246" s="465" t="s">
        <v>140</v>
      </c>
      <c r="N246" s="183"/>
      <c r="O246" s="427">
        <v>1</v>
      </c>
      <c r="P246" s="428"/>
      <c r="R246" s="1620"/>
    </row>
    <row r="247" spans="1:19" ht="26.25" customHeight="1" x14ac:dyDescent="0.2">
      <c r="A247" s="464"/>
      <c r="B247" s="463"/>
      <c r="C247" s="200"/>
      <c r="D247" s="1706"/>
      <c r="E247" s="1742"/>
      <c r="F247" s="1761"/>
      <c r="G247" s="1854"/>
      <c r="H247" s="2040"/>
      <c r="I247" s="58" t="s">
        <v>60</v>
      </c>
      <c r="J247" s="58">
        <v>83.9</v>
      </c>
      <c r="K247" s="58"/>
      <c r="L247" s="58"/>
      <c r="M247" s="81" t="s">
        <v>210</v>
      </c>
      <c r="N247" s="23">
        <v>100</v>
      </c>
      <c r="O247" s="291"/>
      <c r="P247" s="24"/>
    </row>
    <row r="248" spans="1:19" ht="26.25" customHeight="1" x14ac:dyDescent="0.2">
      <c r="A248" s="955"/>
      <c r="B248" s="953"/>
      <c r="C248" s="200"/>
      <c r="D248" s="954"/>
      <c r="E248" s="1742"/>
      <c r="F248" s="1761"/>
      <c r="G248" s="1855"/>
      <c r="H248" s="2040"/>
      <c r="I248" s="977"/>
      <c r="J248" s="977"/>
      <c r="K248" s="977"/>
      <c r="L248" s="977"/>
      <c r="M248" s="969" t="s">
        <v>135</v>
      </c>
      <c r="N248" s="346"/>
      <c r="O248" s="1000">
        <v>30</v>
      </c>
      <c r="P248" s="188">
        <v>100</v>
      </c>
      <c r="S248" s="47"/>
    </row>
    <row r="249" spans="1:19" ht="17.25" customHeight="1" thickBot="1" x14ac:dyDescent="0.25">
      <c r="A249" s="64"/>
      <c r="B249" s="228"/>
      <c r="C249" s="91"/>
      <c r="D249" s="96"/>
      <c r="E249" s="1852"/>
      <c r="F249" s="1853"/>
      <c r="G249" s="1856"/>
      <c r="H249" s="2037"/>
      <c r="I249" s="129" t="s">
        <v>6</v>
      </c>
      <c r="J249" s="129">
        <f>SUM(J246:J247)</f>
        <v>83.9</v>
      </c>
      <c r="K249" s="129">
        <f>SUM(K246:K247)</f>
        <v>111</v>
      </c>
      <c r="L249" s="129">
        <f>SUM(L246:L247)</f>
        <v>199.3</v>
      </c>
      <c r="M249" s="754"/>
      <c r="N249" s="182"/>
      <c r="O249" s="593"/>
      <c r="P249" s="625"/>
    </row>
    <row r="250" spans="1:19" ht="14.25" customHeight="1" thickBot="1" x14ac:dyDescent="0.25">
      <c r="A250" s="64" t="s">
        <v>5</v>
      </c>
      <c r="B250" s="228" t="s">
        <v>33</v>
      </c>
      <c r="C250" s="1857" t="s">
        <v>8</v>
      </c>
      <c r="D250" s="1857"/>
      <c r="E250" s="1857"/>
      <c r="F250" s="1857"/>
      <c r="G250" s="1857"/>
      <c r="H250" s="1857"/>
      <c r="I250" s="1858"/>
      <c r="J250" s="567">
        <f>J249+J245</f>
        <v>4121.7</v>
      </c>
      <c r="K250" s="567">
        <f>K249+K245</f>
        <v>3916.8</v>
      </c>
      <c r="L250" s="567">
        <f>L249+L245</f>
        <v>4137.7</v>
      </c>
      <c r="M250" s="1842"/>
      <c r="N250" s="1842"/>
      <c r="O250" s="1842"/>
      <c r="P250" s="1843"/>
    </row>
    <row r="251" spans="1:19" ht="14.25" customHeight="1" thickBot="1" x14ac:dyDescent="0.25">
      <c r="A251" s="86" t="s">
        <v>5</v>
      </c>
      <c r="B251" s="1844" t="s">
        <v>9</v>
      </c>
      <c r="C251" s="1845"/>
      <c r="D251" s="1845"/>
      <c r="E251" s="1845"/>
      <c r="F251" s="1845"/>
      <c r="G251" s="1845"/>
      <c r="H251" s="1845"/>
      <c r="I251" s="1846"/>
      <c r="J251" s="133">
        <f>J250+J197+J148+J100</f>
        <v>27486.3</v>
      </c>
      <c r="K251" s="133">
        <f>K250+K197+K148+K100</f>
        <v>34570.199999999997</v>
      </c>
      <c r="L251" s="133">
        <f>L250+L197+L148+L100</f>
        <v>27840.799999999999</v>
      </c>
      <c r="M251" s="1847"/>
      <c r="N251" s="1847"/>
      <c r="O251" s="1847"/>
      <c r="P251" s="1848"/>
    </row>
    <row r="252" spans="1:19" ht="14.25" customHeight="1" thickBot="1" x14ac:dyDescent="0.25">
      <c r="A252" s="97" t="s">
        <v>35</v>
      </c>
      <c r="B252" s="1895" t="s">
        <v>57</v>
      </c>
      <c r="C252" s="1896"/>
      <c r="D252" s="1896"/>
      <c r="E252" s="1896"/>
      <c r="F252" s="1896"/>
      <c r="G252" s="1896"/>
      <c r="H252" s="1896"/>
      <c r="I252" s="1897"/>
      <c r="J252" s="134">
        <f>SUM(J251)</f>
        <v>27486.3</v>
      </c>
      <c r="K252" s="134">
        <f>SUM(K251)</f>
        <v>34570.199999999997</v>
      </c>
      <c r="L252" s="134">
        <f t="shared" ref="L252" si="2">SUM(L251)</f>
        <v>27840.799999999999</v>
      </c>
      <c r="M252" s="1850"/>
      <c r="N252" s="1850"/>
      <c r="O252" s="1850"/>
      <c r="P252" s="1851"/>
      <c r="R252" s="47"/>
    </row>
    <row r="253" spans="1:19" ht="14.25" customHeight="1" x14ac:dyDescent="0.2">
      <c r="A253" s="1502"/>
      <c r="B253" s="1503"/>
      <c r="C253" s="1503"/>
      <c r="D253" s="1503"/>
      <c r="E253" s="1503"/>
      <c r="F253" s="1503"/>
      <c r="G253" s="1503"/>
      <c r="H253" s="1503"/>
      <c r="I253" s="1503"/>
      <c r="J253" s="1502"/>
      <c r="K253" s="1502"/>
      <c r="L253" s="1502"/>
      <c r="M253" s="98"/>
      <c r="N253" s="98"/>
      <c r="O253" s="98"/>
      <c r="P253" s="98"/>
    </row>
    <row r="254" spans="1:19" s="4" customFormat="1" ht="12" customHeight="1" x14ac:dyDescent="0.2">
      <c r="A254" s="714"/>
      <c r="B254" s="649"/>
      <c r="C254" s="649"/>
      <c r="D254" s="649"/>
      <c r="E254" s="649"/>
      <c r="F254" s="649"/>
      <c r="G254" s="649"/>
      <c r="H254" s="649"/>
      <c r="I254" s="649"/>
      <c r="J254" s="649"/>
      <c r="K254" s="649"/>
      <c r="L254" s="649"/>
      <c r="M254" s="649"/>
      <c r="N254" s="714"/>
      <c r="O254" s="714"/>
      <c r="P254" s="714"/>
    </row>
    <row r="255" spans="1:19" s="5" customFormat="1" ht="15" customHeight="1" thickBot="1" x14ac:dyDescent="0.25">
      <c r="A255" s="1930" t="s">
        <v>13</v>
      </c>
      <c r="B255" s="1930"/>
      <c r="C255" s="1930"/>
      <c r="D255" s="1930"/>
      <c r="E255" s="1930"/>
      <c r="F255" s="1930"/>
      <c r="G255" s="1930"/>
      <c r="H255" s="1930"/>
      <c r="I255" s="1930"/>
      <c r="J255" s="144"/>
      <c r="K255" s="144"/>
      <c r="L255" s="144"/>
      <c r="M255" s="98"/>
      <c r="N255" s="98"/>
      <c r="O255" s="98"/>
      <c r="P255" s="98"/>
    </row>
    <row r="256" spans="1:19" ht="62.25" customHeight="1" thickBot="1" x14ac:dyDescent="0.25">
      <c r="A256" s="1931" t="s">
        <v>10</v>
      </c>
      <c r="B256" s="1932"/>
      <c r="C256" s="1932"/>
      <c r="D256" s="1932"/>
      <c r="E256" s="1932"/>
      <c r="F256" s="1932"/>
      <c r="G256" s="1932"/>
      <c r="H256" s="1932"/>
      <c r="I256" s="1933"/>
      <c r="J256" s="669" t="s">
        <v>228</v>
      </c>
      <c r="K256" s="689" t="s">
        <v>159</v>
      </c>
      <c r="L256" s="689" t="s">
        <v>224</v>
      </c>
      <c r="M256" s="13"/>
      <c r="N256" s="13"/>
      <c r="O256" s="13"/>
      <c r="P256" s="13"/>
    </row>
    <row r="257" spans="1:19" ht="14.25" customHeight="1" x14ac:dyDescent="0.2">
      <c r="A257" s="1934" t="s">
        <v>14</v>
      </c>
      <c r="B257" s="1935"/>
      <c r="C257" s="1935"/>
      <c r="D257" s="1935"/>
      <c r="E257" s="1935"/>
      <c r="F257" s="1935"/>
      <c r="G257" s="1935"/>
      <c r="H257" s="1935"/>
      <c r="I257" s="1936"/>
      <c r="J257" s="670">
        <f t="shared" ref="J257" si="3">J258+J266+J267+J268+J265</f>
        <v>24778.400000000001</v>
      </c>
      <c r="K257" s="670">
        <f>K258+K266+K267+K268+K265</f>
        <v>16218.2</v>
      </c>
      <c r="L257" s="1004">
        <f t="shared" ref="L257" si="4">L258+L266+L267+L268+L265</f>
        <v>16350.8</v>
      </c>
      <c r="M257" s="13"/>
      <c r="N257" s="13"/>
      <c r="O257" s="13"/>
      <c r="P257" s="13"/>
      <c r="R257" s="1619" t="s">
        <v>389</v>
      </c>
    </row>
    <row r="258" spans="1:19" ht="14.25" customHeight="1" thickBot="1" x14ac:dyDescent="0.25">
      <c r="A258" s="1914" t="s">
        <v>91</v>
      </c>
      <c r="B258" s="1915"/>
      <c r="C258" s="1915"/>
      <c r="D258" s="1915"/>
      <c r="E258" s="1915"/>
      <c r="F258" s="1915"/>
      <c r="G258" s="1915"/>
      <c r="H258" s="1915"/>
      <c r="I258" s="1916"/>
      <c r="J258" s="671">
        <f>SUM(J259:J264)</f>
        <v>20261.3</v>
      </c>
      <c r="K258" s="671">
        <f t="shared" ref="K258:L258" si="5">SUM(K259:K264)</f>
        <v>11026.6</v>
      </c>
      <c r="L258" s="1003">
        <f t="shared" si="5"/>
        <v>11414.1</v>
      </c>
      <c r="M258" s="13"/>
      <c r="N258" s="13"/>
      <c r="O258" s="13"/>
      <c r="P258" s="13"/>
      <c r="Q258" s="1">
        <v>2019</v>
      </c>
      <c r="R258" s="1">
        <v>2020</v>
      </c>
      <c r="S258" s="1">
        <v>2021</v>
      </c>
    </row>
    <row r="259" spans="1:19" ht="14.25" customHeight="1" thickBot="1" x14ac:dyDescent="0.25">
      <c r="A259" s="1917" t="s">
        <v>19</v>
      </c>
      <c r="B259" s="1918"/>
      <c r="C259" s="1918"/>
      <c r="D259" s="1918"/>
      <c r="E259" s="1918"/>
      <c r="F259" s="1918"/>
      <c r="G259" s="1918"/>
      <c r="H259" s="1918"/>
      <c r="I259" s="1919"/>
      <c r="J259" s="988">
        <f>SUMIF(I13:I252,"SB",J13:J252)</f>
        <v>7994.3</v>
      </c>
      <c r="K259" s="988">
        <f>SUMIF(I12:I252,"SB",K12:K252)</f>
        <v>9133.2000000000007</v>
      </c>
      <c r="L259" s="988">
        <f>SUMIF(I12:I252,"SB",L12:L252)</f>
        <v>9598.7999999999993</v>
      </c>
      <c r="M259" s="1618"/>
      <c r="N259" s="47"/>
      <c r="O259" s="13"/>
      <c r="P259" s="13"/>
      <c r="Q259" s="1621">
        <f>SUMIF(I102:I245,"SB(KPP)",J102:J245)</f>
        <v>1948.3</v>
      </c>
      <c r="R259" s="1621">
        <f>SUMIF(I102:I245,"SB(KPP)",K102:K245)</f>
        <v>1947.3</v>
      </c>
      <c r="S259" s="1621">
        <f>SUMIF(I102:I245,"SB(KPP)",L102:L245)</f>
        <v>1840.3</v>
      </c>
    </row>
    <row r="260" spans="1:19" ht="14.25" customHeight="1" x14ac:dyDescent="0.2">
      <c r="A260" s="1891" t="s">
        <v>20</v>
      </c>
      <c r="B260" s="1892"/>
      <c r="C260" s="1892"/>
      <c r="D260" s="1892"/>
      <c r="E260" s="1892"/>
      <c r="F260" s="1892"/>
      <c r="G260" s="1892"/>
      <c r="H260" s="1892"/>
      <c r="I260" s="1893"/>
      <c r="J260" s="53">
        <f>SUMIF(I17:I252,"SB(P)",J17:J252)</f>
        <v>0</v>
      </c>
      <c r="K260" s="53">
        <f>SUMIF(I17:I252,"SB(P)",K17:K252)</f>
        <v>0</v>
      </c>
      <c r="L260" s="53">
        <f>SUMIF(I17:I252,"SB(P)",L17:L252)</f>
        <v>0</v>
      </c>
      <c r="M260" s="1168"/>
      <c r="N260" s="1353"/>
      <c r="O260" s="13"/>
      <c r="P260" s="13"/>
    </row>
    <row r="261" spans="1:19" ht="14.25" customHeight="1" x14ac:dyDescent="0.2">
      <c r="A261" s="1891" t="s">
        <v>69</v>
      </c>
      <c r="B261" s="1892"/>
      <c r="C261" s="1892"/>
      <c r="D261" s="1892"/>
      <c r="E261" s="1892"/>
      <c r="F261" s="1892"/>
      <c r="G261" s="1892"/>
      <c r="H261" s="1892"/>
      <c r="I261" s="1893"/>
      <c r="J261" s="988">
        <f>SUMIF(I17:I252,"SB(VR)",J17:J252)</f>
        <v>1770.6</v>
      </c>
      <c r="K261" s="1010">
        <f>SUMIF(I17:I252,"SB(VR)",K17:K252)</f>
        <v>1770.6</v>
      </c>
      <c r="L261" s="1010">
        <f>SUMIF(I17:I252,"SB(VR)",L17:L252)</f>
        <v>1770.6</v>
      </c>
      <c r="M261" s="13"/>
      <c r="N261" s="13"/>
      <c r="O261" s="13"/>
      <c r="P261" s="13"/>
    </row>
    <row r="262" spans="1:19" ht="14.25" customHeight="1" x14ac:dyDescent="0.2">
      <c r="A262" s="1885" t="s">
        <v>153</v>
      </c>
      <c r="B262" s="1886"/>
      <c r="C262" s="1886"/>
      <c r="D262" s="1886"/>
      <c r="E262" s="1886"/>
      <c r="F262" s="1886"/>
      <c r="G262" s="1886"/>
      <c r="H262" s="1886"/>
      <c r="I262" s="1887"/>
      <c r="J262" s="53">
        <f>SUMIF(I13:I246,"SB(ES)",J13:J246)</f>
        <v>5830</v>
      </c>
      <c r="K262" s="53">
        <f>SUMIF(I13:I247,"SB(ES)",K13:K247)</f>
        <v>122.8</v>
      </c>
      <c r="L262" s="53">
        <f>SUMIF(I13:I246,"SB(ES)",L13:L246)</f>
        <v>0</v>
      </c>
      <c r="M262" s="13"/>
      <c r="N262" s="13"/>
      <c r="O262" s="13"/>
      <c r="P262" s="13"/>
    </row>
    <row r="263" spans="1:19" ht="14.25" customHeight="1" x14ac:dyDescent="0.2">
      <c r="A263" s="1885" t="s">
        <v>247</v>
      </c>
      <c r="B263" s="1886"/>
      <c r="C263" s="1886"/>
      <c r="D263" s="1886"/>
      <c r="E263" s="1886"/>
      <c r="F263" s="1886"/>
      <c r="G263" s="1886"/>
      <c r="H263" s="1886"/>
      <c r="I263" s="1887"/>
      <c r="J263" s="53">
        <f>SUMIF(I17:I247,"SB(VB)",J17:J247)</f>
        <v>0</v>
      </c>
      <c r="K263" s="53">
        <f>SUMIF(I17:I248,"SB(VB)",K17:K248)</f>
        <v>0</v>
      </c>
      <c r="L263" s="53">
        <f>SUMIF(I17:I247,"SB(VB)",L17:L247)</f>
        <v>44.7</v>
      </c>
      <c r="M263" s="13"/>
      <c r="N263" s="13"/>
      <c r="O263" s="13"/>
      <c r="P263" s="13"/>
    </row>
    <row r="264" spans="1:19" ht="15.75" customHeight="1" x14ac:dyDescent="0.2">
      <c r="A264" s="1924" t="s">
        <v>306</v>
      </c>
      <c r="B264" s="1925"/>
      <c r="C264" s="1925"/>
      <c r="D264" s="1925"/>
      <c r="E264" s="1925"/>
      <c r="F264" s="1925"/>
      <c r="G264" s="1925"/>
      <c r="H264" s="1925"/>
      <c r="I264" s="1926"/>
      <c r="J264" s="53">
        <f>SUMIF(I15:I252,"SB(KPP)",J15:J252)</f>
        <v>4666.3999999999996</v>
      </c>
      <c r="K264" s="53">
        <f>SUMIF(I15:I252,"SB(KP)",K15:K252)</f>
        <v>0</v>
      </c>
      <c r="L264" s="53">
        <f>SUMIF(I15:I252,"SB(KP)",L15:L252)</f>
        <v>0</v>
      </c>
      <c r="M264" s="13"/>
      <c r="N264" s="13"/>
      <c r="O264" s="13"/>
      <c r="P264" s="13"/>
    </row>
    <row r="265" spans="1:19" ht="15.75" customHeight="1" x14ac:dyDescent="0.2">
      <c r="A265" s="1876" t="s">
        <v>307</v>
      </c>
      <c r="B265" s="1927"/>
      <c r="C265" s="1927"/>
      <c r="D265" s="1927"/>
      <c r="E265" s="1927"/>
      <c r="F265" s="1927"/>
      <c r="G265" s="1927"/>
      <c r="H265" s="1927"/>
      <c r="I265" s="1928"/>
      <c r="J265" s="253">
        <f>SUMIF(I12:I252,"SB(KP)",J12:J252)</f>
        <v>0</v>
      </c>
      <c r="K265" s="253">
        <f>SUMIF(I10:I252,"SB(KPP)",K10:K252)</f>
        <v>5191.6000000000004</v>
      </c>
      <c r="L265" s="253">
        <f>SUMIF(I12:I252,"SB(KPP)",L12:L252)</f>
        <v>4936.7</v>
      </c>
      <c r="M265" s="13"/>
      <c r="N265" s="13"/>
      <c r="O265" s="13"/>
      <c r="P265" s="13"/>
    </row>
    <row r="266" spans="1:19" ht="14.25" customHeight="1" x14ac:dyDescent="0.2">
      <c r="A266" s="1929" t="s">
        <v>96</v>
      </c>
      <c r="B266" s="1877"/>
      <c r="C266" s="1877"/>
      <c r="D266" s="1877"/>
      <c r="E266" s="1877"/>
      <c r="F266" s="1877"/>
      <c r="G266" s="1877"/>
      <c r="H266" s="1877"/>
      <c r="I266" s="1878"/>
      <c r="J266" s="253">
        <f>SUMIF(I17:I251,"SB(VRL)",J17:J251)</f>
        <v>901</v>
      </c>
      <c r="K266" s="253">
        <f>SUMIF(I17:I251,"SB(VRL)",K17:K251)</f>
        <v>0</v>
      </c>
      <c r="L266" s="253">
        <f>SUMIF(I17:I251,"SB(VRL)",L17:L251)</f>
        <v>0</v>
      </c>
      <c r="M266" s="13"/>
      <c r="N266" s="13"/>
      <c r="O266" s="13"/>
      <c r="P266" s="13"/>
    </row>
    <row r="267" spans="1:19" ht="14.25" customHeight="1" x14ac:dyDescent="0.2">
      <c r="A267" s="1876" t="s">
        <v>97</v>
      </c>
      <c r="B267" s="1877"/>
      <c r="C267" s="1877"/>
      <c r="D267" s="1877"/>
      <c r="E267" s="1877"/>
      <c r="F267" s="1877"/>
      <c r="G267" s="1877"/>
      <c r="H267" s="1877"/>
      <c r="I267" s="1878"/>
      <c r="J267" s="253">
        <f>SUMIF(I17:I252,"SB(ŽPL)",J17:J252)</f>
        <v>480.6</v>
      </c>
      <c r="K267" s="253">
        <f>SUMIF(I17:I252,"SB(ŽPL)",K17:K252)</f>
        <v>0</v>
      </c>
      <c r="L267" s="253">
        <f>SUMIF(I17:I252,"SB(ŽPL)",L17:L252)</f>
        <v>0</v>
      </c>
      <c r="M267" s="13"/>
      <c r="N267" s="13"/>
      <c r="O267" s="13"/>
      <c r="P267" s="13"/>
    </row>
    <row r="268" spans="1:19" ht="14.25" customHeight="1" x14ac:dyDescent="0.2">
      <c r="A268" s="1879" t="s">
        <v>164</v>
      </c>
      <c r="B268" s="1880"/>
      <c r="C268" s="1880"/>
      <c r="D268" s="1880"/>
      <c r="E268" s="1880"/>
      <c r="F268" s="1880"/>
      <c r="G268" s="1880"/>
      <c r="H268" s="1880"/>
      <c r="I268" s="1881"/>
      <c r="J268" s="253">
        <f>SUMIF(I17:I252,"SB(L)",J17:J252)</f>
        <v>3135.5</v>
      </c>
      <c r="K268" s="253">
        <f>SUMIF(I17:I252,"SB(L)",K17:K252)</f>
        <v>0</v>
      </c>
      <c r="L268" s="253">
        <f>SUMIF(I17:I250,"SB(L)",L17:L252)</f>
        <v>0</v>
      </c>
      <c r="M268" s="13"/>
      <c r="N268" s="13"/>
      <c r="O268" s="13"/>
      <c r="P268" s="13"/>
    </row>
    <row r="269" spans="1:19" ht="14.25" customHeight="1" x14ac:dyDescent="0.2">
      <c r="A269" s="1882" t="s">
        <v>15</v>
      </c>
      <c r="B269" s="1883"/>
      <c r="C269" s="1883"/>
      <c r="D269" s="1883"/>
      <c r="E269" s="1883"/>
      <c r="F269" s="1883"/>
      <c r="G269" s="1883"/>
      <c r="H269" s="1883"/>
      <c r="I269" s="1884"/>
      <c r="J269" s="254">
        <f>J272+J273+J274+J270+J271</f>
        <v>2707.9</v>
      </c>
      <c r="K269" s="254">
        <f>K272+K273+K274+K270+K271</f>
        <v>18352</v>
      </c>
      <c r="L269" s="254">
        <f t="shared" ref="L269" si="6">L272+L273+L274+L270+L271</f>
        <v>11490</v>
      </c>
      <c r="M269" s="13"/>
      <c r="N269" s="13"/>
      <c r="O269" s="13"/>
      <c r="P269" s="13"/>
    </row>
    <row r="270" spans="1:19" ht="14.25" customHeight="1" x14ac:dyDescent="0.2">
      <c r="A270" s="1885" t="s">
        <v>21</v>
      </c>
      <c r="B270" s="1886"/>
      <c r="C270" s="1886"/>
      <c r="D270" s="1886"/>
      <c r="E270" s="1886"/>
      <c r="F270" s="1886"/>
      <c r="G270" s="1886"/>
      <c r="H270" s="1886"/>
      <c r="I270" s="1887"/>
      <c r="J270" s="53">
        <f>SUMIF(I13:I252,"ES",J13:J252)</f>
        <v>919.1</v>
      </c>
      <c r="K270" s="53">
        <f>SUMIF(I13:I252,"ES",K13:K252)</f>
        <v>1717</v>
      </c>
      <c r="L270" s="53">
        <f>SUMIF(I13:I252,"ES",L13:L252)</f>
        <v>1880.9</v>
      </c>
      <c r="M270" s="13"/>
      <c r="N270" s="13"/>
      <c r="O270" s="13"/>
      <c r="P270" s="13"/>
    </row>
    <row r="271" spans="1:19" ht="14.25" customHeight="1" x14ac:dyDescent="0.2">
      <c r="A271" s="1888" t="s">
        <v>305</v>
      </c>
      <c r="B271" s="1889"/>
      <c r="C271" s="1889"/>
      <c r="D271" s="1889"/>
      <c r="E271" s="1889"/>
      <c r="F271" s="1889"/>
      <c r="G271" s="1889"/>
      <c r="H271" s="1889"/>
      <c r="I271" s="1890"/>
      <c r="J271" s="672">
        <f>SUMIF(I12:I251,"KPP(VIP)",J12:J251)</f>
        <v>0</v>
      </c>
      <c r="K271" s="672">
        <f>SUMIF(I12:I251,"KPP(VIP)",K12:K251)</f>
        <v>10000</v>
      </c>
      <c r="L271" s="1002">
        <f>SUMIF(I12:I251,"KPP(VIP)",L12:L251)</f>
        <v>0</v>
      </c>
      <c r="M271" s="13"/>
      <c r="N271" s="13"/>
      <c r="O271" s="13"/>
      <c r="P271" s="13"/>
    </row>
    <row r="272" spans="1:19" ht="14.25" customHeight="1" x14ac:dyDescent="0.2">
      <c r="A272" s="1888" t="s">
        <v>22</v>
      </c>
      <c r="B272" s="1889"/>
      <c r="C272" s="1889"/>
      <c r="D272" s="1889"/>
      <c r="E272" s="1889"/>
      <c r="F272" s="1889"/>
      <c r="G272" s="1889"/>
      <c r="H272" s="1889"/>
      <c r="I272" s="1890"/>
      <c r="J272" s="53">
        <f>SUMIF(I17:I252,"KVJUD",J17:J252)</f>
        <v>1662.4</v>
      </c>
      <c r="K272" s="53">
        <f>SUMIF(I17:I252,"KVJUD",K17:K252)</f>
        <v>1500</v>
      </c>
      <c r="L272" s="53">
        <f>SUMIF(I17:I252,"KVJUD",L17:L252)</f>
        <v>1000</v>
      </c>
      <c r="M272" s="47"/>
      <c r="N272" s="47"/>
      <c r="O272" s="47"/>
      <c r="P272" s="47"/>
    </row>
    <row r="273" spans="1:16" ht="14.25" customHeight="1" x14ac:dyDescent="0.2">
      <c r="A273" s="1891" t="s">
        <v>23</v>
      </c>
      <c r="B273" s="1892"/>
      <c r="C273" s="1892"/>
      <c r="D273" s="1892"/>
      <c r="E273" s="1892"/>
      <c r="F273" s="1892"/>
      <c r="G273" s="1892"/>
      <c r="H273" s="1892"/>
      <c r="I273" s="1893"/>
      <c r="J273" s="53">
        <f>SUMIF(I17:I252,"LRVB",J17:J252)</f>
        <v>0</v>
      </c>
      <c r="K273" s="53">
        <f>SUMIF(I17:I252,"LRVB",K17:K252)</f>
        <v>5000</v>
      </c>
      <c r="L273" s="53">
        <f>SUMIF(I17:I252,"LRVB",L17:L252)</f>
        <v>8609.1</v>
      </c>
      <c r="M273" s="47"/>
      <c r="N273" s="47"/>
      <c r="O273" s="47"/>
      <c r="P273" s="47"/>
    </row>
    <row r="274" spans="1:16" ht="14.25" customHeight="1" x14ac:dyDescent="0.2">
      <c r="A274" s="1859" t="s">
        <v>24</v>
      </c>
      <c r="B274" s="1860"/>
      <c r="C274" s="1860"/>
      <c r="D274" s="1860"/>
      <c r="E274" s="1860"/>
      <c r="F274" s="1860"/>
      <c r="G274" s="1860"/>
      <c r="H274" s="1860"/>
      <c r="I274" s="1861"/>
      <c r="J274" s="53">
        <f>SUMIF(I17:I252,"Kt",J17:J252)</f>
        <v>126.4</v>
      </c>
      <c r="K274" s="53">
        <f>SUMIF(I17:I252,"Kt",K17:K252)</f>
        <v>135</v>
      </c>
      <c r="L274" s="53">
        <f>SUMIF(I17:I252,"Kt",L17:L252)</f>
        <v>0</v>
      </c>
      <c r="M274" s="47"/>
      <c r="N274" s="47"/>
      <c r="O274" s="47"/>
      <c r="P274" s="47"/>
    </row>
    <row r="275" spans="1:16" ht="14.25" customHeight="1" thickBot="1" x14ac:dyDescent="0.25">
      <c r="A275" s="1862" t="s">
        <v>16</v>
      </c>
      <c r="B275" s="1863"/>
      <c r="C275" s="1863"/>
      <c r="D275" s="1863"/>
      <c r="E275" s="1863"/>
      <c r="F275" s="1863"/>
      <c r="G275" s="1863"/>
      <c r="H275" s="1863"/>
      <c r="I275" s="1864"/>
      <c r="J275" s="255">
        <f>SUM(J257,J269)</f>
        <v>27486.3</v>
      </c>
      <c r="K275" s="255">
        <f>SUM(K257,K269)</f>
        <v>34570.199999999997</v>
      </c>
      <c r="L275" s="255">
        <f>SUM(L257,L269)</f>
        <v>27840.799999999999</v>
      </c>
      <c r="M275" s="47"/>
      <c r="N275" s="47"/>
      <c r="O275" s="47"/>
      <c r="P275" s="47"/>
    </row>
    <row r="276" spans="1:16" x14ac:dyDescent="0.2">
      <c r="I276" s="629"/>
      <c r="J276" s="630"/>
      <c r="K276" s="630"/>
      <c r="L276" s="630"/>
      <c r="M276" s="4"/>
    </row>
  </sheetData>
  <mergeCells count="319">
    <mergeCell ref="F186:F188"/>
    <mergeCell ref="G186:G188"/>
    <mergeCell ref="H186:H188"/>
    <mergeCell ref="A189:A191"/>
    <mergeCell ref="B189:B191"/>
    <mergeCell ref="C189:C191"/>
    <mergeCell ref="D189:D191"/>
    <mergeCell ref="E189:E191"/>
    <mergeCell ref="F189:F191"/>
    <mergeCell ref="G189:G191"/>
    <mergeCell ref="H189:H191"/>
    <mergeCell ref="M115:M116"/>
    <mergeCell ref="M96:M98"/>
    <mergeCell ref="E77:E80"/>
    <mergeCell ref="H77:H80"/>
    <mergeCell ref="E90:E93"/>
    <mergeCell ref="E110:E112"/>
    <mergeCell ref="H90:H93"/>
    <mergeCell ref="H95:H96"/>
    <mergeCell ref="F90:F92"/>
    <mergeCell ref="F83:F85"/>
    <mergeCell ref="M77:M78"/>
    <mergeCell ref="F78:F80"/>
    <mergeCell ref="E81:E82"/>
    <mergeCell ref="H81:H82"/>
    <mergeCell ref="H83:H85"/>
    <mergeCell ref="M91:M92"/>
    <mergeCell ref="M106:M107"/>
    <mergeCell ref="F72:F74"/>
    <mergeCell ref="G72:G74"/>
    <mergeCell ref="M73:M74"/>
    <mergeCell ref="F65:F66"/>
    <mergeCell ref="G65:G66"/>
    <mergeCell ref="M65:M66"/>
    <mergeCell ref="M69:M70"/>
    <mergeCell ref="F69:F71"/>
    <mergeCell ref="G69:G71"/>
    <mergeCell ref="H69:H74"/>
    <mergeCell ref="F47:F48"/>
    <mergeCell ref="G61:G64"/>
    <mergeCell ref="M53:M54"/>
    <mergeCell ref="F53:F60"/>
    <mergeCell ref="G53:G60"/>
    <mergeCell ref="H53:H59"/>
    <mergeCell ref="E61:E64"/>
    <mergeCell ref="E53:E55"/>
    <mergeCell ref="E49:E50"/>
    <mergeCell ref="F49:F50"/>
    <mergeCell ref="G49:G50"/>
    <mergeCell ref="H49:H50"/>
    <mergeCell ref="A257:I257"/>
    <mergeCell ref="A261:I261"/>
    <mergeCell ref="A255:I255"/>
    <mergeCell ref="D222:D231"/>
    <mergeCell ref="A259:I259"/>
    <mergeCell ref="A258:I258"/>
    <mergeCell ref="M220:M221"/>
    <mergeCell ref="A222:A231"/>
    <mergeCell ref="B252:I252"/>
    <mergeCell ref="H246:H249"/>
    <mergeCell ref="E246:E249"/>
    <mergeCell ref="C250:I250"/>
    <mergeCell ref="G246:G249"/>
    <mergeCell ref="A256:I256"/>
    <mergeCell ref="B222:B231"/>
    <mergeCell ref="E234:E236"/>
    <mergeCell ref="M232:M233"/>
    <mergeCell ref="M223:M224"/>
    <mergeCell ref="M252:P252"/>
    <mergeCell ref="M250:P250"/>
    <mergeCell ref="M251:P251"/>
    <mergeCell ref="E222:E225"/>
    <mergeCell ref="B251:I251"/>
    <mergeCell ref="M228:M229"/>
    <mergeCell ref="A275:I275"/>
    <mergeCell ref="A274:I274"/>
    <mergeCell ref="A260:I260"/>
    <mergeCell ref="A273:I273"/>
    <mergeCell ref="A268:I268"/>
    <mergeCell ref="A266:I266"/>
    <mergeCell ref="A272:I272"/>
    <mergeCell ref="A269:I269"/>
    <mergeCell ref="A270:I270"/>
    <mergeCell ref="A267:I267"/>
    <mergeCell ref="A262:I262"/>
    <mergeCell ref="A263:I263"/>
    <mergeCell ref="A271:I271"/>
    <mergeCell ref="A265:I265"/>
    <mergeCell ref="A264:I264"/>
    <mergeCell ref="O86:O87"/>
    <mergeCell ref="M163:M164"/>
    <mergeCell ref="D49:D50"/>
    <mergeCell ref="C170:C172"/>
    <mergeCell ref="D35:D36"/>
    <mergeCell ref="G47:G48"/>
    <mergeCell ref="H47:H48"/>
    <mergeCell ref="D44:D46"/>
    <mergeCell ref="H39:H43"/>
    <mergeCell ref="E39:E43"/>
    <mergeCell ref="M39:M40"/>
    <mergeCell ref="H103:H107"/>
    <mergeCell ref="C100:I100"/>
    <mergeCell ref="E104:E107"/>
    <mergeCell ref="E86:E87"/>
    <mergeCell ref="H170:H172"/>
    <mergeCell ref="E144:E146"/>
    <mergeCell ref="C148:I148"/>
    <mergeCell ref="F119:F121"/>
    <mergeCell ref="D119:D121"/>
    <mergeCell ref="E117:E118"/>
    <mergeCell ref="C119:C121"/>
    <mergeCell ref="H163:H164"/>
    <mergeCell ref="D65:D66"/>
    <mergeCell ref="M27:M28"/>
    <mergeCell ref="E27:E29"/>
    <mergeCell ref="G32:G34"/>
    <mergeCell ref="M32:M33"/>
    <mergeCell ref="F33:F34"/>
    <mergeCell ref="E30:E31"/>
    <mergeCell ref="M181:M182"/>
    <mergeCell ref="C32:C34"/>
    <mergeCell ref="D32:D34"/>
    <mergeCell ref="H175:H179"/>
    <mergeCell ref="H180:H181"/>
    <mergeCell ref="E173:E174"/>
    <mergeCell ref="F180:F182"/>
    <mergeCell ref="E175:E179"/>
    <mergeCell ref="F127:F128"/>
    <mergeCell ref="F133:F135"/>
    <mergeCell ref="H133:H135"/>
    <mergeCell ref="E167:E168"/>
    <mergeCell ref="D127:D128"/>
    <mergeCell ref="M44:M45"/>
    <mergeCell ref="G39:G43"/>
    <mergeCell ref="G35:G36"/>
    <mergeCell ref="E44:E46"/>
    <mergeCell ref="H61:H64"/>
    <mergeCell ref="A10:P10"/>
    <mergeCell ref="B11:P11"/>
    <mergeCell ref="C12:P12"/>
    <mergeCell ref="B17:B21"/>
    <mergeCell ref="H27:H29"/>
    <mergeCell ref="A17:A21"/>
    <mergeCell ref="D17:D21"/>
    <mergeCell ref="E17:E21"/>
    <mergeCell ref="C17:C21"/>
    <mergeCell ref="A22:A26"/>
    <mergeCell ref="B22:B26"/>
    <mergeCell ref="C22:C26"/>
    <mergeCell ref="D22:D26"/>
    <mergeCell ref="E14:E16"/>
    <mergeCell ref="H14:H16"/>
    <mergeCell ref="M14:M15"/>
    <mergeCell ref="F15:F16"/>
    <mergeCell ref="F18:F21"/>
    <mergeCell ref="H17:H21"/>
    <mergeCell ref="G17:G21"/>
    <mergeCell ref="M19:M20"/>
    <mergeCell ref="F28:F29"/>
    <mergeCell ref="E22:E26"/>
    <mergeCell ref="G22:G26"/>
    <mergeCell ref="M1:P1"/>
    <mergeCell ref="A2:P2"/>
    <mergeCell ref="A6:A8"/>
    <mergeCell ref="B6:B8"/>
    <mergeCell ref="C6:C8"/>
    <mergeCell ref="D6:D8"/>
    <mergeCell ref="E6:E8"/>
    <mergeCell ref="F6:F8"/>
    <mergeCell ref="G6:G8"/>
    <mergeCell ref="H6:H8"/>
    <mergeCell ref="I6:I8"/>
    <mergeCell ref="J6:J8"/>
    <mergeCell ref="L6:L8"/>
    <mergeCell ref="M6:P6"/>
    <mergeCell ref="A3:P3"/>
    <mergeCell ref="M5:P5"/>
    <mergeCell ref="M7:M8"/>
    <mergeCell ref="A4:P4"/>
    <mergeCell ref="K6:K8"/>
    <mergeCell ref="N7:P7"/>
    <mergeCell ref="C222:C231"/>
    <mergeCell ref="E237:E238"/>
    <mergeCell ref="G222:G231"/>
    <mergeCell ref="D243:D244"/>
    <mergeCell ref="E243:E244"/>
    <mergeCell ref="D246:D247"/>
    <mergeCell ref="D237:D238"/>
    <mergeCell ref="A193:A195"/>
    <mergeCell ref="B193:B195"/>
    <mergeCell ref="C193:C195"/>
    <mergeCell ref="D193:D195"/>
    <mergeCell ref="E193:E195"/>
    <mergeCell ref="F193:F195"/>
    <mergeCell ref="E216:E219"/>
    <mergeCell ref="E220:E221"/>
    <mergeCell ref="F246:F249"/>
    <mergeCell ref="F240:F242"/>
    <mergeCell ref="G240:G242"/>
    <mergeCell ref="F222:F231"/>
    <mergeCell ref="E232:E233"/>
    <mergeCell ref="A220:A221"/>
    <mergeCell ref="B220:B221"/>
    <mergeCell ref="C220:C221"/>
    <mergeCell ref="M197:P197"/>
    <mergeCell ref="M193:M194"/>
    <mergeCell ref="A183:A185"/>
    <mergeCell ref="D209:D213"/>
    <mergeCell ref="D214:D215"/>
    <mergeCell ref="E214:E215"/>
    <mergeCell ref="C197:I197"/>
    <mergeCell ref="G193:G195"/>
    <mergeCell ref="H193:H195"/>
    <mergeCell ref="C183:C185"/>
    <mergeCell ref="B183:B185"/>
    <mergeCell ref="C198:P198"/>
    <mergeCell ref="D201:D207"/>
    <mergeCell ref="D183:D185"/>
    <mergeCell ref="H183:H185"/>
    <mergeCell ref="E183:E185"/>
    <mergeCell ref="G183:G185"/>
    <mergeCell ref="H200:H203"/>
    <mergeCell ref="F183:F185"/>
    <mergeCell ref="A186:A188"/>
    <mergeCell ref="B186:B188"/>
    <mergeCell ref="C186:C188"/>
    <mergeCell ref="D186:D188"/>
    <mergeCell ref="E186:E188"/>
    <mergeCell ref="D47:D48"/>
    <mergeCell ref="D61:D64"/>
    <mergeCell ref="E32:E34"/>
    <mergeCell ref="B72:B74"/>
    <mergeCell ref="C72:C74"/>
    <mergeCell ref="A72:A74"/>
    <mergeCell ref="E163:E165"/>
    <mergeCell ref="E151:E158"/>
    <mergeCell ref="E35:E36"/>
    <mergeCell ref="D72:D74"/>
    <mergeCell ref="E72:E74"/>
    <mergeCell ref="E69:E71"/>
    <mergeCell ref="E65:E66"/>
    <mergeCell ref="E83:E85"/>
    <mergeCell ref="C127:C128"/>
    <mergeCell ref="E133:E135"/>
    <mergeCell ref="D144:D147"/>
    <mergeCell ref="C144:C147"/>
    <mergeCell ref="A144:A147"/>
    <mergeCell ref="A119:A121"/>
    <mergeCell ref="B119:B121"/>
    <mergeCell ref="B127:B128"/>
    <mergeCell ref="E115:E116"/>
    <mergeCell ref="E47:E48"/>
    <mergeCell ref="A9:P9"/>
    <mergeCell ref="B44:B46"/>
    <mergeCell ref="A53:A60"/>
    <mergeCell ref="M117:M118"/>
    <mergeCell ref="F117:F118"/>
    <mergeCell ref="A44:A46"/>
    <mergeCell ref="G44:G46"/>
    <mergeCell ref="A39:A43"/>
    <mergeCell ref="C44:C46"/>
    <mergeCell ref="B53:B60"/>
    <mergeCell ref="A32:A34"/>
    <mergeCell ref="B32:B34"/>
    <mergeCell ref="B39:B43"/>
    <mergeCell ref="C39:C43"/>
    <mergeCell ref="C53:C60"/>
    <mergeCell ref="D53:D60"/>
    <mergeCell ref="C117:C118"/>
    <mergeCell ref="D117:D118"/>
    <mergeCell ref="C101:P101"/>
    <mergeCell ref="M110:M112"/>
    <mergeCell ref="A117:A118"/>
    <mergeCell ref="B117:B118"/>
    <mergeCell ref="D69:D71"/>
    <mergeCell ref="P117:P118"/>
    <mergeCell ref="N117:N118"/>
    <mergeCell ref="O117:O118"/>
    <mergeCell ref="E119:E121"/>
    <mergeCell ref="E129:E130"/>
    <mergeCell ref="H167:H168"/>
    <mergeCell ref="M167:M168"/>
    <mergeCell ref="G127:G128"/>
    <mergeCell ref="O163:O164"/>
    <mergeCell ref="H129:H130"/>
    <mergeCell ref="M157:M159"/>
    <mergeCell ref="G117:G118"/>
    <mergeCell ref="H119:H121"/>
    <mergeCell ref="G119:G121"/>
    <mergeCell ref="H137:H141"/>
    <mergeCell ref="G170:G172"/>
    <mergeCell ref="H144:H147"/>
    <mergeCell ref="C149:P149"/>
    <mergeCell ref="H151:H158"/>
    <mergeCell ref="F151:F154"/>
    <mergeCell ref="M144:M146"/>
    <mergeCell ref="M148:P148"/>
    <mergeCell ref="N163:N164"/>
    <mergeCell ref="G144:G147"/>
    <mergeCell ref="P163:P164"/>
    <mergeCell ref="A180:A181"/>
    <mergeCell ref="F170:F172"/>
    <mergeCell ref="E127:E128"/>
    <mergeCell ref="B180:B181"/>
    <mergeCell ref="F173:F174"/>
    <mergeCell ref="E180:E182"/>
    <mergeCell ref="F175:F179"/>
    <mergeCell ref="C175:C179"/>
    <mergeCell ref="E170:E172"/>
    <mergeCell ref="C180:C181"/>
    <mergeCell ref="B144:B147"/>
    <mergeCell ref="E137:E139"/>
    <mergeCell ref="E141:E142"/>
    <mergeCell ref="D170:D172"/>
    <mergeCell ref="A127:A128"/>
    <mergeCell ref="A175:A179"/>
    <mergeCell ref="B175:B179"/>
    <mergeCell ref="A170:A172"/>
    <mergeCell ref="B170:B172"/>
  </mergeCells>
  <phoneticPr fontId="12" type="noConversion"/>
  <printOptions horizontalCentered="1"/>
  <pageMargins left="0.59055118110236227" right="0.19685039370078741" top="0.59055118110236227" bottom="0.39370078740157483" header="0" footer="0"/>
  <pageSetup paperSize="9" scale="62" orientation="portrait" r:id="rId1"/>
  <headerFooter alignWithMargins="0"/>
  <rowBreaks count="3" manualBreakCount="3">
    <brk id="114" max="15" man="1"/>
    <brk id="172" max="15" man="1"/>
    <brk id="233" max="15"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6 programa</vt:lpstr>
      <vt:lpstr>Lyginamoji lentelė</vt:lpstr>
      <vt:lpstr>aiškinamoji lentelė </vt:lpstr>
      <vt:lpstr>'6 programa'!Print_Area</vt:lpstr>
      <vt:lpstr>'aiškinamoji lentelė '!Print_Area</vt:lpstr>
      <vt:lpstr>'Lyginamoji lentelė'!Print_Area</vt:lpstr>
      <vt:lpstr>'6 programa'!Print_Titles</vt:lpstr>
      <vt:lpstr>'aiškinamoji lentelė '!Print_Titles</vt:lpstr>
      <vt:lpstr>'Lyginamoji lentelė'!Print_Titles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2019-05-07T12:24:25Z</cp:lastPrinted>
  <dcterms:created xsi:type="dcterms:W3CDTF">2007-07-27T10:32:34Z</dcterms:created>
  <dcterms:modified xsi:type="dcterms:W3CDTF">2019-05-10T10:46:16Z</dcterms:modified>
</cp:coreProperties>
</file>