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buteniene\Downloads\"/>
    </mc:Choice>
  </mc:AlternateContent>
  <bookViews>
    <workbookView xWindow="0" yWindow="0" windowWidth="28770" windowHeight="12270"/>
  </bookViews>
  <sheets>
    <sheet name="6 programa" sheetId="12" r:id="rId1"/>
    <sheet name="Lyginamoji lentelė" sheetId="13" r:id="rId2"/>
    <sheet name="aiškinamoji lentelė " sheetId="5" state="hidden" r:id="rId3"/>
  </sheets>
  <definedNames>
    <definedName name="_xlnm.Print_Area" localSheetId="0">'6 programa'!$A$1:$N$276</definedName>
    <definedName name="_xlnm.Print_Area" localSheetId="2">'aiškinamoji lentelė '!$A$1:$P$273</definedName>
    <definedName name="_xlnm.Print_Area" localSheetId="1">'Lyginamoji lentelė'!$A$1:$U$370</definedName>
    <definedName name="_xlnm.Print_Titles" localSheetId="0">'6 programa'!$9:$11</definedName>
    <definedName name="_xlnm.Print_Titles" localSheetId="2">'aiškinamoji lentelė '!$6:$8</definedName>
    <definedName name="_xlnm.Print_Titles" localSheetId="1">'Lyginamoji lentelė'!$8:$10</definedName>
  </definedNames>
  <calcPr calcId="162913" fullPrecision="0"/>
</workbook>
</file>

<file path=xl/calcChain.xml><?xml version="1.0" encoding="utf-8"?>
<calcChain xmlns="http://schemas.openxmlformats.org/spreadsheetml/2006/main">
  <c r="J136" i="5" l="1"/>
  <c r="H139" i="12"/>
  <c r="I232" i="13"/>
  <c r="J24" i="12" l="1"/>
  <c r="J16" i="12"/>
  <c r="O23" i="13"/>
  <c r="J22" i="12"/>
  <c r="J19" i="12"/>
  <c r="O15" i="13"/>
  <c r="O18" i="13"/>
  <c r="L50" i="5"/>
  <c r="L49" i="5"/>
  <c r="L51" i="5"/>
  <c r="L52" i="5"/>
  <c r="O21" i="13"/>
  <c r="I192" i="13" l="1"/>
  <c r="J192" i="13"/>
  <c r="I235" i="13"/>
  <c r="O97" i="13" l="1"/>
  <c r="L18" i="13" l="1"/>
  <c r="M23" i="13"/>
  <c r="L23" i="13"/>
  <c r="M15" i="13"/>
  <c r="L15" i="13"/>
  <c r="P18" i="13"/>
  <c r="P23" i="13"/>
  <c r="P15" i="13"/>
  <c r="P21" i="13"/>
  <c r="P97" i="13" l="1"/>
  <c r="M18" i="13"/>
  <c r="I15" i="13" l="1"/>
  <c r="H19" i="12" l="1"/>
  <c r="I289" i="13" l="1"/>
  <c r="J123" i="5"/>
  <c r="J101" i="12"/>
  <c r="I101" i="12"/>
  <c r="H101" i="12"/>
  <c r="Q256" i="5" l="1"/>
  <c r="K270" i="5"/>
  <c r="H25" i="12" l="1"/>
  <c r="I24" i="12"/>
  <c r="I19" i="12"/>
  <c r="H18" i="12"/>
  <c r="H17" i="12"/>
  <c r="I16" i="12"/>
  <c r="I98" i="12" s="1"/>
  <c r="H16" i="12"/>
  <c r="H104" i="12"/>
  <c r="H98" i="12" l="1"/>
  <c r="J98" i="12"/>
  <c r="K60" i="5" l="1"/>
  <c r="J59" i="5"/>
  <c r="P56" i="13" l="1"/>
  <c r="M56" i="13"/>
  <c r="P55" i="13"/>
  <c r="M55" i="13"/>
  <c r="H146" i="12" l="1"/>
  <c r="J146" i="12"/>
  <c r="I146" i="12"/>
  <c r="J143" i="5"/>
  <c r="L143" i="5"/>
  <c r="K143" i="5"/>
  <c r="P238" i="13" l="1"/>
  <c r="O238" i="13"/>
  <c r="N238" i="13"/>
  <c r="M238" i="13"/>
  <c r="L238" i="13"/>
  <c r="K238" i="13"/>
  <c r="J238" i="13"/>
  <c r="I238" i="13"/>
  <c r="H238" i="13"/>
  <c r="J26" i="5" l="1"/>
  <c r="J25" i="5"/>
  <c r="K289" i="13"/>
  <c r="H203" i="12"/>
  <c r="H201" i="12"/>
  <c r="H200" i="12"/>
  <c r="I292" i="13"/>
  <c r="H202" i="12"/>
  <c r="J233" i="5"/>
  <c r="J231" i="5"/>
  <c r="J326" i="13"/>
  <c r="J327" i="13"/>
  <c r="J325" i="13"/>
  <c r="H151" i="12"/>
  <c r="J154" i="5"/>
  <c r="J153" i="5"/>
  <c r="J247" i="13"/>
  <c r="J246" i="13"/>
  <c r="J97" i="5"/>
  <c r="H242" i="12" l="1"/>
  <c r="I172" i="12"/>
  <c r="H172" i="12"/>
  <c r="K182" i="5"/>
  <c r="M279" i="13"/>
  <c r="J279" i="13"/>
  <c r="M93" i="13" l="1"/>
  <c r="J232" i="13"/>
  <c r="J235" i="13" l="1"/>
  <c r="J360" i="13"/>
  <c r="M31" i="13"/>
  <c r="J43" i="13"/>
  <c r="P98" i="13" l="1"/>
  <c r="M97" i="13"/>
  <c r="M98" i="13" s="1"/>
  <c r="I99" i="12"/>
  <c r="L66" i="5"/>
  <c r="K64" i="5"/>
  <c r="L64" i="5"/>
  <c r="K15" i="5"/>
  <c r="J14" i="5"/>
  <c r="J34" i="5" l="1"/>
  <c r="J29" i="5" l="1"/>
  <c r="L92" i="5" l="1"/>
  <c r="L270" i="5"/>
  <c r="J270" i="12"/>
  <c r="I270" i="12"/>
  <c r="J99" i="12"/>
  <c r="H99" i="12"/>
  <c r="N21" i="13" l="1"/>
  <c r="N18" i="13"/>
  <c r="N15" i="13"/>
  <c r="K18" i="13"/>
  <c r="K15" i="13"/>
  <c r="I24" i="13"/>
  <c r="H24" i="13"/>
  <c r="I18" i="13"/>
  <c r="H18" i="13"/>
  <c r="I17" i="13"/>
  <c r="H17" i="13"/>
  <c r="I16" i="13"/>
  <c r="H16" i="13"/>
  <c r="I97" i="13"/>
  <c r="H15" i="13"/>
  <c r="J15" i="13" s="1"/>
  <c r="J97" i="13" s="1"/>
  <c r="J98" i="13" s="1"/>
  <c r="L93" i="5"/>
  <c r="H97" i="13" l="1"/>
  <c r="H98" i="13" s="1"/>
  <c r="K97" i="13"/>
  <c r="K98" i="13" s="1"/>
  <c r="L97" i="13"/>
  <c r="L98" i="13" s="1"/>
  <c r="I98" i="13"/>
  <c r="P365" i="13"/>
  <c r="O365" i="13"/>
  <c r="N365" i="13"/>
  <c r="M365" i="13"/>
  <c r="L365" i="13"/>
  <c r="K365" i="13"/>
  <c r="N97" i="13"/>
  <c r="P189" i="13"/>
  <c r="O189" i="13"/>
  <c r="N189" i="13"/>
  <c r="M189" i="13"/>
  <c r="L189" i="13"/>
  <c r="K189" i="13"/>
  <c r="J189" i="13"/>
  <c r="I189" i="13"/>
  <c r="H189" i="13"/>
  <c r="P184" i="13"/>
  <c r="O184" i="13"/>
  <c r="N184" i="13"/>
  <c r="M184" i="13"/>
  <c r="L184" i="13"/>
  <c r="K184" i="13"/>
  <c r="J184" i="13"/>
  <c r="I184" i="13"/>
  <c r="H184" i="13"/>
  <c r="P179" i="13"/>
  <c r="O179" i="13"/>
  <c r="N179" i="13"/>
  <c r="M179" i="13"/>
  <c r="L179" i="13"/>
  <c r="K179" i="13"/>
  <c r="J179" i="13"/>
  <c r="I170" i="13"/>
  <c r="H170" i="13"/>
  <c r="I168" i="13"/>
  <c r="H168" i="13"/>
  <c r="P167" i="13"/>
  <c r="O167" i="13"/>
  <c r="N167" i="13"/>
  <c r="M167" i="13"/>
  <c r="L167" i="13"/>
  <c r="K167" i="13"/>
  <c r="I167" i="13"/>
  <c r="H167" i="13"/>
  <c r="O157" i="13"/>
  <c r="N157" i="13"/>
  <c r="L145" i="13"/>
  <c r="L157" i="13" s="1"/>
  <c r="K145" i="13"/>
  <c r="K157" i="13" s="1"/>
  <c r="I145" i="13"/>
  <c r="H145" i="13"/>
  <c r="I143" i="13"/>
  <c r="H143" i="13"/>
  <c r="P142" i="13"/>
  <c r="O142" i="13"/>
  <c r="N142" i="13"/>
  <c r="M142" i="13"/>
  <c r="L142" i="13"/>
  <c r="K142" i="13"/>
  <c r="J142" i="13"/>
  <c r="I142" i="13"/>
  <c r="H142" i="13"/>
  <c r="N126" i="13"/>
  <c r="M126" i="13"/>
  <c r="L126" i="13"/>
  <c r="K126" i="13"/>
  <c r="J126" i="13"/>
  <c r="I126" i="13"/>
  <c r="H126" i="13"/>
  <c r="O126" i="13"/>
  <c r="N98" i="13" l="1"/>
  <c r="O98" i="13"/>
  <c r="H157" i="13"/>
  <c r="H179" i="13"/>
  <c r="J190" i="13"/>
  <c r="I157" i="13"/>
  <c r="M190" i="13"/>
  <c r="I179" i="13"/>
  <c r="P126" i="13"/>
  <c r="P190" i="13" s="1"/>
  <c r="K261" i="5" l="1"/>
  <c r="L269" i="5"/>
  <c r="K269" i="5"/>
  <c r="J269" i="5"/>
  <c r="K265" i="5"/>
  <c r="L264" i="5"/>
  <c r="K264" i="5"/>
  <c r="J264" i="5"/>
  <c r="J271" i="5"/>
  <c r="K14" i="5" l="1"/>
  <c r="J35" i="5"/>
  <c r="J92" i="5" s="1"/>
  <c r="K34" i="5"/>
  <c r="K92" i="5" l="1"/>
  <c r="K93" i="5" s="1"/>
  <c r="K262" i="5"/>
  <c r="J93" i="5"/>
  <c r="J261" i="5"/>
  <c r="P208" i="13"/>
  <c r="M208" i="13"/>
  <c r="J208" i="13"/>
  <c r="P199" i="13"/>
  <c r="M199" i="13"/>
  <c r="O222" i="13" l="1"/>
  <c r="M233" i="13" l="1"/>
  <c r="J233" i="13"/>
  <c r="J199" i="13" l="1"/>
  <c r="J222" i="13" s="1"/>
  <c r="H195" i="13" l="1"/>
  <c r="H192" i="13"/>
  <c r="I195" i="13"/>
  <c r="N294" i="13"/>
  <c r="O294" i="13"/>
  <c r="L294" i="13"/>
  <c r="H295" i="13"/>
  <c r="H294" i="13"/>
  <c r="H292" i="13"/>
  <c r="I295" i="13"/>
  <c r="I294" i="13"/>
  <c r="I337" i="13" s="1"/>
  <c r="L245" i="13"/>
  <c r="I241" i="13"/>
  <c r="I245" i="13"/>
  <c r="L264" i="13"/>
  <c r="L289" i="13" s="1"/>
  <c r="H351" i="13" l="1"/>
  <c r="H222" i="13"/>
  <c r="I222" i="13"/>
  <c r="S256" i="5" l="1"/>
  <c r="R256" i="5"/>
  <c r="L192" i="5" l="1"/>
  <c r="K192" i="5"/>
  <c r="H356" i="13" l="1"/>
  <c r="H357" i="13" l="1"/>
  <c r="H262" i="12" l="1"/>
  <c r="K235" i="13" l="1"/>
  <c r="K231" i="13"/>
  <c r="I138" i="12"/>
  <c r="J138" i="12"/>
  <c r="J262" i="5" l="1"/>
  <c r="I356" i="13"/>
  <c r="J356" i="13" s="1"/>
  <c r="I152" i="12" l="1"/>
  <c r="H149" i="12"/>
  <c r="H152" i="12"/>
  <c r="N149" i="5" l="1"/>
  <c r="J147" i="5"/>
  <c r="H261" i="12" l="1"/>
  <c r="O366" i="13" l="1"/>
  <c r="N366" i="13"/>
  <c r="O364" i="13"/>
  <c r="N364" i="13"/>
  <c r="O363" i="13"/>
  <c r="N363" i="13"/>
  <c r="O362" i="13"/>
  <c r="O360" i="13"/>
  <c r="N360" i="13"/>
  <c r="O359" i="13"/>
  <c r="N359" i="13"/>
  <c r="O358" i="13"/>
  <c r="N358" i="13"/>
  <c r="O356" i="13"/>
  <c r="N356" i="13"/>
  <c r="O355" i="13"/>
  <c r="N355" i="13"/>
  <c r="O354" i="13"/>
  <c r="N354" i="13"/>
  <c r="O352" i="13"/>
  <c r="N352" i="13"/>
  <c r="P351" i="13"/>
  <c r="L366" i="13"/>
  <c r="K366" i="13"/>
  <c r="L364" i="13"/>
  <c r="K364" i="13"/>
  <c r="L363" i="13"/>
  <c r="K363" i="13"/>
  <c r="L362" i="13"/>
  <c r="K362" i="13"/>
  <c r="L360" i="13"/>
  <c r="K360" i="13"/>
  <c r="L359" i="13"/>
  <c r="K359" i="13"/>
  <c r="L358" i="13"/>
  <c r="K358" i="13"/>
  <c r="L356" i="13"/>
  <c r="K356" i="13"/>
  <c r="L355" i="13"/>
  <c r="K355" i="13"/>
  <c r="L354" i="13"/>
  <c r="K354" i="13"/>
  <c r="L352" i="13"/>
  <c r="K352" i="13"/>
  <c r="I366" i="13"/>
  <c r="H366" i="13"/>
  <c r="I365" i="13"/>
  <c r="H365" i="13"/>
  <c r="I364" i="13"/>
  <c r="H364" i="13"/>
  <c r="I363" i="13"/>
  <c r="H363" i="13"/>
  <c r="I362" i="13"/>
  <c r="H362" i="13"/>
  <c r="I360" i="13"/>
  <c r="H360" i="13"/>
  <c r="I359" i="13"/>
  <c r="H359" i="13"/>
  <c r="I355" i="13"/>
  <c r="H355" i="13"/>
  <c r="I354" i="13"/>
  <c r="H354" i="13"/>
  <c r="H352" i="13"/>
  <c r="I352" i="13"/>
  <c r="I351" i="13"/>
  <c r="J351" i="13"/>
  <c r="O341" i="13"/>
  <c r="O357" i="13"/>
  <c r="O353" i="13"/>
  <c r="O289" i="13"/>
  <c r="O263" i="13"/>
  <c r="O260" i="13"/>
  <c r="O235" i="13"/>
  <c r="O231" i="13"/>
  <c r="N341" i="13"/>
  <c r="N357" i="13"/>
  <c r="N353" i="13"/>
  <c r="N289" i="13"/>
  <c r="N263" i="13"/>
  <c r="N260" i="13"/>
  <c r="N235" i="13"/>
  <c r="N231" i="13"/>
  <c r="N192" i="13"/>
  <c r="N222" i="13" s="1"/>
  <c r="L341" i="13"/>
  <c r="L357" i="13"/>
  <c r="L263" i="13"/>
  <c r="L260" i="13"/>
  <c r="L235" i="13"/>
  <c r="L231" i="13"/>
  <c r="L192" i="13"/>
  <c r="L222" i="13" s="1"/>
  <c r="K341" i="13"/>
  <c r="K357" i="13"/>
  <c r="K294" i="13"/>
  <c r="K263" i="13"/>
  <c r="K260" i="13"/>
  <c r="K192" i="13"/>
  <c r="K222" i="13" s="1"/>
  <c r="K239" i="13" s="1"/>
  <c r="I341" i="13"/>
  <c r="I263" i="13"/>
  <c r="I244" i="13"/>
  <c r="I260" i="13" s="1"/>
  <c r="I224" i="13"/>
  <c r="I231" i="13" s="1"/>
  <c r="H341" i="13"/>
  <c r="H289" i="13"/>
  <c r="H263" i="13"/>
  <c r="H244" i="13"/>
  <c r="H260" i="13" s="1"/>
  <c r="H235" i="13"/>
  <c r="H224" i="13"/>
  <c r="H231" i="13" s="1"/>
  <c r="P366" i="13"/>
  <c r="M366" i="13"/>
  <c r="J366" i="13"/>
  <c r="J365" i="13"/>
  <c r="P364" i="13"/>
  <c r="M364" i="13"/>
  <c r="J364" i="13"/>
  <c r="P363" i="13"/>
  <c r="M363" i="13"/>
  <c r="J363" i="13"/>
  <c r="P362" i="13"/>
  <c r="M362" i="13"/>
  <c r="J362" i="13"/>
  <c r="P360" i="13"/>
  <c r="M360" i="13"/>
  <c r="P359" i="13"/>
  <c r="M359" i="13"/>
  <c r="J359" i="13"/>
  <c r="P358" i="13"/>
  <c r="M358" i="13"/>
  <c r="P356" i="13"/>
  <c r="M356" i="13"/>
  <c r="P355" i="13"/>
  <c r="M355" i="13"/>
  <c r="J355" i="13"/>
  <c r="P354" i="13"/>
  <c r="M354" i="13"/>
  <c r="J354" i="13"/>
  <c r="P352" i="13"/>
  <c r="M352" i="13"/>
  <c r="J352" i="13"/>
  <c r="P341" i="13"/>
  <c r="M341" i="13"/>
  <c r="J341" i="13"/>
  <c r="M357" i="13"/>
  <c r="P353" i="13"/>
  <c r="P289" i="13"/>
  <c r="M289" i="13"/>
  <c r="J289" i="13"/>
  <c r="P263" i="13"/>
  <c r="M263" i="13"/>
  <c r="J263" i="13"/>
  <c r="P260" i="13"/>
  <c r="M260" i="13"/>
  <c r="R247" i="13"/>
  <c r="J260" i="13"/>
  <c r="P235" i="13"/>
  <c r="M235" i="13"/>
  <c r="J239" i="13"/>
  <c r="P231" i="13"/>
  <c r="M231" i="13"/>
  <c r="J353" i="13"/>
  <c r="R219" i="13"/>
  <c r="P222" i="13"/>
  <c r="M351" i="13"/>
  <c r="P239" i="13" l="1"/>
  <c r="O239" i="13"/>
  <c r="N239" i="13"/>
  <c r="I239" i="13"/>
  <c r="L239" i="13"/>
  <c r="H239" i="13"/>
  <c r="L353" i="13"/>
  <c r="L337" i="13"/>
  <c r="L342" i="13" s="1"/>
  <c r="H337" i="13"/>
  <c r="N337" i="13"/>
  <c r="N342" i="13" s="1"/>
  <c r="I290" i="13"/>
  <c r="K290" i="13"/>
  <c r="I342" i="13"/>
  <c r="K337" i="13"/>
  <c r="K342" i="13" s="1"/>
  <c r="O351" i="13"/>
  <c r="O350" i="13" s="1"/>
  <c r="O349" i="13" s="1"/>
  <c r="L290" i="13"/>
  <c r="H290" i="13"/>
  <c r="I353" i="13"/>
  <c r="I350" i="13" s="1"/>
  <c r="N290" i="13"/>
  <c r="H358" i="13"/>
  <c r="K351" i="13"/>
  <c r="K353" i="13"/>
  <c r="O290" i="13"/>
  <c r="I358" i="13"/>
  <c r="L351" i="13"/>
  <c r="O337" i="13"/>
  <c r="O342" i="13" s="1"/>
  <c r="H353" i="13"/>
  <c r="H350" i="13" s="1"/>
  <c r="N351" i="13"/>
  <c r="N350" i="13" s="1"/>
  <c r="N349" i="13" s="1"/>
  <c r="H361" i="13"/>
  <c r="J290" i="13"/>
  <c r="J350" i="13"/>
  <c r="J361" i="13"/>
  <c r="M361" i="13"/>
  <c r="J337" i="13"/>
  <c r="J342" i="13" s="1"/>
  <c r="P361" i="13"/>
  <c r="I361" i="13"/>
  <c r="K361" i="13"/>
  <c r="L361" i="13"/>
  <c r="O361" i="13"/>
  <c r="M337" i="13"/>
  <c r="M342" i="13" s="1"/>
  <c r="P337" i="13"/>
  <c r="P342" i="13" s="1"/>
  <c r="J358" i="13"/>
  <c r="M290" i="13"/>
  <c r="P290" i="13"/>
  <c r="P350" i="13"/>
  <c r="H342" i="13"/>
  <c r="M222" i="13"/>
  <c r="M239" i="13" s="1"/>
  <c r="M353" i="13"/>
  <c r="M350" i="13" s="1"/>
  <c r="M349" i="13" s="1"/>
  <c r="P357" i="13"/>
  <c r="J343" i="13" l="1"/>
  <c r="J344" i="13" s="1"/>
  <c r="I343" i="13"/>
  <c r="I344" i="13" s="1"/>
  <c r="N343" i="13"/>
  <c r="O343" i="13"/>
  <c r="O344" i="13" s="1"/>
  <c r="L343" i="13"/>
  <c r="L344" i="13" s="1"/>
  <c r="P343" i="13"/>
  <c r="P344" i="13" s="1"/>
  <c r="M343" i="13"/>
  <c r="M344" i="13" s="1"/>
  <c r="H343" i="13"/>
  <c r="H344" i="13" s="1"/>
  <c r="H349" i="13"/>
  <c r="H367" i="13" s="1"/>
  <c r="L350" i="13"/>
  <c r="L349" i="13" s="1"/>
  <c r="L367" i="13" s="1"/>
  <c r="M367" i="13"/>
  <c r="K350" i="13"/>
  <c r="K349" i="13" s="1"/>
  <c r="K367" i="13" s="1"/>
  <c r="O367" i="13"/>
  <c r="P349" i="13"/>
  <c r="P367" i="13" s="1"/>
  <c r="I357" i="13" l="1"/>
  <c r="J265" i="5"/>
  <c r="J220" i="5"/>
  <c r="J263" i="5" s="1"/>
  <c r="J357" i="13" l="1"/>
  <c r="J349" i="13" s="1"/>
  <c r="J367" i="13" s="1"/>
  <c r="I349" i="13"/>
  <c r="I367" i="13" s="1"/>
  <c r="H269" i="12" l="1"/>
  <c r="J263" i="12"/>
  <c r="L263" i="5"/>
  <c r="J260" i="12"/>
  <c r="J271" i="12"/>
  <c r="I271" i="12"/>
  <c r="H271" i="12"/>
  <c r="J269" i="12"/>
  <c r="I269" i="12"/>
  <c r="J267" i="12"/>
  <c r="I267" i="12"/>
  <c r="H267" i="12"/>
  <c r="J265" i="12"/>
  <c r="I265" i="12"/>
  <c r="H265" i="12"/>
  <c r="I263" i="12"/>
  <c r="H263" i="12"/>
  <c r="H264" i="12"/>
  <c r="H256" i="12"/>
  <c r="I246" i="12"/>
  <c r="J246" i="12"/>
  <c r="J202" i="12" l="1"/>
  <c r="J242" i="12" s="1"/>
  <c r="J247" i="12" s="1"/>
  <c r="I202" i="12"/>
  <c r="I242" i="12" s="1"/>
  <c r="I247" i="12" s="1"/>
  <c r="H197" i="12"/>
  <c r="I197" i="12"/>
  <c r="J197" i="12"/>
  <c r="H168" i="12"/>
  <c r="I168" i="12"/>
  <c r="J168" i="12"/>
  <c r="H142" i="12" l="1"/>
  <c r="H131" i="12"/>
  <c r="H138" i="12" s="1"/>
  <c r="H270" i="12" s="1"/>
  <c r="I129" i="12"/>
  <c r="J129" i="12"/>
  <c r="H129" i="12"/>
  <c r="J268" i="12"/>
  <c r="I268" i="12"/>
  <c r="H268" i="12"/>
  <c r="J264" i="12"/>
  <c r="I264" i="12"/>
  <c r="J262" i="12"/>
  <c r="I262" i="12"/>
  <c r="J261" i="12"/>
  <c r="I261" i="12"/>
  <c r="I260" i="12"/>
  <c r="H260" i="12"/>
  <c r="J259" i="12"/>
  <c r="I259" i="12"/>
  <c r="H259" i="12"/>
  <c r="J257" i="12"/>
  <c r="I257" i="12"/>
  <c r="H257" i="12"/>
  <c r="H246" i="12"/>
  <c r="H247" i="12" s="1"/>
  <c r="J258" i="12"/>
  <c r="I258" i="12"/>
  <c r="J171" i="12"/>
  <c r="J198" i="12" s="1"/>
  <c r="I171" i="12"/>
  <c r="I198" i="12" s="1"/>
  <c r="H171" i="12"/>
  <c r="H198" i="12" s="1"/>
  <c r="L154" i="12"/>
  <c r="J142" i="12"/>
  <c r="I142" i="12"/>
  <c r="I147" i="12" s="1"/>
  <c r="L126" i="12"/>
  <c r="H147" i="12" l="1"/>
  <c r="J147" i="12"/>
  <c r="I256" i="12"/>
  <c r="I255" i="12" s="1"/>
  <c r="I254" i="12" s="1"/>
  <c r="H258" i="12"/>
  <c r="H255" i="12" s="1"/>
  <c r="H254" i="12" s="1"/>
  <c r="I266" i="12"/>
  <c r="J266" i="12"/>
  <c r="J256" i="12"/>
  <c r="J255" i="12" s="1"/>
  <c r="J254" i="12" s="1"/>
  <c r="H266" i="12"/>
  <c r="L213" i="5"/>
  <c r="K213" i="5"/>
  <c r="L97" i="5"/>
  <c r="K97" i="5"/>
  <c r="J248" i="12" l="1"/>
  <c r="J249" i="12" s="1"/>
  <c r="I248" i="12"/>
  <c r="I249" i="12" s="1"/>
  <c r="J272" i="12"/>
  <c r="H272" i="12"/>
  <c r="I272" i="12"/>
  <c r="H248" i="12"/>
  <c r="H249" i="12" s="1"/>
  <c r="L219" i="5"/>
  <c r="K219" i="5"/>
  <c r="J219" i="5" l="1"/>
  <c r="J165" i="5"/>
  <c r="L242" i="5"/>
  <c r="L262" i="5" l="1"/>
  <c r="L261" i="5" l="1"/>
  <c r="L268" i="5"/>
  <c r="K268" i="5"/>
  <c r="J268" i="5"/>
  <c r="K256" i="5" l="1"/>
  <c r="K205" i="5"/>
  <c r="K242" i="5" s="1"/>
  <c r="J192" i="5"/>
  <c r="J246" i="5"/>
  <c r="L256" i="5" l="1"/>
  <c r="J228" i="5" l="1"/>
  <c r="J242" i="5" s="1"/>
  <c r="J256" i="5" l="1"/>
  <c r="J129" i="5" l="1"/>
  <c r="J135" i="5" l="1"/>
  <c r="K135" i="5"/>
  <c r="L135" i="5"/>
  <c r="K257" i="5" l="1"/>
  <c r="K258" i="5"/>
  <c r="K123" i="5"/>
  <c r="L123" i="5"/>
  <c r="K165" i="5"/>
  <c r="L165" i="5"/>
  <c r="N120" i="5" l="1"/>
  <c r="J260" i="5" l="1"/>
  <c r="L260" i="5"/>
  <c r="K260" i="5"/>
  <c r="K259" i="5"/>
  <c r="K255" i="5" l="1"/>
  <c r="J270" i="5"/>
  <c r="J247" i="5" l="1"/>
  <c r="K271" i="5"/>
  <c r="K267" i="5"/>
  <c r="K263" i="5"/>
  <c r="K254" i="5" s="1"/>
  <c r="K266" i="5" l="1"/>
  <c r="K246" i="5" l="1"/>
  <c r="K168" i="5"/>
  <c r="K139" i="5"/>
  <c r="K144" i="5" s="1"/>
  <c r="K193" i="5" l="1"/>
  <c r="K247" i="5"/>
  <c r="K272" i="5" l="1"/>
  <c r="K248" i="5"/>
  <c r="K249" i="5" s="1"/>
  <c r="L139" i="5" l="1"/>
  <c r="L144" i="5" s="1"/>
  <c r="J139" i="5"/>
  <c r="J144" i="5" s="1"/>
  <c r="J258" i="5" l="1"/>
  <c r="J168" i="5" l="1"/>
  <c r="L168" i="5"/>
  <c r="J193" i="5" l="1"/>
  <c r="L259" i="5"/>
  <c r="J259" i="5"/>
  <c r="L267" i="5"/>
  <c r="J267" i="5"/>
  <c r="L258" i="5" l="1"/>
  <c r="L257" i="5"/>
  <c r="J257" i="5"/>
  <c r="L271" i="5"/>
  <c r="L266" i="5" s="1"/>
  <c r="J255" i="5" l="1"/>
  <c r="J254" i="5" s="1"/>
  <c r="L255" i="5"/>
  <c r="J266" i="5"/>
  <c r="J272" i="5" l="1"/>
  <c r="L246" i="5" l="1"/>
  <c r="L193" i="5"/>
  <c r="L247" i="5" l="1"/>
  <c r="J248" i="5" l="1"/>
  <c r="J249" i="5" s="1"/>
  <c r="L265" i="5" s="1"/>
  <c r="L254" i="5" s="1"/>
  <c r="L272" i="5" s="1"/>
  <c r="L248" i="5"/>
  <c r="L249" i="5" s="1"/>
  <c r="N344" i="13" l="1"/>
  <c r="N362" i="13"/>
  <c r="N361" i="13" s="1"/>
  <c r="N367" i="13" s="1"/>
  <c r="K343" i="13" l="1"/>
  <c r="K344" i="13" s="1"/>
</calcChain>
</file>

<file path=xl/comments1.xml><?xml version="1.0" encoding="utf-8"?>
<comments xmlns="http://schemas.openxmlformats.org/spreadsheetml/2006/main">
  <authors>
    <author>Audra Cepiene</author>
  </authors>
  <commentList>
    <comment ref="E16"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46"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K46"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E50"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K50"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E5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K56" authorId="0" shapeId="0">
      <text>
        <r>
          <rPr>
            <sz val="9"/>
            <color indexed="81"/>
            <rFont val="Tahoma"/>
            <family val="2"/>
            <charset val="186"/>
          </rPr>
          <t>Šiuo metu projektuotojai rengia poveikio aplinkai vertinimą, kol nebus atliktas PAV projektavimo darbai nebus vykdomi, nes PAV gali įtakoti techninio darbo projekto sprendinius.</t>
        </r>
      </text>
    </comment>
    <comment ref="K57" authorId="0" shapeId="0">
      <text>
        <r>
          <rPr>
            <b/>
            <sz val="9"/>
            <color indexed="81"/>
            <rFont val="Tahoma"/>
            <family val="2"/>
            <charset val="186"/>
          </rPr>
          <t>I etapas.</t>
        </r>
        <r>
          <rPr>
            <sz val="9"/>
            <color indexed="81"/>
            <rFont val="Tahoma"/>
            <family val="2"/>
            <charset val="186"/>
          </rPr>
          <t xml:space="preserve"> Bastionų g. nuo Danės g. iki Danės upės ir nuo Danės upės iki Gluosnių g. tiesimas. Pabaiga 2022 m.</t>
        </r>
      </text>
    </comment>
    <comment ref="E60"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K60" authorId="0" shapeId="0">
      <text>
        <r>
          <rPr>
            <sz val="9"/>
            <color indexed="81"/>
            <rFont val="Tahoma"/>
            <family val="2"/>
            <charset val="186"/>
          </rPr>
          <t>privaloma atlikti specialiąją paveldosaugos ekspertizę, todėl atliekamos viešųjų pirkimų procedūros, paveldosaugos ekspertizės pirkimui.</t>
        </r>
      </text>
    </comment>
    <comment ref="K62" authorId="0" shapeId="0">
      <text>
        <r>
          <rPr>
            <sz val="9"/>
            <color indexed="81"/>
            <rFont val="Tahoma"/>
            <family val="2"/>
            <charset val="186"/>
          </rPr>
          <t xml:space="preserve">Darbai nikelti į tolimesnį laikotarpį. Atlikta rekonstravimo (I etapo) darbų. Užbaigtumas, proc. </t>
        </r>
      </text>
    </comment>
    <comment ref="E63"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K66" authorId="0" shapeId="0">
      <text>
        <r>
          <rPr>
            <b/>
            <sz val="9"/>
            <color indexed="81"/>
            <rFont val="Tahoma"/>
            <family val="2"/>
            <charset val="186"/>
          </rPr>
          <t>Techninis projektas yra parengtas</t>
        </r>
        <r>
          <rPr>
            <sz val="9"/>
            <color indexed="81"/>
            <rFont val="Tahoma"/>
            <family val="2"/>
            <charset val="186"/>
          </rPr>
          <t xml:space="preserve">
</t>
        </r>
      </text>
    </comment>
    <comment ref="E75"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K75" authorId="0" shapeId="0">
      <text>
        <r>
          <rPr>
            <sz val="9"/>
            <color indexed="81"/>
            <rFont val="Tahoma"/>
            <family val="2"/>
            <charset val="186"/>
          </rPr>
          <t>Rekonstravimo darbai bus pradėti 2022 metais. Atlikta gatvės (571 m) tiesimo darbų (II etapas). Užbaigtumas, proc.                                                  Pasirašyta koncesijos sutartis</t>
        </r>
      </text>
    </comment>
    <comment ref="E78"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K78" authorId="0" shapeId="0">
      <text>
        <r>
          <rPr>
            <sz val="9"/>
            <color indexed="81"/>
            <rFont val="Tahoma"/>
            <family val="2"/>
            <charset val="186"/>
          </rPr>
          <t>darbai nebus vykdomi dėl per didelės projekto finansinės vertės.</t>
        </r>
      </text>
    </comment>
    <comment ref="D80" authorId="0" shapeId="0">
      <text>
        <r>
          <rPr>
            <b/>
            <sz val="9"/>
            <color indexed="81"/>
            <rFont val="Tahoma"/>
            <family val="2"/>
            <charset val="186"/>
          </rPr>
          <t>SPG protokolas 2016-09-23 Nr. STR-12</t>
        </r>
        <r>
          <rPr>
            <sz val="9"/>
            <color indexed="81"/>
            <rFont val="Tahoma"/>
            <family val="2"/>
            <charset val="186"/>
          </rPr>
          <t xml:space="preserve">
</t>
        </r>
      </text>
    </comment>
    <comment ref="K80" authorId="0" shapeId="0">
      <text>
        <r>
          <rPr>
            <sz val="9"/>
            <color indexed="81"/>
            <rFont val="Tahoma"/>
            <family val="2"/>
            <charset val="186"/>
          </rPr>
          <t>Gatvės įrengimo darbai nukelti į 2022 m.</t>
        </r>
      </text>
    </comment>
    <comment ref="D82" authorId="0" shapeId="0">
      <text>
        <r>
          <rPr>
            <sz val="9"/>
            <color indexed="81"/>
            <rFont val="Tahoma"/>
            <family val="2"/>
            <charset val="186"/>
          </rPr>
          <t>SPG protokolas 2016-09-23 Nr. STR-12</t>
        </r>
      </text>
    </comment>
    <comment ref="K85" authorId="0" shapeId="0">
      <text>
        <r>
          <rPr>
            <sz val="9"/>
            <color indexed="81"/>
            <rFont val="Tahoma"/>
            <family val="2"/>
            <charset val="186"/>
          </rPr>
          <t xml:space="preserve">Rekonstravimo darbai bus pradėti 2022 m. </t>
        </r>
      </text>
    </comment>
    <comment ref="E87"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G87"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K87" authorId="0" shapeId="0">
      <text>
        <r>
          <rPr>
            <sz val="9"/>
            <color indexed="81"/>
            <rFont val="Tahoma"/>
            <family val="2"/>
            <charset val="186"/>
          </rPr>
          <t>Savivaldybė rengia tik techninį projektą. Bendra projekto vertė 2 mln. Eur.</t>
        </r>
      </text>
    </comment>
    <comment ref="K89" authorId="0" shapeId="0">
      <text>
        <r>
          <rPr>
            <sz val="9"/>
            <color indexed="81"/>
            <rFont val="Tahoma"/>
            <family val="2"/>
            <charset val="186"/>
          </rPr>
          <t>Puodžių g. rekonstravimas siejamas su Šv. Jono bažnyčios atstatymu.</t>
        </r>
      </text>
    </comment>
    <comment ref="E101"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K124" authorId="0" shapeId="0">
      <text>
        <r>
          <rPr>
            <sz val="9"/>
            <color indexed="81"/>
            <rFont val="Tahoma"/>
            <family val="2"/>
            <charset val="186"/>
          </rPr>
          <t>Klaipėdos miesto darnaus judumo planas (2018-09-13, T2-185). Maršrutai, kuriais važinės ekologiški autobusai. UAB „Klaipėdos autobusų parkas“ dalyvauja konkurse dėl ekologiškų autobusų įsigijimo. Konkursas įvyks 2019 m., todėl nuostoliai kasmet augs.</t>
        </r>
      </text>
    </comment>
    <comment ref="E125"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E131"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M131"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D139" authorId="0" shapeId="0">
      <text>
        <r>
          <rPr>
            <sz val="9"/>
            <color indexed="81"/>
            <rFont val="Tahoma"/>
            <family val="2"/>
            <charset val="186"/>
          </rPr>
          <t>Projektas vykdomas kartu su Autobusų parku</t>
        </r>
      </text>
    </comment>
    <comment ref="E140"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43"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49"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53"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M159" authorId="0" shapeId="0">
      <text>
        <r>
          <rPr>
            <sz val="9"/>
            <color indexed="81"/>
            <rFont val="Tahoma"/>
            <family val="2"/>
            <charset val="186"/>
          </rPr>
          <t>2020 m. Šilutės pl. 48, Šilutės pl. 62, Smiltelės g. 47</t>
        </r>
      </text>
    </comment>
    <comment ref="E169"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172" authorId="0" shapeId="0">
      <text>
        <r>
          <rPr>
            <b/>
            <sz val="9"/>
            <color indexed="81"/>
            <rFont val="Tahoma"/>
            <family val="2"/>
            <charset val="186"/>
          </rPr>
          <t>P2, Klaipėdos miesto darnaus judumo planas (2018-09-13, T2-185)</t>
        </r>
      </text>
    </comment>
    <comment ref="E179"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E181"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E18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87"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K187" authorId="0" shapeId="0">
      <text>
        <r>
          <rPr>
            <b/>
            <sz val="9"/>
            <color indexed="81"/>
            <rFont val="Tahoma"/>
            <family val="2"/>
            <charset val="186"/>
          </rPr>
          <t>Rezultatai:</t>
        </r>
        <r>
          <rPr>
            <sz val="9"/>
            <color indexed="81"/>
            <rFont val="Tahoma"/>
            <family val="2"/>
            <charset val="186"/>
          </rPr>
          <t xml:space="preserve">
SPG ir miesto Tarybai pritarus sprendimo projektui, kartu su Projekto partneriais būtų rengiama Projekto paraiška, siekiant miestiečiams parodyti ekonominę ir socialinę darnaus judumo (mobilumo) naudą.
Klaipėdos miesto savivaldybė, dalyvaudama Projekte, tikisi koncentruotis į pagrindinių trijų sričių problematiką (tačiau ji gali būti papildyta, modifikuota pagal vietos veiklos grupės diskusijas):
1) saugumas viešose miesto erdvėse;
2) senamiesčio centrinė dalis bemotoriam transportui; 
3) gyventojų motyvavimas keisti mobilumo įpročius.
Numatomos šios pagrindinės Projekto veiklos:
- partnerių susitikimas problemų identifikavimui ir projekto veiklų įgyvendinimo aptarimas;
- vietos veiklos grupės iš skirtingų visuomenės grupių sudarymas ir jų įtraukties į diskusijų užtikrinimas;
- keitimasis gerąją praktika tarp Projekto partnerių;
- integruoto veiksmų plano rengimas; 
- veiklų viešinimas.
Klaipėdos miesto savivaldybės tarybai pritarus dalyvavimui Projekte partnerio teisėmis bei laimėjus paraiškų konkursą, Klaipėdos miesto savivaldybė prisidėtų prie Klaipėdos miesto darnaus judumo strateginių tikslų siekimo. 
Laukiamas galutinis Projekto rezultatas - kartu su užsienio partneriais, mokslo, vietos valdžios, verslo ir bendruomenių atstovais parengtas integruotas veiksmų planas (IAP) dėl ekonominės ir socialinės darnaus judumo priemonių įgyvendinimo Klaipėdos miesto naudos įvertinimo. 
</t>
        </r>
      </text>
    </comment>
    <comment ref="N187" authorId="0" shapeId="0">
      <text>
        <r>
          <rPr>
            <sz val="9"/>
            <color indexed="81"/>
            <rFont val="Tahoma"/>
            <family val="2"/>
            <charset val="186"/>
          </rPr>
          <t xml:space="preserve">1 fazė (vystymo) nuo 2019-09-02 iki 2020-03-02 (trukmė 6 mėn.) ;
2 fazė (įgyvendinimo) nuo 2020-05-01 iki 2022-05-31 (25 mėn.).
</t>
        </r>
        <r>
          <rPr>
            <b/>
            <sz val="9"/>
            <color indexed="81"/>
            <rFont val="Tahoma"/>
            <family val="2"/>
            <charset val="186"/>
          </rPr>
          <t xml:space="preserve">1) 1 fazė (vystymo): nuo 3.215,00 Eur iki 2.250,00 Eur;
2) 2 fazė (įgyvendinimo): nuo 12.857,00 iki 9.000,00 Eur. </t>
        </r>
        <r>
          <rPr>
            <sz val="9"/>
            <color indexed="81"/>
            <rFont val="Tahoma"/>
            <family val="2"/>
            <charset val="186"/>
          </rPr>
          <t xml:space="preserve">
</t>
        </r>
      </text>
    </comment>
    <comment ref="E190"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K190" authorId="0" shapeId="0">
      <text>
        <r>
          <rPr>
            <b/>
            <sz val="9"/>
            <color indexed="81"/>
            <rFont val="Tahoma"/>
            <family val="2"/>
            <charset val="186"/>
          </rPr>
          <t>Projekto tikslai:</t>
        </r>
        <r>
          <rPr>
            <sz val="9"/>
            <color indexed="81"/>
            <rFont val="Tahoma"/>
            <family val="2"/>
            <charset val="186"/>
          </rPr>
          <t xml:space="preserve">
SUMP-PLUS pagrindiniai tikslai: 
• Plėtoti ir taikyti efektyvius būdus, metodus bei priemones miestams, susiduriantiems su sparčiu eismo augimu (susijusiu su automobilių nuosavybės ir naudojimo padidėjimu), kad jie galėtų nustatyti praktinį būdą kuris per tam tikrą laiką nustatytų kliūtis, kurios trukdo įgyvendinti darnaus judumo tikslus. 
• Parodyti, kaip miestai gali sukurti stipresnius ryšius su kitomis miesto sistemos sudedamosiomis dalimis, kurios sukuria judumo reikalavimus (švietimas, sveikata, mažmeninė prekyba, žemės naudojimo planavimas ir kt.). 
• Nustatyti ir parodyti naujus partnerystės ir verslo modelius, kurie leistų ekonomiškai efektyviai įgyvendinti įvairius judumo tikslus per tinkamas viešojo ir privataus sektoriaus partnerystes.
• Plačiai bendradarbiauti su miestiečiais, lankytojais ir įmonėmis, siekiant susitarti dėl miesto transporto vizijos ir bendrai kurti konkrečius sprendimus
</t>
        </r>
        <r>
          <rPr>
            <b/>
            <sz val="9"/>
            <color indexed="81"/>
            <rFont val="Tahoma"/>
            <family val="2"/>
            <charset val="186"/>
          </rPr>
          <t xml:space="preserve"> Projekto rezultatai:
</t>
        </r>
        <r>
          <rPr>
            <sz val="9"/>
            <color indexed="81"/>
            <rFont val="Tahoma"/>
            <family val="2"/>
            <charset val="186"/>
          </rPr>
          <t>• Klaipėdos miesto Darnaus judumo plano įgyvendinimo proceso stebėsena.
• Konkrečių priemonių įgyvendinimas.</t>
        </r>
        <r>
          <rPr>
            <b/>
            <sz val="9"/>
            <color indexed="81"/>
            <rFont val="Tahoma"/>
            <family val="2"/>
            <charset val="186"/>
          </rPr>
          <t xml:space="preserve">
</t>
        </r>
      </text>
    </comment>
    <comment ref="E193"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94"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L206" authorId="0" shapeId="0">
      <text>
        <r>
          <rPr>
            <b/>
            <sz val="9"/>
            <color indexed="81"/>
            <rFont val="Tahoma"/>
            <family val="2"/>
            <charset val="186"/>
          </rPr>
          <t>59 445 kv.m</t>
        </r>
        <r>
          <rPr>
            <sz val="9"/>
            <color indexed="81"/>
            <rFont val="Tahoma"/>
            <family val="2"/>
            <charset val="186"/>
          </rPr>
          <t xml:space="preserve">
</t>
        </r>
      </text>
    </comment>
    <comment ref="M214" authorId="0" shapeId="0">
      <text>
        <r>
          <rPr>
            <b/>
            <sz val="9"/>
            <color indexed="81"/>
            <rFont val="Tahoma"/>
            <family val="2"/>
            <charset val="186"/>
          </rPr>
          <t xml:space="preserve">78 500 kv.m </t>
        </r>
        <r>
          <rPr>
            <sz val="9"/>
            <color indexed="81"/>
            <rFont val="Tahoma"/>
            <family val="2"/>
            <charset val="186"/>
          </rPr>
          <t xml:space="preserve">
</t>
        </r>
      </text>
    </comment>
    <comment ref="N214" authorId="0" shapeId="0">
      <text>
        <r>
          <rPr>
            <sz val="9"/>
            <color indexed="81"/>
            <rFont val="Tahoma"/>
            <family val="2"/>
            <charset val="186"/>
          </rPr>
          <t>Gatvių sarašas bus sudaromas po gatvių apžiūrų 2019-2020 m.</t>
        </r>
      </text>
    </comment>
    <comment ref="K220" authorId="0" shapeId="0">
      <text>
        <r>
          <rPr>
            <sz val="9"/>
            <color indexed="81"/>
            <rFont val="Tahoma"/>
            <family val="2"/>
            <charset val="186"/>
          </rPr>
          <t>Senamiesčio dangų pirtaikymas neįgaliesiems pagal parengtą aprašą (2018-09-18  UAB "Klaipėdos projektas" sutartis Nr. J9-1944)</t>
        </r>
      </text>
    </comment>
    <comment ref="K229" authorId="0" shapeId="0">
      <text>
        <r>
          <rPr>
            <sz val="9"/>
            <color indexed="81"/>
            <rFont val="Tahoma"/>
            <family val="2"/>
            <charset val="186"/>
          </rPr>
          <t>Miesto ūkio ir aplinkosaugos komiteto pastaba 2019-01-25 TAR-5</t>
        </r>
      </text>
    </comment>
    <comment ref="L230" authorId="0" shapeId="0">
      <text>
        <r>
          <rPr>
            <b/>
            <sz val="9"/>
            <color indexed="81"/>
            <rFont val="Tahoma"/>
            <family val="2"/>
            <charset val="186"/>
          </rPr>
          <t xml:space="preserve">14 vnt. UKD </t>
        </r>
        <r>
          <rPr>
            <sz val="9"/>
            <color indexed="81"/>
            <rFont val="Tahoma"/>
            <family val="2"/>
            <charset val="186"/>
          </rPr>
          <t xml:space="preserve">pateikė poreikį šioms įstaigoms: 7 bendrojo ugdymo mokykloms ir 7 lopšeliams darželiams: </t>
        </r>
        <r>
          <rPr>
            <b/>
            <sz val="9"/>
            <color indexed="81"/>
            <rFont val="Tahoma"/>
            <family val="2"/>
            <charset val="186"/>
          </rPr>
          <t xml:space="preserve">
(darbai jau vykdomi prie šių įstaigų)
L/d "Berželis";
 L/d "Vėrinėlis"
L/d "Atžalynas"; 
Vitės progimnazija; 
"Žaliakalnio" gimnazija;
"Ąžuolyno" gimnazija;
</t>
        </r>
        <r>
          <rPr>
            <sz val="9"/>
            <color indexed="81"/>
            <rFont val="Tahoma"/>
            <family val="2"/>
            <charset val="186"/>
          </rPr>
          <t xml:space="preserve">(nepradėti vykdyti)
L/d "Želemenėlis";
L/d "Bangelė";
L/d "Pakalnutė";
L/d "Linelis";
"Gabijos" progimnazija;
"Versmės"  progimnazija;
"Vyturio" progimnazija;
Martyno Mažvydo progimnazija.
</t>
        </r>
        <r>
          <rPr>
            <b/>
            <sz val="9"/>
            <color indexed="81"/>
            <rFont val="Tahoma"/>
            <family val="2"/>
            <charset val="186"/>
          </rPr>
          <t xml:space="preserve">
2019 m. pradžioje SRD</t>
        </r>
        <r>
          <rPr>
            <sz val="9"/>
            <color indexed="81"/>
            <rFont val="Tahoma"/>
            <family val="2"/>
            <charset val="186"/>
          </rPr>
          <t xml:space="preserve"> pateikė poreikį 1 įstaigai, tačiau 23,1 tūkst. Eur lėšos nebuvo suplanuotos.
BĮ Klaipėdos vaikų globos namuose „Smiltelė“ kelio dangos remontas, kv. m. (darbai vykdomi) </t>
        </r>
        <r>
          <rPr>
            <b/>
            <sz val="9"/>
            <color indexed="81"/>
            <rFont val="Tahoma"/>
            <family val="2"/>
            <charset val="186"/>
          </rPr>
          <t xml:space="preserve">
</t>
        </r>
      </text>
    </comment>
    <comment ref="D236" authorId="0" shapeId="0">
      <text>
        <r>
          <rPr>
            <sz val="9"/>
            <color indexed="81"/>
            <rFont val="Tahoma"/>
            <family val="2"/>
            <charset val="186"/>
          </rPr>
          <t>parkavimo vietų subraižymas, žaliųjų vejų ir skverų sutvarkymas</t>
        </r>
      </text>
    </comment>
    <comment ref="H255" authorId="0" shapeId="0">
      <text>
        <r>
          <rPr>
            <b/>
            <sz val="9"/>
            <color indexed="81"/>
            <rFont val="Tahoma"/>
            <family val="2"/>
            <charset val="186"/>
          </rPr>
          <t>20917</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48"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Q48"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E52"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Q52"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D55" authorId="0" shapeId="0">
      <text>
        <r>
          <rPr>
            <sz val="9"/>
            <color indexed="81"/>
            <rFont val="Tahoma"/>
            <family val="2"/>
            <charset val="186"/>
          </rPr>
          <t xml:space="preserve"> (eismas neribojamas, SM programa 06.2.1-TID-R-511 pr.Vietinių kelių vystymas)</t>
        </r>
      </text>
    </comment>
    <comment ref="E57"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Q58" authorId="0" shapeId="0">
      <text>
        <r>
          <rPr>
            <sz val="9"/>
            <color indexed="81"/>
            <rFont val="Tahoma"/>
            <family val="2"/>
            <charset val="186"/>
          </rPr>
          <t>Šiuo metu projektuotojai rengia poveikio aplinkai vertinimą, kol nebus atliktas PAV projektavimo darbai nebus vykdomi, nes PAV gali įtakoti techninio darbo projekto sprendinius.</t>
        </r>
      </text>
    </comment>
    <comment ref="E60"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Q60" authorId="0" shapeId="0">
      <text>
        <r>
          <rPr>
            <sz val="9"/>
            <color indexed="81"/>
            <rFont val="Tahoma"/>
            <family val="2"/>
            <charset val="186"/>
          </rPr>
          <t>privaloma atlikti specialiąją paveldosaugos ekspertizę, todėl atliekamos viešųjų pirkimų procedūros, paveldosaugos ekspertizės pirkimui.</t>
        </r>
      </text>
    </comment>
    <comment ref="Q62" authorId="0" shapeId="0">
      <text>
        <r>
          <rPr>
            <sz val="9"/>
            <color indexed="81"/>
            <rFont val="Tahoma"/>
            <family val="2"/>
            <charset val="186"/>
          </rPr>
          <t xml:space="preserve">Darbai nikelti į tolimesnį laikotarpį. Atlikta rekonstravimo (I etapo) darbų. Užbaigtumas, proc. </t>
        </r>
      </text>
    </comment>
    <comment ref="E63"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Q66" authorId="0" shapeId="0">
      <text>
        <r>
          <rPr>
            <b/>
            <sz val="9"/>
            <color indexed="81"/>
            <rFont val="Tahoma"/>
            <family val="2"/>
            <charset val="186"/>
          </rPr>
          <t>Techninis projektas yra parengtas</t>
        </r>
        <r>
          <rPr>
            <sz val="9"/>
            <color indexed="81"/>
            <rFont val="Tahoma"/>
            <family val="2"/>
            <charset val="186"/>
          </rPr>
          <t xml:space="preserve">
</t>
        </r>
      </text>
    </comment>
    <comment ref="E74"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Q74" authorId="0" shapeId="0">
      <text>
        <r>
          <rPr>
            <sz val="9"/>
            <color indexed="81"/>
            <rFont val="Tahoma"/>
            <family val="2"/>
            <charset val="186"/>
          </rPr>
          <t>Rekonstravimo darbai bus pradėti 2022 metais. Atlikta gatvės (571 m) tiesimo darbų (II etapas). Užbaigtumas, proc.                                                  Pasirašyta koncesijos sutartis</t>
        </r>
      </text>
    </comment>
    <comment ref="E77"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Q77" authorId="0" shapeId="0">
      <text>
        <r>
          <rPr>
            <sz val="9"/>
            <color indexed="81"/>
            <rFont val="Tahoma"/>
            <family val="2"/>
            <charset val="186"/>
          </rPr>
          <t>darbai nebus vykdomi dėl per didelės projekto finansinės vertės.</t>
        </r>
      </text>
    </comment>
    <comment ref="D79" authorId="0" shapeId="0">
      <text>
        <r>
          <rPr>
            <b/>
            <sz val="9"/>
            <color indexed="81"/>
            <rFont val="Tahoma"/>
            <family val="2"/>
            <charset val="186"/>
          </rPr>
          <t>SPG protokolas 2016-09-23 Nr. STR-12</t>
        </r>
        <r>
          <rPr>
            <sz val="9"/>
            <color indexed="81"/>
            <rFont val="Tahoma"/>
            <family val="2"/>
            <charset val="186"/>
          </rPr>
          <t xml:space="preserve">
</t>
        </r>
      </text>
    </comment>
    <comment ref="Q79" authorId="0" shapeId="0">
      <text>
        <r>
          <rPr>
            <sz val="9"/>
            <color indexed="81"/>
            <rFont val="Tahoma"/>
            <family val="2"/>
            <charset val="186"/>
          </rPr>
          <t>Gatvės įrengimo darbai nukelti į 2022 m.</t>
        </r>
      </text>
    </comment>
    <comment ref="D81" authorId="0" shapeId="0">
      <text>
        <r>
          <rPr>
            <sz val="9"/>
            <color indexed="81"/>
            <rFont val="Tahoma"/>
            <family val="2"/>
            <charset val="186"/>
          </rPr>
          <t>SPG protokolas 2016-09-23 Nr. STR-12</t>
        </r>
      </text>
    </comment>
    <comment ref="Q84" authorId="0" shapeId="0">
      <text>
        <r>
          <rPr>
            <sz val="9"/>
            <color indexed="81"/>
            <rFont val="Tahoma"/>
            <family val="2"/>
            <charset val="186"/>
          </rPr>
          <t xml:space="preserve">Rekonstravimo darbai bus pradėti 2022 m. </t>
        </r>
      </text>
    </comment>
    <comment ref="E8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G86"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Q86" authorId="0" shapeId="0">
      <text>
        <r>
          <rPr>
            <sz val="9"/>
            <color indexed="81"/>
            <rFont val="Tahoma"/>
            <family val="2"/>
            <charset val="186"/>
          </rPr>
          <t>Savivaldybė rengia tik techninį projektą. Bendra projekto vertė 2 mln. Eur.</t>
        </r>
      </text>
    </comment>
    <comment ref="Q88" authorId="0" shapeId="0">
      <text>
        <r>
          <rPr>
            <sz val="9"/>
            <color indexed="81"/>
            <rFont val="Tahoma"/>
            <family val="2"/>
            <charset val="186"/>
          </rPr>
          <t>Puodžių g. rekonstravimas siejamas su Šv. Jono bažnyčios atstatymu.</t>
        </r>
      </text>
    </comment>
    <comment ref="U92" authorId="0" shapeId="0">
      <text>
        <r>
          <rPr>
            <sz val="9"/>
            <color indexed="81"/>
            <rFont val="Tahoma"/>
            <family val="2"/>
            <charset val="186"/>
          </rPr>
          <t xml:space="preserve">Vadovaujamasi  2005-04-21 LR Vyriausybės nutarimu Nr.447 (aktuali redakcija 2019-02-13 Nr.148) patvirtintais „LR kelių priežiūros ir plėtros programos finansavimo aprašo nuostatais“ ir LR SM 2019-06-03 pateiktu raštu Nr.2-4375 "Dėl išaiškinimo apie lėšų skyrimo tvarką mėgėjų sodų teritorijoje esantiems savivaldybių institucijų valdomiems vietinės reikšmės keliams finansuoti" </t>
        </r>
      </text>
    </comment>
    <comment ref="H98" authorId="0" shapeId="0">
      <text>
        <r>
          <rPr>
            <b/>
            <sz val="9"/>
            <color indexed="81"/>
            <rFont val="Tahoma"/>
            <family val="2"/>
            <charset val="186"/>
          </rPr>
          <t xml:space="preserve">9639,6
</t>
        </r>
        <r>
          <rPr>
            <sz val="9"/>
            <color indexed="81"/>
            <rFont val="Tahoma"/>
            <family val="2"/>
            <charset val="186"/>
          </rPr>
          <t xml:space="preserve">
</t>
        </r>
      </text>
    </comment>
    <comment ref="K98" authorId="0" shapeId="0">
      <text>
        <r>
          <rPr>
            <b/>
            <sz val="9"/>
            <color indexed="81"/>
            <rFont val="Tahoma"/>
            <family val="2"/>
            <charset val="186"/>
          </rPr>
          <t>20983,6</t>
        </r>
      </text>
    </comment>
    <comment ref="N98" authorId="0" shapeId="0">
      <text>
        <r>
          <rPr>
            <b/>
            <sz val="9"/>
            <color indexed="81"/>
            <rFont val="Tahoma"/>
            <family val="2"/>
            <charset val="186"/>
          </rPr>
          <t xml:space="preserve">15679,6
</t>
        </r>
        <r>
          <rPr>
            <sz val="9"/>
            <color indexed="81"/>
            <rFont val="Tahoma"/>
            <family val="2"/>
            <charset val="186"/>
          </rPr>
          <t xml:space="preserve">
</t>
        </r>
      </text>
    </comment>
    <comment ref="E100"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07"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I110" authorId="0" shapeId="0">
      <text>
        <r>
          <rPr>
            <b/>
            <sz val="9"/>
            <color indexed="81"/>
            <rFont val="Tahoma"/>
            <family val="2"/>
            <charset val="186"/>
          </rPr>
          <t xml:space="preserve">328,7
</t>
        </r>
        <r>
          <rPr>
            <sz val="9"/>
            <color indexed="81"/>
            <rFont val="Tahoma"/>
            <family val="2"/>
            <charset val="186"/>
          </rPr>
          <t xml:space="preserve">
</t>
        </r>
      </text>
    </comment>
    <comment ref="E111"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17"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G119"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120"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22"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27"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D138" authorId="0" shapeId="0">
      <text>
        <r>
          <rPr>
            <b/>
            <sz val="9"/>
            <color indexed="81"/>
            <rFont val="Tahoma"/>
            <family val="2"/>
            <charset val="186"/>
          </rPr>
          <t>SPG protokolas 2016-09-23 Nr. STR-12</t>
        </r>
        <r>
          <rPr>
            <sz val="9"/>
            <color indexed="81"/>
            <rFont val="Tahoma"/>
            <family val="2"/>
            <charset val="186"/>
          </rPr>
          <t xml:space="preserve">
</t>
        </r>
      </text>
    </comment>
    <comment ref="E143"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G152" authorId="0" shapeId="0">
      <text>
        <r>
          <rPr>
            <sz val="9"/>
            <color indexed="81"/>
            <rFont val="Tahoma"/>
            <family val="2"/>
            <charset val="186"/>
          </rPr>
          <t>Gyventojų lėšos</t>
        </r>
      </text>
    </comment>
    <comment ref="E158"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168"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175"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E180"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81"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E192"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U199" authorId="0" shapeId="0">
      <text>
        <r>
          <rPr>
            <sz val="9"/>
            <color indexed="81"/>
            <rFont val="Tahoma"/>
            <family val="2"/>
            <charset val="186"/>
          </rPr>
          <t xml:space="preserve">
 75,2 iš SB(VRL) patvirtinti  sprendime T2-145</t>
        </r>
      </text>
    </comment>
    <comment ref="Q203" authorId="0" shapeId="0">
      <text>
        <r>
          <rPr>
            <b/>
            <sz val="9"/>
            <color indexed="81"/>
            <rFont val="Tahoma"/>
            <family val="2"/>
            <charset val="186"/>
          </rPr>
          <t>2019 m.</t>
        </r>
        <r>
          <rPr>
            <sz val="9"/>
            <color indexed="81"/>
            <rFont val="Tahoma"/>
            <family val="2"/>
            <charset val="186"/>
          </rPr>
          <t xml:space="preserve">
1.1. Lietuvos valstybės atkūrimo dieną, 2019 m. vasario 16 d.;
1.2. Klaipėdos šviesų festivalio metu, 2019 m. vasario 17 d.;
1.3. Lietuvos vaikų ir jaunimo dainų šventė “Mes Lietuvos vaikai“, 2019 m. birželio 14-16 d. (renginio dalyviams)
1.4. Tarptautinio nematerialiojo paveldo festivalis ”Lauksnos“, 2019 m. liepos 11-14 d.  (renginio dalyviams)
1.5. Jūros šventės metu, 2019 m. liepos 26-28 d.
1.6. Dieną be automobilio, 2019 m. rugsėjo 20 d.
</t>
        </r>
      </text>
    </comment>
    <comment ref="E218"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E224"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S224"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D232" authorId="0" shapeId="0">
      <text>
        <r>
          <rPr>
            <sz val="9"/>
            <color indexed="81"/>
            <rFont val="Tahoma"/>
            <family val="2"/>
            <charset val="186"/>
          </rPr>
          <t>Projektas vykdomas kartu su Autobusų parku</t>
        </r>
      </text>
    </comment>
    <comment ref="E233"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236"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Q236" authorId="0" shapeId="0">
      <text>
        <r>
          <rPr>
            <b/>
            <sz val="9"/>
            <color indexed="81"/>
            <rFont val="Tahoma"/>
            <family val="2"/>
            <charset val="186"/>
          </rPr>
          <t xml:space="preserve">
2019 gegužės 30 d. tarybos sprendimas Nr. T2-162 „Dėl Klaipėdos miesto savivaldybės turto investavimo ir UAB „Klaipėdos autobusų parkas</t>
        </r>
        <r>
          <rPr>
            <sz val="9"/>
            <color indexed="81"/>
            <rFont val="Tahoma"/>
            <family val="2"/>
            <charset val="186"/>
          </rPr>
          <t xml:space="preserve">
Perduoti Klaipėdos miesto savivaldybei nuosavybės teise priklausantį finansinį turtą – 665 000 Eur kaip savivaldybės turtinį įnašą uždarajai akcinei bendrovei „Klaipėdos autobusų parkas“ (toliau – Bendrovė), didinant Bendrovės įstatinį kapitalą. Šiuo piniginiu įnašu numatoma įsigyti ir apmokėti Bendrovės išleidžiamų 28,96 Eur nominalios vertės 22 962 vienetus paprastųjų vardinių akcijų, nustatant, kad akcijų emisijos kaina lygi jų nominaliai vertei.
Šis sprendimas gali būti skundžiamas Lietuvos administracinių ginčų komisijos Klaipėdos apygardos skyriui arba Regionų apygardos administracinio teismui, skundą (prašymą) paduodant bet kuriuose šio teismo rūmuose, per vieną mėnesį nuo šio sprendimo paskelbimo dienos.
</t>
        </r>
      </text>
    </comment>
    <comment ref="U236" authorId="0" shapeId="0">
      <text>
        <r>
          <rPr>
            <b/>
            <sz val="9"/>
            <color indexed="81"/>
            <rFont val="Tahoma"/>
            <family val="2"/>
            <charset val="186"/>
          </rPr>
          <t>Vadovaujantis 2019 gegužės 30 d. tarybos sprendimu Nr. T2-162 „Dėl Klaipėdos miesto savivaldybės turto investavimo ir UAB „Klaipėdos autobusų parkas“</t>
        </r>
        <r>
          <rPr>
            <sz val="9"/>
            <color indexed="81"/>
            <rFont val="Tahoma"/>
            <family val="2"/>
            <charset val="186"/>
          </rPr>
          <t xml:space="preserve">
Perduoti Klaipėdos miesto savivaldybei nuosavybės teise priklausantį finansinį turtą – 665 000 Eur kaip savivaldybės turtinį įnašą uždarajai akcinei bendrovei „Klaipėdos autobusų parkas“ (toliau – Bendrovė), didinant Bendrovės įstatinį kapitalą. Šiuo piniginiu įnašu numatoma įsigyti ir apmokėti Bendrovės išleidžiamų 28,96 Eur nominalios vertės 22 962 vienetus paprastųjų vardinių akcijų, nustatant, kad akcijų emisijos kaina lygi jų nominaliai vertei.
Šis sprendimas gali būti skundžiamas Lietuvos administracinių ginčų komisijos Klaipėdos apygardos skyriui arba Regionų apygardos administracinio teismui, skundą (prašymą) paduodant bet kuriuose šio teismo rūmuose, per vieną mėnesį nuo šio sprendimo paskelbimo dienos.
</t>
        </r>
      </text>
    </comment>
    <comment ref="E241"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246"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S251" authorId="0" shapeId="0">
      <text>
        <r>
          <rPr>
            <sz val="9"/>
            <color indexed="81"/>
            <rFont val="Tahoma"/>
            <family val="2"/>
            <charset val="186"/>
          </rPr>
          <t>2020 m. Šilutės pl. 48, Šilutės pl. 62, Smiltelės g. 47</t>
        </r>
      </text>
    </comment>
    <comment ref="E261"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E264" authorId="0" shapeId="0">
      <text>
        <r>
          <rPr>
            <b/>
            <sz val="9"/>
            <color indexed="81"/>
            <rFont val="Tahoma"/>
            <family val="2"/>
            <charset val="186"/>
          </rPr>
          <t>P2, Klaipėdos miesto darnaus judumo planas (2018-09-13, T2-185)</t>
        </r>
      </text>
    </comment>
    <comment ref="E271"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E273"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E27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279"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Q279" authorId="0" shapeId="0">
      <text>
        <r>
          <rPr>
            <b/>
            <sz val="9"/>
            <color indexed="81"/>
            <rFont val="Tahoma"/>
            <family val="2"/>
            <charset val="186"/>
          </rPr>
          <t>Rezultatai:</t>
        </r>
        <r>
          <rPr>
            <sz val="9"/>
            <color indexed="81"/>
            <rFont val="Tahoma"/>
            <family val="2"/>
            <charset val="186"/>
          </rPr>
          <t xml:space="preserve">
SPG ir miesto Tarybai pritarus sprendimo projektui, kartu su Projekto partneriais būtų rengiama Projekto paraiška, siekiant miestiečiams parodyti ekonominę ir socialinę darnaus judumo (mobilumo) naudą.
Klaipėdos miesto savivaldybė, dalyvaudama Projekte, tikisi koncentruotis į pagrindinių trijų sričių problematiką (tačiau ji gali būti papildyta, modifikuota pagal vietos veiklos grupės diskusijas):
1) saugumas viešose miesto erdvėse;
2) senamiesčio centrinė dalis bemotoriam transportui; 
3) gyventojų motyvavimas keisti mobilumo įpročius.
Numatomos šios pagrindinės Projekto veiklos:
- partnerių susitikimas problemų identifikavimui ir projekto veiklų įgyvendinimo aptarimas;
- vietos veiklos grupės iš skirtingų visuomenės grupių sudarymas ir jų įtraukties į diskusijų užtikrinimas;
- keitimasis gerąją praktika tarp Projekto partnerių;
- integruoto veiksmų plano rengimas; 
- veiklų viešinimas.
Klaipėdos miesto savivaldybės tarybai pritarus dalyvavimui Projekte partnerio teisėmis bei laimėjus paraiškų konkursą, Klaipėdos miesto savivaldybė prisidėtų prie Klaipėdos miesto darnaus judumo strateginių tikslų siekimo. 
Laukiamas galutinis Projekto rezultatas - kartu su užsienio partneriais, mokslo, vietos valdžios, verslo ir bendruomenių atstovais parengtas integruotas veiksmų planas (IAP) dėl ekonominės ir socialinės darnaus judumo priemonių įgyvendinimo Klaipėdos miesto naudos įvertinimo. 
</t>
        </r>
      </text>
    </comment>
    <comment ref="T280" authorId="0" shapeId="0">
      <text>
        <r>
          <rPr>
            <sz val="9"/>
            <color indexed="81"/>
            <rFont val="Tahoma"/>
            <family val="2"/>
            <charset val="186"/>
          </rPr>
          <t xml:space="preserve">1 fazė (vystymo) nuo 2019-09-02 iki 2020-03-02 (trukmė 6 mėn.) ;
2 fazė (įgyvendinimo) nuo 2020-05-01 iki 2022-05-31 (25 mėn.).
</t>
        </r>
        <r>
          <rPr>
            <b/>
            <sz val="9"/>
            <color indexed="81"/>
            <rFont val="Tahoma"/>
            <family val="2"/>
            <charset val="186"/>
          </rPr>
          <t xml:space="preserve">1) 1 fazė (vystymo): nuo 3.215,00 Eur iki 2.250,00 Eur;
2) 2 fazė (įgyvendinimo): nuo 12.857,00 iki 9.000,00 Eur. </t>
        </r>
        <r>
          <rPr>
            <sz val="9"/>
            <color indexed="81"/>
            <rFont val="Tahoma"/>
            <family val="2"/>
            <charset val="186"/>
          </rPr>
          <t xml:space="preserve">
</t>
        </r>
      </text>
    </comment>
    <comment ref="E282"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Q282" authorId="0" shapeId="0">
      <text>
        <r>
          <rPr>
            <b/>
            <sz val="9"/>
            <color indexed="81"/>
            <rFont val="Tahoma"/>
            <family val="2"/>
            <charset val="186"/>
          </rPr>
          <t>Projekto tikslai:</t>
        </r>
        <r>
          <rPr>
            <sz val="9"/>
            <color indexed="81"/>
            <rFont val="Tahoma"/>
            <family val="2"/>
            <charset val="186"/>
          </rPr>
          <t xml:space="preserve">
SUMP-PLUS pagrindiniai tikslai: 
• Plėtoti ir taikyti efektyvius būdus, metodus bei priemones miestams, susiduriantiems su sparčiu eismo augimu (susijusiu su automobilių nuosavybės ir naudojimo padidėjimu), kad jie galėtų nustatyti praktinį būdą kuris per tam tikrą laiką nustatytų kliūtis, kurios trukdo įgyvendinti darnaus judumo tikslus. 
• Parodyti, kaip miestai gali sukurti stipresnius ryšius su kitomis miesto sistemos sudedamosiomis dalimis, kurios sukuria judumo reikalavimus (švietimas, sveikata, mažmeninė prekyba, žemės naudojimo planavimas ir kt.). 
• Nustatyti ir parodyti naujus partnerystės ir verslo modelius, kurie leistų ekonomiškai efektyviai įgyvendinti įvairius judumo tikslus per tinkamas viešojo ir privataus sektoriaus partnerystes.
• Plačiai bendradarbiauti su miestiečiais, lankytojais ir įmonėmis, siekiant susitarti dėl miesto transporto vizijos ir bendrai kurti konkrečius sprendimus
</t>
        </r>
        <r>
          <rPr>
            <b/>
            <sz val="9"/>
            <color indexed="81"/>
            <rFont val="Tahoma"/>
            <family val="2"/>
            <charset val="186"/>
          </rPr>
          <t xml:space="preserve"> Projekto rezultatai:
</t>
        </r>
        <r>
          <rPr>
            <sz val="9"/>
            <color indexed="81"/>
            <rFont val="Tahoma"/>
            <family val="2"/>
            <charset val="186"/>
          </rPr>
          <t>• Klaipėdos miesto Darnaus judumo plano įgyvendinimo proceso stebėsena.
• Konkrečių priemonių įgyvendinimas.</t>
        </r>
        <r>
          <rPr>
            <b/>
            <sz val="9"/>
            <color indexed="81"/>
            <rFont val="Tahoma"/>
            <family val="2"/>
            <charset val="186"/>
          </rPr>
          <t xml:space="preserve">
</t>
        </r>
      </text>
    </comment>
    <comment ref="E285"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28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R298" authorId="0" shapeId="0">
      <text>
        <r>
          <rPr>
            <b/>
            <sz val="9"/>
            <color indexed="81"/>
            <rFont val="Tahoma"/>
            <family val="2"/>
            <charset val="186"/>
          </rPr>
          <t>59 445 kv.m</t>
        </r>
        <r>
          <rPr>
            <sz val="9"/>
            <color indexed="81"/>
            <rFont val="Tahoma"/>
            <family val="2"/>
            <charset val="186"/>
          </rPr>
          <t xml:space="preserve">
</t>
        </r>
      </text>
    </comment>
    <comment ref="S306" authorId="0" shapeId="0">
      <text>
        <r>
          <rPr>
            <b/>
            <sz val="9"/>
            <color indexed="81"/>
            <rFont val="Tahoma"/>
            <family val="2"/>
            <charset val="186"/>
          </rPr>
          <t xml:space="preserve">78 500 kv.m </t>
        </r>
        <r>
          <rPr>
            <sz val="9"/>
            <color indexed="81"/>
            <rFont val="Tahoma"/>
            <family val="2"/>
            <charset val="186"/>
          </rPr>
          <t xml:space="preserve">
</t>
        </r>
      </text>
    </comment>
    <comment ref="T306" authorId="0" shapeId="0">
      <text>
        <r>
          <rPr>
            <sz val="9"/>
            <color indexed="81"/>
            <rFont val="Tahoma"/>
            <family val="2"/>
            <charset val="186"/>
          </rPr>
          <t>Gatvių sarašas bus sudaromas po gatvių apžiūrų 2019-2020 m.</t>
        </r>
      </text>
    </comment>
    <comment ref="Q312" authorId="0" shapeId="0">
      <text>
        <r>
          <rPr>
            <sz val="9"/>
            <color indexed="81"/>
            <rFont val="Tahoma"/>
            <family val="2"/>
            <charset val="186"/>
          </rPr>
          <t>Senamiesčio dangų pirtaikymas neįgaliesiems pagal parengtą aprašą (2018-09-18  UAB "Klaipėdos projektas" sutartis Nr. J9-1944)</t>
        </r>
      </text>
    </comment>
    <comment ref="Q322" authorId="0" shapeId="0">
      <text>
        <r>
          <rPr>
            <sz val="9"/>
            <color indexed="81"/>
            <rFont val="Tahoma"/>
            <family val="2"/>
            <charset val="186"/>
          </rPr>
          <t>Miesto ūkio ir aplinkosaugos komiteto pastaba 2019-01-25 TAR-5</t>
        </r>
      </text>
    </comment>
    <comment ref="R323" authorId="0" shapeId="0">
      <text>
        <r>
          <rPr>
            <b/>
            <sz val="9"/>
            <color indexed="81"/>
            <rFont val="Tahoma"/>
            <family val="2"/>
            <charset val="186"/>
          </rPr>
          <t xml:space="preserve">14 vnt. UKD </t>
        </r>
        <r>
          <rPr>
            <sz val="9"/>
            <color indexed="81"/>
            <rFont val="Tahoma"/>
            <family val="2"/>
            <charset val="186"/>
          </rPr>
          <t xml:space="preserve">pateikė poreikį šioms įstaigoms: 7 bendrojo ugdymo mokykloms ir 7 lopšeliams darželiams: </t>
        </r>
        <r>
          <rPr>
            <b/>
            <sz val="9"/>
            <color indexed="81"/>
            <rFont val="Tahoma"/>
            <family val="2"/>
            <charset val="186"/>
          </rPr>
          <t xml:space="preserve">
(darbai jau vykdomi prie šių įstaigų)
L/d "Berželis";
 L/d "Vėrinėlis"
L/d "Atžalynas"; 
Vitės progimnazija; 
"Žaliakalnio" gimnazija;
"Ąžuolyno" gimnazija;
</t>
        </r>
        <r>
          <rPr>
            <sz val="9"/>
            <color indexed="81"/>
            <rFont val="Tahoma"/>
            <family val="2"/>
            <charset val="186"/>
          </rPr>
          <t xml:space="preserve">(nepradėti vykdyti)
L/d "Želemenėlis";
L/d "Bangelė";
L/d "Pakalnutė";
L/d "Linelis";
"Gabijos" progimnazija;
"Versmės"  progimnazija;
"Vyturio" progimnazija;
Martyno Mažvydo progimnazija.
</t>
        </r>
        <r>
          <rPr>
            <b/>
            <sz val="9"/>
            <color indexed="81"/>
            <rFont val="Tahoma"/>
            <family val="2"/>
            <charset val="186"/>
          </rPr>
          <t xml:space="preserve">
2019 m. pradžioje SRD</t>
        </r>
        <r>
          <rPr>
            <sz val="9"/>
            <color indexed="81"/>
            <rFont val="Tahoma"/>
            <family val="2"/>
            <charset val="186"/>
          </rPr>
          <t xml:space="preserve"> pateikė poreikį 1 įstaigai, tačiau 23,1 tūkst. Eur lėšos nebuvo suplanuotos.
BĮ Klaipėdos vaikų globos namuose „Smiltelė“ kelio dangos remontas, kv. m. (darbai vykdomi) </t>
        </r>
        <r>
          <rPr>
            <b/>
            <sz val="9"/>
            <color indexed="81"/>
            <rFont val="Tahoma"/>
            <family val="2"/>
            <charset val="186"/>
          </rPr>
          <t xml:space="preserve">
</t>
        </r>
      </text>
    </comment>
    <comment ref="D331" authorId="0" shapeId="0">
      <text>
        <r>
          <rPr>
            <sz val="9"/>
            <color indexed="81"/>
            <rFont val="Tahoma"/>
            <family val="2"/>
            <charset val="186"/>
          </rPr>
          <t>parkavimo vietų subraižymas, žaliųjų vejų ir skverų sutvarkymas</t>
        </r>
      </text>
    </comment>
    <comment ref="I350" authorId="0" shapeId="0">
      <text>
        <r>
          <rPr>
            <b/>
            <sz val="9"/>
            <color indexed="81"/>
            <rFont val="Tahoma"/>
            <family val="2"/>
            <charset val="186"/>
          </rPr>
          <t>20917</t>
        </r>
      </text>
    </comment>
    <comment ref="H367" authorId="0" shapeId="0">
      <text>
        <r>
          <rPr>
            <b/>
            <sz val="9"/>
            <color indexed="81"/>
            <rFont val="Tahoma"/>
            <family val="2"/>
            <charset val="186"/>
          </rPr>
          <t xml:space="preserve">27486,3
</t>
        </r>
        <r>
          <rPr>
            <sz val="9"/>
            <color indexed="81"/>
            <rFont val="Tahoma"/>
            <family val="2"/>
            <charset val="186"/>
          </rPr>
          <t xml:space="preserve">
</t>
        </r>
      </text>
    </comment>
    <comment ref="K367" authorId="0" shapeId="0">
      <text>
        <r>
          <rPr>
            <b/>
            <sz val="9"/>
            <color indexed="81"/>
            <rFont val="Tahoma"/>
            <family val="2"/>
            <charset val="186"/>
          </rPr>
          <t xml:space="preserve">34570,2
</t>
        </r>
        <r>
          <rPr>
            <sz val="9"/>
            <color indexed="81"/>
            <rFont val="Tahoma"/>
            <family val="2"/>
            <charset val="186"/>
          </rPr>
          <t xml:space="preserve">
</t>
        </r>
      </text>
    </comment>
    <comment ref="N367" authorId="0" shapeId="0">
      <text>
        <r>
          <rPr>
            <b/>
            <sz val="9"/>
            <color indexed="81"/>
            <rFont val="Tahoma"/>
            <family val="2"/>
            <charset val="186"/>
          </rPr>
          <t xml:space="preserve">27840,8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I24" authorId="0" shapeId="0">
      <text>
        <r>
          <rPr>
            <sz val="9"/>
            <color indexed="81"/>
            <rFont val="Tahoma"/>
            <family val="2"/>
            <charset val="186"/>
          </rPr>
          <t xml:space="preserve">AB „Klaipėdos nafta“ skirtia tikslines lėšas 175.000 Eur 
</t>
        </r>
      </text>
    </comment>
    <comment ref="I29" authorId="0" shapeId="0">
      <text>
        <r>
          <rPr>
            <b/>
            <sz val="9"/>
            <color indexed="81"/>
            <rFont val="Tahoma"/>
            <family val="2"/>
            <charset val="186"/>
          </rPr>
          <t>ŽP 637</t>
        </r>
        <r>
          <rPr>
            <sz val="9"/>
            <color indexed="81"/>
            <rFont val="Tahoma"/>
            <family val="2"/>
            <charset val="186"/>
          </rPr>
          <t xml:space="preserve">
</t>
        </r>
      </text>
    </comment>
    <comment ref="F39" authorId="0" shapeId="0">
      <text>
        <r>
          <rPr>
            <b/>
            <sz val="9"/>
            <color indexed="81"/>
            <rFont val="Tahoma"/>
            <family val="2"/>
            <charset val="186"/>
          </rPr>
          <t xml:space="preserve">P6, Klaipėdos miesto ekonominės plėtros strategija ir įgyvendinimo veiksmų planas iki 2030 metų, 3.3.2. priemonė </t>
        </r>
        <r>
          <rPr>
            <sz val="9"/>
            <color indexed="81"/>
            <rFont val="Tahoma"/>
            <family val="2"/>
            <charset val="186"/>
          </rPr>
          <t xml:space="preserve">
</t>
        </r>
      </text>
    </comment>
    <comment ref="M39" authorId="0" shapeId="0">
      <text>
        <r>
          <rPr>
            <sz val="9"/>
            <color indexed="81"/>
            <rFont val="Tahoma"/>
            <family val="2"/>
            <charset val="186"/>
          </rPr>
          <t xml:space="preserve">Techn. projekto </t>
        </r>
        <r>
          <rPr>
            <b/>
            <sz val="9"/>
            <color indexed="81"/>
            <rFont val="Tahoma"/>
            <family val="2"/>
            <charset val="186"/>
          </rPr>
          <t xml:space="preserve">kaina 534 tūkst. eur </t>
        </r>
        <r>
          <rPr>
            <sz val="8"/>
            <color indexed="81"/>
            <rFont val="Tahoma"/>
            <family val="2"/>
            <charset val="186"/>
          </rPr>
          <t xml:space="preserve">(Geologinių, topografinių (geodezinių) tyrinėjimo dokumentų parengimas; Techninis projektas; Investicinis projektas; Detaliojo plano koregavimas) </t>
        </r>
        <r>
          <rPr>
            <b/>
            <sz val="8"/>
            <color indexed="81"/>
            <rFont val="Tahoma"/>
            <family val="2"/>
            <charset val="186"/>
          </rPr>
          <t>10 tūkst. eur ekspertizė</t>
        </r>
      </text>
    </comment>
    <comment ref="F43" authorId="0" shapeId="0">
      <text>
        <r>
          <rPr>
            <b/>
            <sz val="9"/>
            <color indexed="81"/>
            <rFont val="Tahoma"/>
            <family val="2"/>
            <charset val="186"/>
          </rPr>
          <t xml:space="preserve">P2, Klaipėdos miesto darnaus judumo planas (2018-09-13, T2-185), 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 xml:space="preserve">Centrinėje miesto dalyje suformuoti pėsčiųjų takų, zonų ir gatvių tinklą </t>
        </r>
      </text>
    </comment>
    <comment ref="M43" authorId="0" shapeId="0">
      <text>
        <r>
          <rPr>
            <b/>
            <sz val="9"/>
            <color indexed="81"/>
            <rFont val="Tahoma"/>
            <family val="2"/>
            <charset val="186"/>
          </rPr>
          <t>Į senamiesčio grindinio atnaujinimo projektą įtraukta priemonė "</t>
        </r>
        <r>
          <rPr>
            <sz val="9"/>
            <color indexed="81"/>
            <rFont val="Tahoma"/>
            <family val="2"/>
            <charset val="186"/>
          </rPr>
          <t>Tomo ir Pylimo g. rekonstravimas", iš viso bus tvarkomos 8 gatvės:
Žvejų g., Teatro g., Sukilėlių g., Daržų g. (nuo Pilies g. iki Aukštosios g.), Aukštoji g. (nuo Daržų g. iki Didžiosios Vandens g.), Didžioji Vandens g. (nuo Aukštosios g. iki Tiltų g.), Vežėjų g. (nuo Turgaus g. iki Daržų g.), Tomo ir Pylimo g.</t>
        </r>
      </text>
    </comment>
    <comment ref="F4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M49" authorId="0" shapeId="0">
      <text>
        <r>
          <rPr>
            <sz val="9"/>
            <color indexed="81"/>
            <rFont val="Tahoma"/>
            <family val="2"/>
            <charset val="186"/>
          </rPr>
          <t>Šiuo metu projektuotojai rengia poveikio aplinkai vertinimą, kol nebus atliktas PAV projektavimo darbai nebus vykdomi, nes PAV gali įtakoti techninio darbo projekto sprendinius.</t>
        </r>
      </text>
    </comment>
    <comment ref="M50" authorId="0" shapeId="0">
      <text>
        <r>
          <rPr>
            <b/>
            <sz val="9"/>
            <color indexed="81"/>
            <rFont val="Tahoma"/>
            <family val="2"/>
            <charset val="186"/>
          </rPr>
          <t>I etapas.</t>
        </r>
        <r>
          <rPr>
            <sz val="9"/>
            <color indexed="81"/>
            <rFont val="Tahoma"/>
            <family val="2"/>
            <charset val="186"/>
          </rPr>
          <t xml:space="preserve"> Bastionų g. nuo Danės g. iki Danės upės ir nuo Danės upės iki Gluosnių g. tiesimas. Pabaiga 2022 m.</t>
        </r>
      </text>
    </comment>
    <comment ref="F53"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M53" authorId="0" shapeId="0">
      <text>
        <r>
          <rPr>
            <sz val="9"/>
            <color indexed="81"/>
            <rFont val="Tahoma"/>
            <family val="2"/>
            <charset val="186"/>
          </rPr>
          <t>privaloma atlikti specialiąją paveldosaugos ekspertizę, todėl atliekamos viešųjų pirkimų procedūros, paveldosaugos ekspertizės pirkimui.</t>
        </r>
      </text>
    </comment>
    <comment ref="M55" authorId="0" shapeId="0">
      <text>
        <r>
          <rPr>
            <sz val="9"/>
            <color indexed="81"/>
            <rFont val="Tahoma"/>
            <family val="2"/>
            <charset val="186"/>
          </rPr>
          <t xml:space="preserve">Darbai nikelti į tolimesnį laikotarpį. Atlikta rekonstravimo (I etapo) darbų. Užbaigtumas, proc. </t>
        </r>
      </text>
    </comment>
    <comment ref="F56"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M59" authorId="0" shapeId="0">
      <text>
        <r>
          <rPr>
            <b/>
            <sz val="9"/>
            <color indexed="81"/>
            <rFont val="Tahoma"/>
            <family val="2"/>
            <charset val="186"/>
          </rPr>
          <t>Techninis projektas yra parengtas</t>
        </r>
        <r>
          <rPr>
            <sz val="9"/>
            <color indexed="81"/>
            <rFont val="Tahoma"/>
            <family val="2"/>
            <charset val="186"/>
          </rPr>
          <t xml:space="preserve">
</t>
        </r>
      </text>
    </comment>
    <comment ref="I68" authorId="0" shapeId="0">
      <text>
        <r>
          <rPr>
            <sz val="9"/>
            <color indexed="81"/>
            <rFont val="Tahoma"/>
            <family val="2"/>
            <charset val="186"/>
          </rPr>
          <t>Gyventojų lėšos</t>
        </r>
      </text>
    </comment>
    <comment ref="F69" authorId="0" shapeId="0">
      <text>
        <r>
          <rPr>
            <b/>
            <sz val="9"/>
            <color indexed="81"/>
            <rFont val="Tahoma"/>
            <family val="2"/>
            <charset val="186"/>
          </rPr>
          <t xml:space="preserve">P6, Klaipėdos miesto ekonominės plėtros strategija ir įgyvendinimo veiksmų planas iki 2030 metų, 3.3.3. priemonė </t>
        </r>
        <r>
          <rPr>
            <sz val="9"/>
            <color indexed="81"/>
            <rFont val="Tahoma"/>
            <family val="2"/>
            <charset val="186"/>
          </rPr>
          <t xml:space="preserve">
</t>
        </r>
      </text>
    </comment>
    <comment ref="M69" authorId="0" shapeId="0">
      <text>
        <r>
          <rPr>
            <sz val="9"/>
            <color indexed="81"/>
            <rFont val="Tahoma"/>
            <family val="2"/>
            <charset val="186"/>
          </rPr>
          <t>Rekonstravimo darbai bus pradėti 2022 metais. Atlikta gatvės (571 m) tiesimo darbų (II etapas). Užbaigtumas, proc.                                                  Pasirašyta koncesijos sutartis</t>
        </r>
      </text>
    </comment>
    <comment ref="F72"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M72" authorId="0" shapeId="0">
      <text>
        <r>
          <rPr>
            <sz val="9"/>
            <color indexed="81"/>
            <rFont val="Tahoma"/>
            <family val="2"/>
            <charset val="186"/>
          </rPr>
          <t>darbai nebus vykdomi dėl per didelės projekto finansinės vertės.</t>
        </r>
      </text>
    </comment>
    <comment ref="E74" authorId="0" shapeId="0">
      <text>
        <r>
          <rPr>
            <b/>
            <sz val="9"/>
            <color indexed="81"/>
            <rFont val="Tahoma"/>
            <family val="2"/>
            <charset val="186"/>
          </rPr>
          <t>SPG protokolas 2016-09-23 Nr. STR-12</t>
        </r>
        <r>
          <rPr>
            <sz val="9"/>
            <color indexed="81"/>
            <rFont val="Tahoma"/>
            <family val="2"/>
            <charset val="186"/>
          </rPr>
          <t xml:space="preserve">
</t>
        </r>
      </text>
    </comment>
    <comment ref="M74" authorId="0" shapeId="0">
      <text>
        <r>
          <rPr>
            <sz val="9"/>
            <color indexed="81"/>
            <rFont val="Tahoma"/>
            <family val="2"/>
            <charset val="186"/>
          </rPr>
          <t>Gatvės įrengimo darbai nukelti į 2022 m.</t>
        </r>
      </text>
    </comment>
    <comment ref="E76" authorId="0" shapeId="0">
      <text>
        <r>
          <rPr>
            <sz val="9"/>
            <color indexed="81"/>
            <rFont val="Tahoma"/>
            <family val="2"/>
            <charset val="186"/>
          </rPr>
          <t>SPG protokolas 2016-09-23 Nr. STR-12</t>
        </r>
      </text>
    </comment>
    <comment ref="M79" authorId="0" shapeId="0">
      <text>
        <r>
          <rPr>
            <sz val="9"/>
            <color indexed="81"/>
            <rFont val="Tahoma"/>
            <family val="2"/>
            <charset val="186"/>
          </rPr>
          <t xml:space="preserve">Rekonstravimo darbai bus pradėti 2022 m. </t>
        </r>
      </text>
    </comment>
    <comment ref="F81"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I81"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M81" authorId="0" shapeId="0">
      <text>
        <r>
          <rPr>
            <sz val="9"/>
            <color indexed="81"/>
            <rFont val="Tahoma"/>
            <family val="2"/>
            <charset val="186"/>
          </rPr>
          <t>Savivaldybė rengia tik techninį projektą. Bendra projekto vertė 2 mln. Eur.</t>
        </r>
      </text>
    </comment>
    <comment ref="M83" authorId="0" shapeId="0">
      <text>
        <r>
          <rPr>
            <sz val="9"/>
            <color indexed="81"/>
            <rFont val="Tahoma"/>
            <family val="2"/>
            <charset val="186"/>
          </rPr>
          <t>Puodžių g. rekonstravimas siejamas su Šv. Jono bažnyčios atstatymu.</t>
        </r>
      </text>
    </comment>
    <comment ref="F95"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M99" authorId="0" shapeId="0">
      <text>
        <r>
          <rPr>
            <b/>
            <sz val="9"/>
            <color indexed="81"/>
            <rFont val="Tahoma"/>
            <family val="2"/>
            <charset val="186"/>
          </rPr>
          <t>1-4 klasės</t>
        </r>
        <r>
          <rPr>
            <sz val="9"/>
            <color indexed="81"/>
            <rFont val="Tahoma"/>
            <family val="2"/>
            <charset val="186"/>
          </rPr>
          <t xml:space="preserve">
</t>
        </r>
      </text>
    </comment>
    <comment ref="M103" authorId="0" shapeId="0">
      <text>
        <r>
          <rPr>
            <b/>
            <sz val="9"/>
            <color indexed="81"/>
            <rFont val="Tahoma"/>
            <family val="2"/>
            <charset val="186"/>
          </rPr>
          <t>2019 m.</t>
        </r>
        <r>
          <rPr>
            <sz val="9"/>
            <color indexed="81"/>
            <rFont val="Tahoma"/>
            <family val="2"/>
            <charset val="186"/>
          </rPr>
          <t xml:space="preserve">
1.1. Lietuvos valstybės atkūrimo dieną, 2019 m. vasario 16 d.;
1.2. Klaipėdos šviesų festivalio metu, 2019 m. vasario 17 d.;
1.3. Lietuvos vaikų ir jaunimo dainų šventė “Mes Lietuvos vaikai“, 2019 m. birželio 14-16 d. (renginio dalyviams)
1.4. Tarptautinio nematerialiojo paveldo festivalis ”Lauksnos“, 2019 m. liepos 11-14 d.  (renginio dalyviams)
1.5. Jūros šventės metu, 2019 m. liepos 26-28 d.
1.6. Dieną be automobilio, 2019 m. rugsėjo 20 d.
</t>
        </r>
      </text>
    </comment>
    <comment ref="J107" authorId="0" shapeId="0">
      <text>
        <r>
          <rPr>
            <sz val="9"/>
            <color indexed="81"/>
            <rFont val="Tahoma"/>
            <family val="2"/>
            <charset val="186"/>
          </rPr>
          <t xml:space="preserve">įsakymu bus įrašytos lėšos iš vežėjų už trasportą
</t>
        </r>
      </text>
    </comment>
    <comment ref="P108" authorId="0" shapeId="0">
      <text>
        <r>
          <rPr>
            <sz val="9"/>
            <color indexed="81"/>
            <rFont val="Tahoma"/>
            <family val="2"/>
            <charset val="186"/>
          </rPr>
          <t>Rodikliai yra didesni 18
 vnt.,  maršrutų, kuriais važinės ekologiški autobusai. UAB „Klaipėdos autobusų parkas“ dalyvauja konkurse dėl ekologiškų autobusų įsigijimo. Konkursas įvyks 2019 m., todėl nuostoliai kasmet augs.</t>
        </r>
      </text>
    </comment>
    <comment ref="M112" authorId="0" shapeId="0">
      <text>
        <r>
          <rPr>
            <sz val="9"/>
            <color indexed="81"/>
            <rFont val="Tahoma"/>
            <family val="2"/>
            <charset val="186"/>
          </rPr>
          <t xml:space="preserve">1. priemonę „Nuostolingų maršrutų subsidijavimas priemiesčio maršrutus aptarnaujantiems 
vežėjams“, numatant finansavimą iš savivaldybės biudžeto lėšų maršrutams į s. b. „Vaiteliai“, s. b. „Rasa“, „Klaipėdos autobusų stotis–Palangos oro uostas“, bandomajam maršrutui (aptarnaujamas elektriniu autobusu) ir į Ermitažą (nuo 2022 m.) naktiniam maršrutui subsidijuoti
</t>
        </r>
      </text>
    </comment>
    <comment ref="M118" authorId="0" shapeId="0">
      <text>
        <r>
          <rPr>
            <sz val="9"/>
            <color indexed="81"/>
            <rFont val="Tahoma"/>
            <family val="2"/>
            <charset val="186"/>
          </rPr>
          <t>Klaipėdos miesto darnaus judumo planas (2018-09-13, T2-185). Maršrutai, kuriais važinės ekologiški autobusai. UAB „Klaipėdos autobusų parkas“ dalyvauja konkurse dėl ekologiškų autobusų įsigijimo. Konkursas įvyks 2019 m., todėl nuostoliai kasmet augs.</t>
        </r>
      </text>
    </comment>
    <comment ref="F119" authorId="0" shapeId="0">
      <text>
        <r>
          <rPr>
            <b/>
            <sz val="9"/>
            <color indexed="81"/>
            <rFont val="Tahoma"/>
            <family val="2"/>
            <charset val="186"/>
          </rPr>
          <t>Klaipėdos miesto darnaus judumo planas (2018-09-13, T2-185)
P6, Klaipėdos miesto ekonominės plėtros strategija ir įgyvendinimo veiksmų planas iki 2030 metų, 3.3.4. priemonė</t>
        </r>
        <r>
          <rPr>
            <sz val="9"/>
            <color indexed="81"/>
            <rFont val="Tahoma"/>
            <family val="2"/>
            <charset val="186"/>
          </rPr>
          <t xml:space="preserve">
 </t>
        </r>
      </text>
    </comment>
    <comment ref="F125"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M126" authorId="0" shapeId="0">
      <text>
        <r>
          <rPr>
            <sz val="9"/>
            <color indexed="81"/>
            <rFont val="Tahoma"/>
            <family val="2"/>
            <charset val="186"/>
          </rPr>
          <t xml:space="preserve">bendra vertė 123,1 tūkst. eur, iš jų 10 tūkst eur techninis projektas
</t>
        </r>
      </text>
    </comment>
    <comment ref="O126" authorId="0" shapeId="0">
      <text>
        <r>
          <rPr>
            <b/>
            <sz val="9"/>
            <color indexed="81"/>
            <rFont val="Tahoma"/>
            <family val="2"/>
            <charset val="186"/>
          </rPr>
          <t>Iš viso bus įrengta 13 stotelių:</t>
        </r>
        <r>
          <rPr>
            <sz val="9"/>
            <color indexed="81"/>
            <rFont val="Tahoma"/>
            <family val="2"/>
            <charset val="186"/>
          </rPr>
          <t xml:space="preserve"> 
1. Kauno stotelė šiaurės kryptimi (Taikos pr. 55A);
2. Kauno stotelė pietų kryptimi (Taikos pr. 52C);
3. Baltijos stotelė šiaurės kryptimi (Taikos pr. 71A);
4. Baltijos stotelė pietų kryptimi (Taikos pr. 66A);
5. Vėtrungės stotelė pietų kryptimi (Taikos pr. 28);
6. Vėtrungės stotelė šiaurės kryptimi (Taikos pr. 29/33);
7. Naujojo Turgaus stotelė šiaurės kryptimi (Taikos pr. 109);
8. Smiltelės stotelė pietų kryptimi (prie PC „BIG“, Taikos pr. 139);
9. Rasos stotelė šiaurės kryptimi (Šilutės pl. 49B);
10. Žardės stotelė šiaurės kryptimi (Taikos pr. 115);
11. Vyturio stotelė šiaurės kryptimi (Vingio g.39);
12. Bandužių stotelė šiaurės kryptimi (Vingio g. 21A);
13. Sausio 15-osios stotelė pietų kryptimi (Taikos pr.18/18T).
</t>
        </r>
      </text>
    </comment>
    <comment ref="M129" authorId="0" shapeId="0">
      <text>
        <r>
          <rPr>
            <b/>
            <sz val="9"/>
            <color indexed="81"/>
            <rFont val="Tahoma"/>
            <family val="2"/>
            <charset val="186"/>
          </rPr>
          <t>I etapo stotelės 10 vnt.</t>
        </r>
        <r>
          <rPr>
            <sz val="9"/>
            <color indexed="81"/>
            <rFont val="Tahoma"/>
            <family val="2"/>
            <charset val="186"/>
          </rPr>
          <t xml:space="preserve">
 (Vasaros estrados (pietų ir šiaurės kryptys), Rumpiškės, Kooperacijos, Juodkrantės,  Naikupės, Šilutės, Minijos, Aula Magna, Minijos stotelės)</t>
        </r>
      </text>
    </comment>
    <comment ref="M133" authorId="0" shapeId="0">
      <text>
        <r>
          <rPr>
            <sz val="9"/>
            <color indexed="81"/>
            <rFont val="Tahoma"/>
            <family val="2"/>
            <charset val="186"/>
          </rPr>
          <t>2018 m. parengtas techninis projektas ir ekpertizės išvada1</t>
        </r>
      </text>
    </comment>
    <comment ref="E136" authorId="0" shapeId="0">
      <text>
        <r>
          <rPr>
            <sz val="9"/>
            <color indexed="81"/>
            <rFont val="Tahoma"/>
            <family val="2"/>
            <charset val="186"/>
          </rPr>
          <t>Projektas vykdomas kartu su Autobusų parku</t>
        </r>
      </text>
    </comment>
    <comment ref="F137"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E140" authorId="0" shapeId="0">
      <text>
        <r>
          <rPr>
            <sz val="9"/>
            <color indexed="81"/>
            <rFont val="Tahoma"/>
            <family val="2"/>
            <charset val="186"/>
          </rPr>
          <t>Projektas vykdomas kartu su Autobusų parku</t>
        </r>
      </text>
    </comment>
    <comment ref="F140" authorId="0" shapeId="0">
      <text>
        <r>
          <rPr>
            <b/>
            <sz val="9"/>
            <color indexed="81"/>
            <rFont val="Tahoma"/>
            <family val="2"/>
            <charset val="186"/>
          </rPr>
          <t>Klaipėdos miesto darnaus judumo planas (2018-09-13, T2-185)</t>
        </r>
        <r>
          <rPr>
            <sz val="9"/>
            <color indexed="81"/>
            <rFont val="Tahoma"/>
            <family val="2"/>
            <charset val="186"/>
          </rPr>
          <t xml:space="preserve">
</t>
        </r>
      </text>
    </comment>
    <comment ref="F147"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N147" authorId="0" shapeId="0">
      <text>
        <r>
          <rPr>
            <sz val="9"/>
            <color indexed="81"/>
            <rFont val="Tahoma"/>
            <family val="2"/>
            <charset val="186"/>
          </rPr>
          <t>pagal GIS - 14533</t>
        </r>
      </text>
    </comment>
    <comment ref="N149" authorId="0" shapeId="0">
      <text>
        <r>
          <rPr>
            <sz val="9"/>
            <color indexed="81"/>
            <rFont val="Tahoma"/>
            <family val="2"/>
            <charset val="186"/>
          </rPr>
          <t>Šviesoforų pagal inventorizaciją eksploatuojama</t>
        </r>
        <r>
          <rPr>
            <b/>
            <sz val="9"/>
            <color indexed="81"/>
            <rFont val="Tahoma"/>
            <family val="2"/>
            <charset val="186"/>
          </rPr>
          <t xml:space="preserve"> 66 vnt.</t>
        </r>
        <r>
          <rPr>
            <sz val="9"/>
            <color indexed="81"/>
            <rFont val="Tahoma"/>
            <family val="2"/>
            <charset val="186"/>
          </rPr>
          <t xml:space="preserve"> ir  šiais metais bus įrengta</t>
        </r>
        <r>
          <rPr>
            <b/>
            <sz val="9"/>
            <color indexed="81"/>
            <rFont val="Tahoma"/>
            <family val="2"/>
            <charset val="186"/>
          </rPr>
          <t xml:space="preserve"> 5 nauj</t>
        </r>
        <r>
          <rPr>
            <sz val="9"/>
            <color indexed="81"/>
            <rFont val="Tahoma"/>
            <family val="2"/>
            <charset val="186"/>
          </rPr>
          <t xml:space="preserve">i (Baltijos pr. 20, Baltijos pr.6, Baltijos pr. 10, Šilutės pl. ties AB „Klaipėdos energija“, Taikos pr. ties Žvejų rūmais)
</t>
        </r>
      </text>
    </comment>
    <comment ref="M150" authorId="0" shapeId="0">
      <text>
        <r>
          <rPr>
            <sz val="9"/>
            <color indexed="81"/>
            <rFont val="Tahoma"/>
            <family val="2"/>
            <charset val="186"/>
          </rPr>
          <t xml:space="preserve">Planuojama vietoj senų susidevėjusių kellio ženklų stovų pakeisti naujus, taip pat bus keičiami stovai prie nederančio naujai įrengto apšvietimo centinėse miesto gatvėse
</t>
        </r>
      </text>
    </comment>
    <comment ref="O153" authorId="0" shapeId="0">
      <text>
        <r>
          <rPr>
            <sz val="9"/>
            <color indexed="81"/>
            <rFont val="Tahoma"/>
            <family val="2"/>
            <charset val="186"/>
          </rPr>
          <t>2020 m. Šilutės pl. 48, Šilutės pl. 62, Smiltelės g. 47</t>
        </r>
      </text>
    </comment>
    <comment ref="J162" authorId="0" shapeId="0">
      <text>
        <r>
          <rPr>
            <sz val="9"/>
            <color indexed="81"/>
            <rFont val="Tahoma"/>
            <family val="2"/>
            <charset val="186"/>
          </rPr>
          <t>Patobulinta ir ekploatuojama programėlė (su start/stop funkcija) išmaniesiems įrenginiais stovėjimo mokesčiui apmokėti, 12 tūkst. eur SB(VR);</t>
        </r>
      </text>
    </comment>
    <comment ref="F166" authorId="0" shapeId="0">
      <text>
        <r>
          <rPr>
            <b/>
            <sz val="9"/>
            <color indexed="81"/>
            <rFont val="Tahoma"/>
            <family val="2"/>
            <charset val="186"/>
          </rPr>
          <t xml:space="preserve"> P2, Klaipėdos miesto darnaus judumo planas (2018-09-13, T2-185), </t>
        </r>
        <r>
          <rPr>
            <sz val="9"/>
            <color indexed="81"/>
            <rFont val="Tahoma"/>
            <family val="2"/>
            <charset val="186"/>
          </rPr>
          <t xml:space="preserve">
</t>
        </r>
      </text>
    </comment>
    <comment ref="M167"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169" authorId="0" shapeId="0">
      <text>
        <r>
          <rPr>
            <b/>
            <sz val="9"/>
            <color indexed="81"/>
            <rFont val="Tahoma"/>
            <family val="2"/>
            <charset val="186"/>
          </rPr>
          <t>P2, Klaipėdos miesto darnaus judumo planas (2018-09-13, T2-185)</t>
        </r>
      </text>
    </comment>
    <comment ref="F171"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r>
          <rPr>
            <b/>
            <sz val="9"/>
            <color indexed="81"/>
            <rFont val="Tahoma"/>
            <family val="2"/>
            <charset val="186"/>
          </rPr>
          <t xml:space="preserve">P2, Klaipėdos miesto darnaus judumo planas (2018-09-13, T2-185), </t>
        </r>
      </text>
    </comment>
    <comment ref="M171" authorId="0" shapeId="0">
      <text>
        <r>
          <rPr>
            <sz val="9"/>
            <color indexed="81"/>
            <rFont val="Tahoma"/>
            <family val="2"/>
            <charset val="186"/>
          </rPr>
          <t>2021 m. numatyta suma iš KVJUD lėšų - sutarties projektą planuojama pradėti rengti 2020 m.</t>
        </r>
      </text>
    </comment>
    <comment ref="F176"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r>
          <rPr>
            <b/>
            <sz val="9"/>
            <color indexed="81"/>
            <rFont val="Tahoma"/>
            <family val="2"/>
            <charset val="186"/>
          </rPr>
          <t>P2,</t>
        </r>
        <r>
          <rPr>
            <sz val="9"/>
            <color indexed="81"/>
            <rFont val="Tahoma"/>
            <family val="2"/>
            <charset val="186"/>
          </rPr>
          <t xml:space="preserve"> </t>
        </r>
        <r>
          <rPr>
            <b/>
            <sz val="9"/>
            <color indexed="81"/>
            <rFont val="Tahoma"/>
            <family val="2"/>
            <charset val="186"/>
          </rPr>
          <t>Klaipėdos miesto darnaus judumo planas (2018-09-13, T2-185)</t>
        </r>
        <r>
          <rPr>
            <sz val="9"/>
            <color indexed="81"/>
            <rFont val="Tahoma"/>
            <family val="2"/>
            <charset val="186"/>
          </rPr>
          <t xml:space="preserve">
</t>
        </r>
      </text>
    </comment>
    <comment ref="F179"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F182"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M182" authorId="0" shapeId="0">
      <text>
        <r>
          <rPr>
            <b/>
            <sz val="9"/>
            <color indexed="81"/>
            <rFont val="Tahoma"/>
            <family val="2"/>
            <charset val="186"/>
          </rPr>
          <t>Rezultatai:</t>
        </r>
        <r>
          <rPr>
            <sz val="9"/>
            <color indexed="81"/>
            <rFont val="Tahoma"/>
            <family val="2"/>
            <charset val="186"/>
          </rPr>
          <t xml:space="preserve">
SPG ir miesto Tarybai pritarus sprendimo projektui, kartu su Projekto partneriais būtų rengiama Projekto paraiška, siekiant miestiečiams parodyti ekonominę ir socialinę darnaus judumo (mobilumo) naudą.
Klaipėdos miesto savivaldybė, dalyvaudama Projekte, tikisi koncentruotis į pagrindinių trijų sričių problematiką (tačiau ji gali būti papildyta, modifikuota pagal vietos veiklos grupės diskusijas):
1) saugumas viešose miesto erdvėse;
2) senamiesčio centrinė dalis bemotoriam transportui; 
3) gyventojų motyvavimas keisti mobilumo įpročius.
Numatomos šios pagrindinės Projekto veiklos:
- partnerių susitikimas problemų identifikavimui ir projekto veiklų įgyvendinimo aptarimas;
- vietos veiklos grupės iš skirtingų visuomenės grupių sudarymas ir jų įtraukties į diskusijų užtikrinimas;
- keitimasis gerąją praktika tarp Projekto partnerių;
- integruoto veiksmų plano rengimas; 
- veiklų viešinimas.
Klaipėdos miesto savivaldybės tarybai pritarus dalyvavimui Projekte partnerio teisėmis bei laimėjus paraiškų konkursą, Klaipėdos miesto savivaldybė prisidėtų prie Klaipėdos miesto darnaus judumo strateginių tikslų siekimo. 
Laukiamas galutinis Projekto rezultatas - kartu su užsienio partneriais, mokslo, vietos valdžios, verslo ir bendruomenių atstovais parengtas integruotas veiksmų planas (IAP) dėl ekonominės ir socialinės darnaus judumo priemonių įgyvendinimo Klaipėdos miesto naudos įvertinimo. 
</t>
        </r>
      </text>
    </comment>
    <comment ref="P182" authorId="0" shapeId="0">
      <text>
        <r>
          <rPr>
            <sz val="9"/>
            <color indexed="81"/>
            <rFont val="Tahoma"/>
            <family val="2"/>
            <charset val="186"/>
          </rPr>
          <t xml:space="preserve">1 fazė (vystymo) nuo 2019-09-02 iki 2020-03-02 (trukmė 6 mėn.) ;
2 fazė (įgyvendinimo) nuo 2020-05-01 iki 2022-05-31 (25 mėn.).
</t>
        </r>
        <r>
          <rPr>
            <b/>
            <sz val="9"/>
            <color indexed="81"/>
            <rFont val="Tahoma"/>
            <family val="2"/>
            <charset val="186"/>
          </rPr>
          <t xml:space="preserve">1) 1 fazė (vystymo): nuo 3.215,00 Eur iki 2.250,00 Eur;
2) 2 fazė (įgyvendinimo): nuo 12.857,00 iki 9.000,00 Eur. </t>
        </r>
        <r>
          <rPr>
            <sz val="9"/>
            <color indexed="81"/>
            <rFont val="Tahoma"/>
            <family val="2"/>
            <charset val="186"/>
          </rPr>
          <t xml:space="preserve">
</t>
        </r>
      </text>
    </comment>
    <comment ref="F185"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M185" authorId="0" shapeId="0">
      <text>
        <r>
          <rPr>
            <b/>
            <sz val="9"/>
            <color indexed="81"/>
            <rFont val="Tahoma"/>
            <family val="2"/>
            <charset val="186"/>
          </rPr>
          <t>Projekto tikslai:</t>
        </r>
        <r>
          <rPr>
            <sz val="9"/>
            <color indexed="81"/>
            <rFont val="Tahoma"/>
            <family val="2"/>
            <charset val="186"/>
          </rPr>
          <t xml:space="preserve">
SUMP-PLUS pagrindiniai tikslai: 
• Plėtoti ir taikyti efektyvius būdus, metodus bei priemones miestams, susiduriantiems su sparčiu eismo augimu (susijusiu su automobilių nuosavybės ir naudojimo padidėjimu), kad jie galėtų nustatyti praktinį būdą kuris per tam tikrą laiką nustatytų kliūtis, kurios trukdo įgyvendinti darnaus judumo tikslus. 
• Parodyti, kaip miestai gali sukurti stipresnius ryšius su kitomis miesto sistemos sudedamosiomis dalimis, kurios sukuria judumo reikalavimus (švietimas, sveikata, mažmeninė prekyba, žemės naudojimo planavimas ir kt.). 
• Nustatyti ir parodyti naujus partnerystės ir verslo modelius, kurie leistų ekonomiškai efektyviai įgyvendinti įvairius judumo tikslus per tinkamas viešojo ir privataus sektoriaus partnerystes.
• Plačiai bendradarbiauti su miestiečiais, lankytojais ir įmonėmis, siekiant susitarti dėl miesto transporto vizijos ir bendrai kurti konkrečius sprendimus
</t>
        </r>
        <r>
          <rPr>
            <b/>
            <sz val="9"/>
            <color indexed="81"/>
            <rFont val="Tahoma"/>
            <family val="2"/>
            <charset val="186"/>
          </rPr>
          <t xml:space="preserve"> Projekto rezultatai:
</t>
        </r>
        <r>
          <rPr>
            <sz val="9"/>
            <color indexed="81"/>
            <rFont val="Tahoma"/>
            <family val="2"/>
            <charset val="186"/>
          </rPr>
          <t>• Klaipėdos miesto Darnaus judumo plano įgyvendinimo proceso stebėsena.
• Konkrečių priemonių įgyvendinimas.</t>
        </r>
        <r>
          <rPr>
            <b/>
            <sz val="9"/>
            <color indexed="81"/>
            <rFont val="Tahoma"/>
            <family val="2"/>
            <charset val="186"/>
          </rPr>
          <t xml:space="preserve">
</t>
        </r>
      </text>
    </comment>
    <comment ref="F188"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F189"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N189" authorId="0" shapeId="0">
      <text>
        <r>
          <rPr>
            <b/>
            <sz val="9"/>
            <color indexed="81"/>
            <rFont val="Tahoma"/>
            <family val="2"/>
            <charset val="186"/>
          </rPr>
          <t>2018 m. įrengtos 6 elektromobilių stotelės:</t>
        </r>
        <r>
          <rPr>
            <sz val="9"/>
            <color indexed="81"/>
            <rFont val="Tahoma"/>
            <family val="2"/>
            <charset val="186"/>
          </rPr>
          <t xml:space="preserve">
1. Prie Park&amp;Ride ligoninių komplekso, 1 vnt.
2. Prie Klaipėdos miesto savivaldybės administracijos pastato iš Vytauto ir Liepų g. pusės, 2 vnt.
     3. Prie LIDL p c., ties Sendvario žiedu, 1 vnt.
     4. Piliavietės aikštelėje, 2 vnt.
     5. Dar 2 stotelės įrengtos Smiltynėje, bet dar neperduotos eksploatuoti.
     6. </t>
        </r>
        <r>
          <rPr>
            <b/>
            <sz val="9"/>
            <color indexed="81"/>
            <rFont val="Tahoma"/>
            <family val="2"/>
            <charset val="186"/>
          </rPr>
          <t xml:space="preserve">2019 m. </t>
        </r>
        <r>
          <rPr>
            <sz val="9"/>
            <color indexed="81"/>
            <rFont val="Tahoma"/>
            <family val="2"/>
            <charset val="186"/>
          </rPr>
          <t xml:space="preserve">planuojamos įrengti 3 vnt. greitos įkrovimo elektromobilių stotelės, kurių įrengimą organizuoja LR susisiekimo ministerija. Klaipėdos mieste tokios stotelės turėtų atsirasti: Vingio g. gale esančioje automobilių statymo aikštelėje, Naujojo turgaus aikštelėje ir šalia Klaipėdos autobusų stoties esančioje automobilių statymo aikštelėje.
</t>
        </r>
      </text>
    </comment>
    <comment ref="N197" authorId="0" shapeId="0">
      <text>
        <r>
          <rPr>
            <b/>
            <sz val="9"/>
            <color indexed="81"/>
            <rFont val="Tahoma"/>
            <family val="2"/>
            <charset val="186"/>
          </rPr>
          <t>59 445 kv.m</t>
        </r>
        <r>
          <rPr>
            <sz val="9"/>
            <color indexed="81"/>
            <rFont val="Tahoma"/>
            <family val="2"/>
            <charset val="186"/>
          </rPr>
          <t xml:space="preserve">
</t>
        </r>
      </text>
    </comment>
    <comment ref="K205" authorId="0" shapeId="0">
      <text>
        <r>
          <rPr>
            <b/>
            <sz val="9"/>
            <color indexed="81"/>
            <rFont val="Tahoma"/>
            <family val="2"/>
            <charset val="186"/>
          </rPr>
          <t>permesta 250 tūkst. eur.</t>
        </r>
        <r>
          <rPr>
            <sz val="9"/>
            <color indexed="81"/>
            <rFont val="Tahoma"/>
            <family val="2"/>
            <charset val="186"/>
          </rPr>
          <t xml:space="preserve">
S. Daukanto gatvės rekonstrukcija nuo H. Manto iki Naujojo Uosto g.</t>
        </r>
      </text>
    </comment>
    <comment ref="O205" authorId="0" shapeId="0">
      <text>
        <r>
          <rPr>
            <b/>
            <sz val="9"/>
            <color indexed="81"/>
            <rFont val="Tahoma"/>
            <family val="2"/>
            <charset val="186"/>
          </rPr>
          <t xml:space="preserve">78 500 kv.m </t>
        </r>
        <r>
          <rPr>
            <sz val="9"/>
            <color indexed="81"/>
            <rFont val="Tahoma"/>
            <family val="2"/>
            <charset val="186"/>
          </rPr>
          <t xml:space="preserve">
</t>
        </r>
      </text>
    </comment>
    <comment ref="N213" authorId="0" shapeId="0">
      <text>
        <r>
          <rPr>
            <sz val="9"/>
            <color indexed="81"/>
            <rFont val="Tahoma"/>
            <family val="2"/>
            <charset val="186"/>
          </rPr>
          <t xml:space="preserve">44 875 kv.m
</t>
        </r>
      </text>
    </comment>
    <comment ref="N214" authorId="0" shapeId="0">
      <text>
        <r>
          <rPr>
            <sz val="9"/>
            <color indexed="81"/>
            <rFont val="Tahoma"/>
            <family val="2"/>
            <charset val="186"/>
          </rPr>
          <t xml:space="preserve">13 338 kv.m
</t>
        </r>
      </text>
    </comment>
    <comment ref="M215" authorId="0" shapeId="0">
      <text>
        <r>
          <rPr>
            <sz val="9"/>
            <color indexed="81"/>
            <rFont val="Tahoma"/>
            <family val="2"/>
            <charset val="186"/>
          </rPr>
          <t>Senamiesčio dangų pirtaikymas neįgaliesiems pagal parengtą aprašą (2018-09-18  UAB "Klaipėdos projektas" sutartis Nr. J9-1944)</t>
        </r>
      </text>
    </comment>
    <comment ref="M216" authorId="0" shapeId="0">
      <text>
        <r>
          <rPr>
            <sz val="9"/>
            <color indexed="81"/>
            <rFont val="Tahoma"/>
            <family val="2"/>
            <charset val="186"/>
          </rPr>
          <t xml:space="preserve">kasmet susidaro apie 120 kiemų
</t>
        </r>
      </text>
    </comment>
    <comment ref="N216" authorId="0" shapeId="0">
      <text>
        <r>
          <rPr>
            <sz val="9"/>
            <color indexed="81"/>
            <rFont val="Tahoma"/>
            <family val="2"/>
            <charset val="186"/>
          </rPr>
          <t>18 180 kv.m</t>
        </r>
      </text>
    </comment>
    <comment ref="N222" authorId="0" shapeId="0">
      <text>
        <r>
          <rPr>
            <sz val="9"/>
            <color indexed="81"/>
            <rFont val="Tahoma"/>
            <family val="2"/>
            <charset val="186"/>
          </rPr>
          <t xml:space="preserve">6600 kv.m
</t>
        </r>
      </text>
    </comment>
    <comment ref="M223" authorId="0" shapeId="0">
      <text>
        <r>
          <rPr>
            <b/>
            <sz val="9"/>
            <color indexed="81"/>
            <rFont val="Tahoma"/>
            <family val="2"/>
            <charset val="186"/>
          </rPr>
          <t xml:space="preserve">2019 m. </t>
        </r>
        <r>
          <rPr>
            <sz val="9"/>
            <color indexed="81"/>
            <rFont val="Tahoma"/>
            <family val="2"/>
            <charset val="186"/>
          </rPr>
          <t xml:space="preserve">
Senamiesčio gatvės 
Ligoninės g.
Vytauto g.
Gedminų g.
Pievų tako g.
Jurginų g.
Poilsio g.
Medžiotojų g.
Naikupės g.
Tilžės g.
</t>
        </r>
      </text>
    </comment>
    <comment ref="N223" authorId="0" shapeId="0">
      <text>
        <r>
          <rPr>
            <b/>
            <sz val="9"/>
            <color indexed="81"/>
            <rFont val="Tahoma"/>
            <family val="2"/>
            <charset val="186"/>
          </rPr>
          <t>11 000 kv.m</t>
        </r>
        <r>
          <rPr>
            <sz val="9"/>
            <color indexed="81"/>
            <rFont val="Tahoma"/>
            <family val="2"/>
            <charset val="186"/>
          </rPr>
          <t xml:space="preserve">
</t>
        </r>
      </text>
    </comment>
    <comment ref="O223" authorId="0" shapeId="0">
      <text>
        <r>
          <rPr>
            <b/>
            <sz val="9"/>
            <color indexed="81"/>
            <rFont val="Tahoma"/>
            <family val="2"/>
            <charset val="186"/>
          </rPr>
          <t>7200 kv.m</t>
        </r>
        <r>
          <rPr>
            <sz val="9"/>
            <color indexed="81"/>
            <rFont val="Tahoma"/>
            <family val="2"/>
            <charset val="186"/>
          </rPr>
          <t xml:space="preserve">
</t>
        </r>
      </text>
    </comment>
    <comment ref="P223" authorId="0" shapeId="0">
      <text>
        <r>
          <rPr>
            <b/>
            <sz val="9"/>
            <color indexed="81"/>
            <rFont val="Tahoma"/>
            <family val="2"/>
            <charset val="186"/>
          </rPr>
          <t>7200 kv.m</t>
        </r>
        <r>
          <rPr>
            <sz val="9"/>
            <color indexed="81"/>
            <rFont val="Tahoma"/>
            <family val="2"/>
            <charset val="186"/>
          </rPr>
          <t xml:space="preserve">
</t>
        </r>
      </text>
    </comment>
    <comment ref="O224" authorId="0" shapeId="0">
      <text>
        <r>
          <rPr>
            <b/>
            <sz val="9"/>
            <color indexed="81"/>
            <rFont val="Tahoma"/>
            <family val="2"/>
            <charset val="186"/>
          </rPr>
          <t>2500 kv.m</t>
        </r>
        <r>
          <rPr>
            <sz val="9"/>
            <color indexed="81"/>
            <rFont val="Tahoma"/>
            <family val="2"/>
            <charset val="186"/>
          </rPr>
          <t xml:space="preserve">
</t>
        </r>
      </text>
    </comment>
    <comment ref="O226" authorId="0" shapeId="0">
      <text>
        <r>
          <rPr>
            <b/>
            <sz val="9"/>
            <color indexed="81"/>
            <rFont val="Tahoma"/>
            <family val="2"/>
            <charset val="186"/>
          </rPr>
          <t>1900 kv.m</t>
        </r>
        <r>
          <rPr>
            <sz val="9"/>
            <color indexed="81"/>
            <rFont val="Tahoma"/>
            <family val="2"/>
            <charset val="186"/>
          </rPr>
          <t xml:space="preserve">
</t>
        </r>
      </text>
    </comment>
    <comment ref="M227" authorId="0" shapeId="0">
      <text>
        <r>
          <rPr>
            <sz val="9"/>
            <color indexed="81"/>
            <rFont val="Tahoma"/>
            <family val="2"/>
            <charset val="186"/>
          </rPr>
          <t>Miesto ūkio ir aplinkosaugos komiteto pastaba 2019-01-25 TAR-5</t>
        </r>
      </text>
    </comment>
    <comment ref="N228" authorId="0" shapeId="0">
      <text>
        <r>
          <rPr>
            <b/>
            <sz val="9"/>
            <color indexed="81"/>
            <rFont val="Tahoma"/>
            <family val="2"/>
            <charset val="186"/>
          </rPr>
          <t xml:space="preserve">14 vnt. UKD </t>
        </r>
        <r>
          <rPr>
            <sz val="9"/>
            <color indexed="81"/>
            <rFont val="Tahoma"/>
            <family val="2"/>
            <charset val="186"/>
          </rPr>
          <t xml:space="preserve">pateikė poreikį šioms įstaigoms: 7 bendrojo ugdymo mokykloms ir 7 lopšeliams darželiams: </t>
        </r>
        <r>
          <rPr>
            <b/>
            <sz val="9"/>
            <color indexed="81"/>
            <rFont val="Tahoma"/>
            <family val="2"/>
            <charset val="186"/>
          </rPr>
          <t xml:space="preserve">
(darbai jau vykdomi prie šių įstaigų)
L/d "Berželis";
 L/d "Vėrinėlis"
L/d "Atžalynas"; 
Vitės progimnazija; 
"Žaliakalnio" gimnazija;
"Ąžuolyno" gimnazija;
</t>
        </r>
        <r>
          <rPr>
            <sz val="9"/>
            <color indexed="81"/>
            <rFont val="Tahoma"/>
            <family val="2"/>
            <charset val="186"/>
          </rPr>
          <t xml:space="preserve">(nepradėti vykdyti)
L/d "Želemenėlis";
L/d "Bangelė";
L/d "Pakalnutė";
L/d "Linelis";
"Gabijos" progimnazija;
"Versmės"  progimnazija;
"Vyturio" progimnazija;
Martyno Mažvydo progimnazija.
</t>
        </r>
        <r>
          <rPr>
            <b/>
            <sz val="9"/>
            <color indexed="81"/>
            <rFont val="Tahoma"/>
            <family val="2"/>
            <charset val="186"/>
          </rPr>
          <t xml:space="preserve">
2019 m. pradžioje SRD</t>
        </r>
        <r>
          <rPr>
            <sz val="9"/>
            <color indexed="81"/>
            <rFont val="Tahoma"/>
            <family val="2"/>
            <charset val="186"/>
          </rPr>
          <t xml:space="preserve"> pateikė poreikį 1 įstaigai, tačiau 23,1 tūkst. Eur lėšos nebuvo suplanuotos.
BĮ Klaipėdos vaikų globos namuose „Smiltelė“ kelio dangos remontas, kv. m. (darbai vykdomi) </t>
        </r>
        <r>
          <rPr>
            <b/>
            <sz val="9"/>
            <color indexed="81"/>
            <rFont val="Tahoma"/>
            <family val="2"/>
            <charset val="186"/>
          </rPr>
          <t xml:space="preserve">
</t>
        </r>
      </text>
    </comment>
    <comment ref="O228" authorId="0" shapeId="0">
      <text>
        <r>
          <rPr>
            <b/>
            <sz val="9"/>
            <color indexed="81"/>
            <rFont val="Tahoma"/>
            <family val="2"/>
            <charset val="186"/>
          </rPr>
          <t>12 vnt.:</t>
        </r>
        <r>
          <rPr>
            <sz val="9"/>
            <color indexed="81"/>
            <rFont val="Tahoma"/>
            <family val="2"/>
            <charset val="186"/>
          </rPr>
          <t xml:space="preserve">
Vydūno gimnazija
"Vėtrungės" gimnazija
Maksimo Gorkio progimnazija
Klaipėdos suaugusiųjų gimnazija
"Verdenės"  progimnazija
L/d "Žemuogėlė"
L/d "Inkarėlis"
L/d "Aitvarėlis"
L/d "Radastėlė"
Lopšelis-darželis "Žuvėdra"
Lopšelis-darželis "Šermukšnėlė"
Jeronimo Kačinsko muzikos mokykla
</t>
        </r>
      </text>
    </comment>
    <comment ref="P228" authorId="0" shapeId="0">
      <text>
        <r>
          <rPr>
            <b/>
            <sz val="9"/>
            <color indexed="81"/>
            <rFont val="Tahoma"/>
            <family val="2"/>
            <charset val="186"/>
          </rPr>
          <t>6 vnt.</t>
        </r>
        <r>
          <rPr>
            <sz val="9"/>
            <color indexed="81"/>
            <rFont val="Tahoma"/>
            <family val="2"/>
            <charset val="186"/>
          </rPr>
          <t xml:space="preserve">
Lopšelis-darželis  "Giliukas"
Darželis "Gintarėlis"
Lopšelis-darželis "Eglutė"
"Varpo" gimnazija
"Verdenės"  progimnazija
Vytauto Didžiojo gimnazija
</t>
        </r>
      </text>
    </comment>
    <comment ref="E236" authorId="0" shapeId="0">
      <text>
        <r>
          <rPr>
            <sz val="9"/>
            <color indexed="81"/>
            <rFont val="Tahoma"/>
            <family val="2"/>
            <charset val="186"/>
          </rPr>
          <t>parkavimo vietų subraižymas, žaliųjų vejų ir skverų sutvarkymas</t>
        </r>
      </text>
    </comment>
    <comment ref="J255" authorId="0" shapeId="0">
      <text>
        <r>
          <rPr>
            <b/>
            <sz val="9"/>
            <color indexed="81"/>
            <rFont val="Tahoma"/>
            <family val="2"/>
            <charset val="186"/>
          </rPr>
          <t xml:space="preserve">20917
</t>
        </r>
        <r>
          <rPr>
            <sz val="9"/>
            <color indexed="81"/>
            <rFont val="Tahoma"/>
            <family val="2"/>
            <charset val="186"/>
          </rPr>
          <t xml:space="preserve">
</t>
        </r>
      </text>
    </comment>
  </commentList>
</comments>
</file>

<file path=xl/sharedStrings.xml><?xml version="1.0" encoding="utf-8"?>
<sst xmlns="http://schemas.openxmlformats.org/spreadsheetml/2006/main" count="1705" uniqueCount="436">
  <si>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</si>
  <si>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</si>
  <si>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</si>
  <si>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</si>
  <si>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</si>
  <si>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</si>
  <si>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</si>
  <si>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</si>
  <si>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</si>
  <si>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</si>
  <si>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</si>
  <si>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</si>
  <si>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</si>
  <si>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</si>
  <si>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</si>
  <si>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</si>
  <si>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</si>
  <si>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</si>
  <si>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</si>
  <si>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</si>
  <si>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</si>
  <si>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</si>
  <si>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</si>
  <si>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</si>
  <si>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</si>
  <si>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</si>
  <si>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</si>
  <si>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</si>
  <si>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</si>
  <si>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</si>
  <si>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</si>
  <si>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</si>
  <si>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</si>
  <si>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</si>
  <si>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</si>
  <si>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</si>
  <si>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</si>
  <si>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</si>
  <si>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</si>
  <si>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</si>
  <si>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</si>
  <si>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</si>
  <si>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</si>
  <si>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</si>
  <si>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</si>
  <si>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</si>
  <si>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</si>
  <si>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</si>
  <si>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</si>
  <si>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</si>
  <si>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</si>
  <si>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</si>
  <si>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</si>
  <si>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</si>
  <si>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</si>
  <si>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1</t>
  </si>
  <si>
    <t>Viešojo transporto paslaugų organizavimas:</t>
  </si>
  <si>
    <t xml:space="preserve">Iš viso  programai:  </t>
  </si>
  <si>
    <t>Pajūrio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</si>
  <si>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</si>
  <si>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</si>
  <si>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</si>
  <si>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</si>
  <si>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</si>
  <si>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</si>
  <si>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</si>
  <si>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</si>
  <si>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</si>
  <si>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</si>
  <si>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</si>
  <si>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</si>
  <si>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</si>
  <si>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</si>
  <si>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</si>
  <si>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MŪD Miesto tvarkymo skyrius</t>
  </si>
  <si>
    <t>SB(VRL)</t>
  </si>
  <si>
    <t>P2.1.2.9</t>
  </si>
  <si>
    <t>Topografinių nuotraukų, išpildomųjų geodezinių nuotraukų įsigijimas, statinių projektų ekspertizių bei kitos inžinerinės paslaugos</t>
  </si>
  <si>
    <t xml:space="preserve"> - vežėjams už lengvatas turinčių keleivių vežimą</t>
  </si>
  <si>
    <t xml:space="preserve"> - moksleiviams</t>
  </si>
  <si>
    <t xml:space="preserve"> - profesinių mokyklų moksleiviams</t>
  </si>
  <si>
    <t>Suženklinta gatvių, ha</t>
  </si>
  <si>
    <t>Eksploatuojama greičio matuoklių, vnt.</t>
  </si>
  <si>
    <t>Parengtas paviljono su aikštele techninis projektas, vnt.</t>
  </si>
  <si>
    <t>Medžiagų tyrimas ir kontroliniai bandymai</t>
  </si>
  <si>
    <t>2.1.2.14</t>
  </si>
  <si>
    <t>2.1.2.11</t>
  </si>
  <si>
    <t>2.1.2.15</t>
  </si>
  <si>
    <t>2.1.2.13</t>
  </si>
  <si>
    <t>2.1.2.2</t>
  </si>
  <si>
    <t>2.1.2.12</t>
  </si>
  <si>
    <t xml:space="preserve">Savivaldybės biudžetas, iš jo: </t>
  </si>
  <si>
    <t xml:space="preserve">Parengtas techninis projektas, vnt. </t>
  </si>
  <si>
    <t>Planas</t>
  </si>
  <si>
    <t>Rytų ir vakarų krypties gatvių tinklo modernizavimas:</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</si>
  <si>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</si>
  <si>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</si>
  <si>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</si>
  <si>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t>SB(ŽPL)</t>
  </si>
  <si>
    <t>SB(KPP)</t>
  </si>
  <si>
    <t>MŪD Miesto tvarkymo sk.</t>
  </si>
  <si>
    <t xml:space="preserve">Ištisinio asfaltbetonio dangos remontas: </t>
  </si>
  <si>
    <t>Kiemų ir privažiuojamųjų kelių  prie biudžetinių įstaigų dangos remontas</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</si>
  <si>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</si>
  <si>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</si>
  <si>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</si>
  <si>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</si>
  <si>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</si>
  <si>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2.1.2.8</t>
  </si>
  <si>
    <t>tūkst. Eur</t>
  </si>
  <si>
    <t xml:space="preserve">Diegti eismo srautų reguliavimo ir saugumo priemones </t>
  </si>
  <si>
    <t xml:space="preserve">Eksploatuojama eismo reguliavimo priemonių, tūkst. vnt. </t>
  </si>
  <si>
    <t>P2.1.2.3</t>
  </si>
  <si>
    <t xml:space="preserve">Susisiekimo sistemos objektų pritaikymas neįgaliesiems  </t>
  </si>
  <si>
    <t>IED Statybos ir infrastruktūros plėtros sk.</t>
  </si>
  <si>
    <t>MŪD Transporto sk.</t>
  </si>
  <si>
    <t>Aiškinamojo rašto priedas Nr.3</t>
  </si>
  <si>
    <t>2019-ieji metai</t>
  </si>
  <si>
    <t>Klaipėdos miesto viešojo transporto atnaujinimas (autobusų įsigijimas)</t>
  </si>
  <si>
    <t>Klaipėdos miesto viešojo transporto švieslenčių ir informacinių švieslenčių įrengimas ir atnaujinimas</t>
  </si>
  <si>
    <t xml:space="preserve">Įrengta švieslenčių miesto autobusų stotelėse, vnt.  </t>
  </si>
  <si>
    <t>P2.1.2.5</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</si>
  <si>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</si>
  <si>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IED  Statybos ir infrastruktūros plėtros skyrius</t>
  </si>
  <si>
    <t>Kombinuotų kelionių jungčių (PARK&amp;RIDE) įrengimas (šiaurinėje miesto dalyje)</t>
  </si>
  <si>
    <t>Įdiegta transporto valdymo sistema. Užbaigtumas, proc.</t>
  </si>
  <si>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</si>
  <si>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</si>
  <si>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</si>
  <si>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</si>
  <si>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</si>
  <si>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</si>
  <si>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</si>
  <si>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Eksploatuojama bilietų automatų,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</si>
  <si>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</si>
  <si>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</si>
  <si>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</si>
  <si>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</si>
  <si>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</si>
  <si>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</si>
  <si>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 xml:space="preserve">Parengtas rekonstravimo techninis projektas (ruožas nuo Atgimimo aikštės iki Laivų skersgatvio), vnt. </t>
  </si>
  <si>
    <t>Parengtas rekonstravimo techninis projektas (ruožas nuo Laivų skersgatvio iki Artojų g.), vnt.</t>
  </si>
  <si>
    <t>Parengtas rekonstravimo techninis projektas, vnt.</t>
  </si>
  <si>
    <t>Atlikta rekonstravimo darbų. Užbaigtumas, proc.</t>
  </si>
  <si>
    <t>Atlikta gatvės (1374 m ) rekonstravimo darbų. Užbaigtumas, proc.</t>
  </si>
  <si>
    <t>Įstaigų, kurių kiemuose atlikta asfalto dangos remonto darbų, skaičius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</si>
  <si>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</si>
  <si>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</si>
  <si>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 xml:space="preserve">Klaipėdos miesto gatvių pėsčiųjų perėjų kryptinis apšvietimas </t>
  </si>
  <si>
    <t>Parengtas II etapo techninis projektas (Klaipėdos g., Virkučių g., Slengių g., Lietaus g., Vaivorykštės g., Griaustinio g. ir Arimų g.), vnt.</t>
  </si>
  <si>
    <t>Maršruto „Klaipėdos autobusų stotis–Palangos oro uostas“ kursavimas</t>
  </si>
  <si>
    <t>Kompensuota nuostolingų maršrutų, vnt.</t>
  </si>
  <si>
    <r>
      <t xml:space="preserve">Europos Sąjungos paramos lėšos, kurios įtrauktos į Savivaldybės biudžetą </t>
    </r>
    <r>
      <rPr>
        <b/>
        <sz val="10"/>
        <rFont val="Times New Roman"/>
        <family val="1"/>
        <charset val="186"/>
      </rPr>
      <t>SB(ES)</t>
    </r>
  </si>
  <si>
    <t>Elektromobilių įkrovimo stotelių įrengimas  Klaipėdos mieste</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</si>
  <si>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</si>
  <si>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</si>
  <si>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patirtų įgyvendinant ES Sanglaudos fondų finansuojamus ekologiškų viešojo transporto  priemonių įsigijimo projektus</t>
  </si>
  <si>
    <t>Parengta galimybių studija, vnt.</t>
  </si>
  <si>
    <t>2020-ųjų metų lėšų projektas</t>
  </si>
  <si>
    <t>2020-ieji metai</t>
  </si>
  <si>
    <t>Atlikta gatvės tiesimo darbų. Užbaigtumas, proc.</t>
  </si>
  <si>
    <t>2.1.2.2.</t>
  </si>
  <si>
    <t>IED Projektų skyrius</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</si>
  <si>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</si>
  <si>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</si>
  <si>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</si>
  <si>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Šturmanų g.;</t>
  </si>
  <si>
    <t>Šermukšnių g.;</t>
  </si>
  <si>
    <t>2019 m.</t>
  </si>
  <si>
    <t>2020 m.</t>
  </si>
  <si>
    <t>S. Šimkaus g.;</t>
  </si>
  <si>
    <t>I. Simonaitytės g.;</t>
  </si>
  <si>
    <t>Jurginų g.;</t>
  </si>
  <si>
    <t>Malūnininkų g.;</t>
  </si>
  <si>
    <t>Subsidijuojamų maršrutų skaičius:</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</si>
  <si>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</si>
  <si>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</si>
  <si>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</si>
  <si>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</si>
  <si>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</si>
  <si>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</si>
  <si>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prospekto atkarpos rekonstravimo darbų.  Užbaigtumas, proc.</t>
  </si>
  <si>
    <t>10</t>
  </si>
  <si>
    <t>08</t>
  </si>
  <si>
    <t>Kelio Klaipėda-Kretinga Nr. 168 (Medelyno g.) rekonstravimas</t>
  </si>
  <si>
    <t>Elektra varomo viešojo transporto naujų galimybių plėtra (DEPO), ELENA</t>
  </si>
  <si>
    <t>Parengtas tramvajaus ir elektrinių autobusų pirkimo strategijos dokumentų paketas, vnt.</t>
  </si>
  <si>
    <t>Įrengta elektromobilių įkrovimo prieigų, vnt.</t>
  </si>
  <si>
    <t>MŪD  Transporto sk.</t>
  </si>
  <si>
    <t>Įdiegta dviračių saugojimo (angl. bike-storing) sistema, vnt.</t>
  </si>
  <si>
    <t>Lengvųjų automobilių taksi  ženklinimo  sprendinių projekto parengimas</t>
  </si>
  <si>
    <t>Parengtas ženklinimo sprendinių projektas, vnt.</t>
  </si>
  <si>
    <t>Transporto skyrius</t>
  </si>
  <si>
    <t>Įrengta elektros įvadų švieslenčių įrengimui, vnt.</t>
  </si>
  <si>
    <t>Tauralaukio gyvenvietės gatvių rekonstravimas</t>
  </si>
  <si>
    <t xml:space="preserve">Jūrininkų prospekto atkarpos nuo Šilutės pl. iki Minijos g. rekonstrukcija </t>
  </si>
  <si>
    <r>
      <t>Danės g. rekonstravimas (siekiant racionaliai suplanuoti jungtis su Bastionų g., nauju tiltu per Danės upę ir Artojų g.)</t>
    </r>
    <r>
      <rPr>
        <sz val="10"/>
        <color rgb="FFFF0000"/>
        <rFont val="Times New Roman"/>
        <family val="1"/>
        <charset val="186"/>
      </rPr>
      <t xml:space="preserve"> </t>
    </r>
  </si>
  <si>
    <t xml:space="preserve">Naujo įvažiuojamojo kelio (Priešpilio g.) į piliavietę ir Kruizinių laivų terminalą tiesimas </t>
  </si>
  <si>
    <t xml:space="preserve">Puodžių gatvės rekonstravimas  </t>
  </si>
  <si>
    <t xml:space="preserve">Dubliuojančios gatvės nuo Šiltnamių g. iki Klaipėdos g. su pėsčiųjų ir dviračių taku ir įvažomis į Liepojos g. įrengimas                          </t>
  </si>
  <si>
    <t xml:space="preserve">Joniškės g. rekonstravimas (II etapas – nuo Klemiškės g. iki Liepų g., Šienpjovių g.) </t>
  </si>
  <si>
    <r>
      <t>Uostamiesčiai: darnaus judumo principų integravimas (PORT Cities: Integrating Sustainability, PORTIS)</t>
    </r>
    <r>
      <rPr>
        <sz val="10"/>
        <color rgb="FFFF0000"/>
        <rFont val="Times New Roman"/>
        <family val="1"/>
        <charset val="186"/>
      </rPr>
      <t xml:space="preserve"> </t>
    </r>
  </si>
  <si>
    <t>Automobilių stovėjimo aikštelės teritorijoje  Bangų g., Klaipėdoje, įrengimas</t>
  </si>
  <si>
    <t xml:space="preserve">Sodų bendrija „Vaiteliai“–„Rasa“ kursavimas </t>
  </si>
  <si>
    <t xml:space="preserve">Atlikta gatvės rekonstravimo darbų. Užbaigtumas, proc.
</t>
  </si>
  <si>
    <t>Parengiamieji darbai įgyvendinat gatvių rekonstrukcijos projektus:</t>
  </si>
  <si>
    <t>Ekologiškų viešojo transporto priemonių, kuriomis važiuojant patiriami nuostoliai, vnt.</t>
  </si>
  <si>
    <t>Parengtas (II etapo) techninis projektas, vnt.</t>
  </si>
  <si>
    <t>Įsigyta naujų ekologiškų autobusų, vnt.</t>
  </si>
  <si>
    <t>Atlikta teritorijos buitinių nuotekų remonto darbų. Užbaigtumas, proc.</t>
  </si>
  <si>
    <t>Klaipėdos miestui priklausančių elektromobilių įkrovimo stotelių eksploatavimas ir priežiūra</t>
  </si>
  <si>
    <t>Senamiesčio grindinio atnaujinimas ir universalaus dizaino pritaikymas</t>
  </si>
  <si>
    <t>Įrengta neregių vedimo dangos autobusų stotelėse, vnt</t>
  </si>
  <si>
    <t>Kelio Klaipėda–Kretinga Nr. 168 (Medelyno g.) rekonstravimas</t>
  </si>
  <si>
    <t>Atlikta Pamario g. (4400 m) rekonstravimo darbų (II–IV etapai). Užbaigtumas, proc.</t>
  </si>
  <si>
    <r>
      <t xml:space="preserve">Įdiegta dviračių saugojimo (angl. </t>
    </r>
    <r>
      <rPr>
        <i/>
        <sz val="10"/>
        <rFont val="Times New Roman"/>
        <family val="1"/>
        <charset val="186"/>
      </rPr>
      <t>bike-storing</t>
    </r>
    <r>
      <rPr>
        <sz val="10"/>
        <rFont val="Times New Roman"/>
        <family val="1"/>
        <charset val="186"/>
      </rPr>
      <t>) sistema, vnt.</t>
    </r>
  </si>
  <si>
    <r>
      <t xml:space="preserve">Europos Sąjungos paramos lėšos, kurios įtrauktos į savivaldybės biudžetą </t>
    </r>
    <r>
      <rPr>
        <b/>
        <sz val="10"/>
        <rFont val="Times New Roman"/>
        <family val="1"/>
        <charset val="186"/>
      </rPr>
      <t>SB(ES)</t>
    </r>
  </si>
  <si>
    <t>Lyginamasis variantas</t>
  </si>
  <si>
    <t>Paaiškinimas</t>
  </si>
  <si>
    <t>Skirtumas</t>
  </si>
  <si>
    <t>Siūlomas keisti 2020-ųjų metų  lėšų projektas</t>
  </si>
  <si>
    <t>Klemiškės g. rekonstravimas</t>
  </si>
  <si>
    <t>SB(ES)</t>
  </si>
  <si>
    <t>2021-ųjų metų lėšų projektas</t>
  </si>
  <si>
    <t>2021-ieji metai</t>
  </si>
  <si>
    <t>Eksploatuojama elektromobilių įkrovimo stotelių, vnt.</t>
  </si>
  <si>
    <t>Atliktas poveikio aplinkai vertinimo dokumentas, vnt.</t>
  </si>
  <si>
    <t>2019-ųjų metų asignavimų planas</t>
  </si>
  <si>
    <t>I, P2</t>
  </si>
  <si>
    <t>P2</t>
  </si>
  <si>
    <r>
      <t xml:space="preserve">P2.1.2.5,  </t>
    </r>
    <r>
      <rPr>
        <b/>
        <sz val="10"/>
        <rFont val="Times New Roman"/>
        <family val="1"/>
        <charset val="186"/>
      </rPr>
      <t>P2</t>
    </r>
  </si>
  <si>
    <r>
      <t xml:space="preserve">P2.1.2.7-8, </t>
    </r>
    <r>
      <rPr>
        <b/>
        <sz val="9"/>
        <rFont val="Times New Roman"/>
        <family val="1"/>
        <charset val="186"/>
      </rPr>
      <t>P2</t>
    </r>
  </si>
  <si>
    <r>
      <t xml:space="preserve">P2.1.2.10, </t>
    </r>
    <r>
      <rPr>
        <b/>
        <sz val="10"/>
        <rFont val="Times New Roman"/>
        <family val="1"/>
        <charset val="186"/>
      </rPr>
      <t>P2</t>
    </r>
  </si>
  <si>
    <t>Atlikta sankryžos rekonstravimo darbų. Užbaigtumas, proc.</t>
  </si>
  <si>
    <t xml:space="preserve">Šalia Klaipėdos Simono Dacho progimnazijos esančio Jūrininkų tako gatvės prailginimas </t>
  </si>
  <si>
    <t xml:space="preserve">Parengtas techninis projektas (planuojama pabaiga 2022 m.), vnt. </t>
  </si>
  <si>
    <t>40</t>
  </si>
  <si>
    <t>70</t>
  </si>
  <si>
    <t>Naujo tilto su pakeliamu mechanizmu per Danę statyba ir prieigų sutvarkymas</t>
  </si>
  <si>
    <t>Atlikta senamiesčio gatvių atnaujinimo darbų. Užbaigtumas, proc.</t>
  </si>
  <si>
    <t>Žvejybos produktų iškrovimo vietos prie jūros Klaipėdos miesto teritorijoje įrengimas</t>
  </si>
  <si>
    <t>LRVB</t>
  </si>
  <si>
    <t>8</t>
  </si>
  <si>
    <t>Įrengta (I etapo) stotelių su įvažomis, vnt.</t>
  </si>
  <si>
    <t>Įrengta (II atapo) stotelių su įvažomis, vnt.</t>
  </si>
  <si>
    <r>
      <t xml:space="preserve">Valstybės biudžeto specialiosios tikslinės dotacijos lėšos </t>
    </r>
    <r>
      <rPr>
        <b/>
        <sz val="10"/>
        <rFont val="Times New Roman"/>
        <family val="1"/>
        <charset val="186"/>
      </rPr>
      <t>SB(VB)</t>
    </r>
  </si>
  <si>
    <t>Atlikta naujo tilto statybos ir Bastiono gatvės (I etapo) rekonstravimo darbų. Užbaigtumas, proc.</t>
  </si>
  <si>
    <t>Atlikta eismo juostos įrengimo darbų. Užbaigtumas, proc.</t>
  </si>
  <si>
    <t>Maršrutas į LEZ teritoriją</t>
  </si>
  <si>
    <t>Naktinis maršrutas</t>
  </si>
  <si>
    <t>Integruota autobusų ir maršrutinių taksi, vnt.</t>
  </si>
  <si>
    <t>Išmokėta už 2018 m. gautą autobusų integracijos įrangą ir sistemą. Užbaigtumas, proc.</t>
  </si>
  <si>
    <t>Parengta projektų, vnt.</t>
  </si>
  <si>
    <t>Rekonstruotas šviesoforas (Tilžės g. ir Sausio 15-osios g. sankryžoje), vnt.</t>
  </si>
  <si>
    <t>2021 m.</t>
  </si>
  <si>
    <t>Gatvių sarašas bus sudaromas po gatvių apžiūrų 2019-2020 m.</t>
  </si>
  <si>
    <t>Gedminų g.;</t>
  </si>
  <si>
    <t>Smiltelės g. (atkarpa nuo Taikos pr. iki Minijos g.);</t>
  </si>
  <si>
    <t>Vytauto g. (atkarpa nuo S. Šimkaus g. iki Puodžių g.);</t>
  </si>
  <si>
    <t>Herkaus Manto g. (labiausiai pažeistos atkarpos, įvažos);</t>
  </si>
  <si>
    <t>Šilutės pl. (labiausiai pažeistos atkarpos, įvažos);</t>
  </si>
  <si>
    <t>Mogiliovo  g.  gyvenamojo rajono gatvės;</t>
  </si>
  <si>
    <t>S.Daukanto g.;</t>
  </si>
  <si>
    <t>Atlikta kelio atnaujinimo darbų. Užbaigtumas, proc.</t>
  </si>
  <si>
    <t>Įvažiavimo kelio į Taikos pr. 101;</t>
  </si>
  <si>
    <t>Įvažiavimo kelio ir šalia esančio skvero į Taikos pr. 109 ;</t>
  </si>
  <si>
    <t>Įvažiavimo kelio  į Debreceno g. 61</t>
  </si>
  <si>
    <t>Įvažiavimo kelių atnaujinimas:</t>
  </si>
  <si>
    <t>Prižiūrėta tiltų ir viadukų, vnt.</t>
  </si>
  <si>
    <t>Pėsčiųjų ir dviračių takų, šaligatvių (su dviračių takais) remonto bei įrengimo darbai</t>
  </si>
  <si>
    <t>Viešojo transporto infrastruktūros gerinimas:</t>
  </si>
  <si>
    <t>Keleivinio transporto stotelių su įvažomis Klaipėdos miesto gatvėse projektavimas ir įrengimas</t>
  </si>
  <si>
    <t>Įrengtas įvažos pratęsimas, vnt.</t>
  </si>
  <si>
    <r>
      <t>Įvažos pratęsimo autobusų stotelėje „Naujasis turgus“ įrengimas (</t>
    </r>
    <r>
      <rPr>
        <i/>
        <sz val="10"/>
        <rFont val="Times New Roman"/>
        <family val="1"/>
        <charset val="186"/>
      </rPr>
      <t>kryptis į pietinę miesto dalį</t>
    </r>
    <r>
      <rPr>
        <sz val="10"/>
        <rFont val="Times New Roman"/>
        <family val="1"/>
        <charset val="186"/>
      </rPr>
      <t xml:space="preserve">)  </t>
    </r>
  </si>
  <si>
    <t xml:space="preserve">Neeksploatuojamų požeminių perėjų Šilutės pl. kapitalinis remontas </t>
  </si>
  <si>
    <t xml:space="preserve"> Miesto tvarkymo skyrius</t>
  </si>
  <si>
    <t xml:space="preserve">Parengtas techninis projektas (2019 m. - Žvejų g., Teatro g., Sukilėlių g., Daržų g., Aukštoji g., Didžioji Vandens g., Vežėjų g., 2020 m. - Tomo ir Pylimo g.), vnt. </t>
  </si>
  <si>
    <t>Atlikta gatvės rekonstravimo ir eismo juostos įrengimo darbų. Užbaigtumas, proc.</t>
  </si>
  <si>
    <t>Tilžės g. nuo Šilutės pl. iki geležinkelio pervažos rekonstravimas, pertvarkant žiedinę Mokyklos g. ir Šilutės pl. sankryžą</t>
  </si>
  <si>
    <t>Šilutės plento ruožo nuo Tilžės g. iki geležinkelio pervažos (iki Kauno g.) rekonstravimas</t>
  </si>
  <si>
    <t>0,25</t>
  </si>
  <si>
    <t>0,19</t>
  </si>
  <si>
    <t>1,3</t>
  </si>
  <si>
    <t>1,8</t>
  </si>
  <si>
    <t>Suremontuota asfaltbetonio dangos duobių kiemuose, ha</t>
  </si>
  <si>
    <t>Atnaujinta šaligatvių miesto gatvėse, ha</t>
  </si>
  <si>
    <t>0,15</t>
  </si>
  <si>
    <t>Suremontuota gatvių akmens grindinio dangos  senamiesčio gatvėse, ha</t>
  </si>
  <si>
    <t>4,5</t>
  </si>
  <si>
    <t>Suremontuota šaligatvių (su dviračių takais), ha</t>
  </si>
  <si>
    <t>Atnaujinta pėsčiųjų takų ir laiptų prie Kultūros centro „Žvejų rūmai“, ha</t>
  </si>
  <si>
    <t>Atnaujinta įvažą ir automobilių stovėjimo  aikštelė Vilniaus Dailės akademijos Klaipėdos fakulteto teritorijoje, ha</t>
  </si>
  <si>
    <t>Įrengta kintamos informacijos ženklų Lideikio g. Užbaigtumas, proc.</t>
  </si>
  <si>
    <t>0,59</t>
  </si>
  <si>
    <t>Atnaujinta dekoratyvinių kelio ženklų stovų, vnt.</t>
  </si>
  <si>
    <t>Nuostolingų maršrutų subsidijavimas priemiesčio ir miesto maršrutus aptarnaujantiems vežėjams</t>
  </si>
  <si>
    <t>S. Daukanto gatvės rekonstravimas nuo H. Manto iki Naujojo Uosto g.</t>
  </si>
  <si>
    <t>Automatinės eismo priežiūros prietaisų eksploatacija</t>
  </si>
  <si>
    <t>KPP(VIP)</t>
  </si>
  <si>
    <r>
      <t xml:space="preserve">Vietinės reikšmės kelių (gatvių) tikslinio finansavimo lėšos  </t>
    </r>
    <r>
      <rPr>
        <b/>
        <sz val="10"/>
        <rFont val="Times New Roman"/>
        <family val="1"/>
        <charset val="186"/>
      </rPr>
      <t>KPP(VIP)</t>
    </r>
  </si>
  <si>
    <r>
      <t xml:space="preserve">Kelių priežiūros ir plėtros programos lėšos įtrauktos į savivaldybės biudžetą </t>
    </r>
    <r>
      <rPr>
        <b/>
        <sz val="10"/>
        <rFont val="Times New Roman"/>
        <family val="1"/>
        <charset val="186"/>
      </rPr>
      <t>SB(KPP)</t>
    </r>
  </si>
  <si>
    <r>
      <t xml:space="preserve">Planuojamos kelių priežiūros ir plėtros programos lėšos </t>
    </r>
    <r>
      <rPr>
        <b/>
        <sz val="10"/>
        <rFont val="Times New Roman"/>
        <family val="1"/>
        <charset val="186"/>
      </rPr>
      <t>SB(KPP)</t>
    </r>
  </si>
  <si>
    <t>I, P2, P6</t>
  </si>
  <si>
    <t>I, P6</t>
  </si>
  <si>
    <t xml:space="preserve">Renginių, kurių metu keleiviams bus taikomos lengvatos, vnt. </t>
  </si>
  <si>
    <t>09</t>
  </si>
  <si>
    <t>0,72</t>
  </si>
  <si>
    <t>priedas</t>
  </si>
  <si>
    <t xml:space="preserve">2019–2021 M. KLAIPĖDOS MIESTO SAVIVALDYBĖS </t>
  </si>
  <si>
    <t>Įrengtas įvažos pratęsimo autobusų stotelėje „Naujasis turgus“  (kryptis į pietinę miesto dalį)   pratęsimas, vnt.</t>
  </si>
  <si>
    <t>Pasirašyta koncesijos sutartis</t>
  </si>
  <si>
    <t>__________________________________</t>
  </si>
  <si>
    <t>2019-ųjų metų asignavi-mų planas</t>
  </si>
  <si>
    <t xml:space="preserve">Parengtas techninis projektas (2019 m. – Žvejų g., Teatro g., Sukilėlių g., Daržų g., Aukštoji g., Didžioji Vandens g., Vežėjų g., 2020 m. – Tomo g. ir Pylimo g.), vnt. </t>
  </si>
  <si>
    <t>Atlikta gatvės (1374 m) rekonstravimo darbų. Užbaigtumas, proc.</t>
  </si>
  <si>
    <t xml:space="preserve">Jūrininkų prospekto ruožo nuo Šilutės pl. iki Minijos g. rekonstrukcija </t>
  </si>
  <si>
    <t>Atlikta prospekto ruožo rekonstravimo darbų.  Užbaigtumas, proc.</t>
  </si>
  <si>
    <t>Maršruto Klaipėdos autobusų stotis–Palangos oro uostas kursavimas</t>
  </si>
  <si>
    <t>Sodų bendrija „Vaiteliai“–„Rasa“ kursavimas</t>
  </si>
  <si>
    <t>Įrengta kintamos informacijos ženklų Prano Lideikio g. Užbaigtumas, proc.</t>
  </si>
  <si>
    <t>Rekonstruotas šviesoforas (Tilžės g. ir Sausio       15-osios g. sankryžoje), vnt.</t>
  </si>
  <si>
    <t>Įrengta neregių vedimo dangos autobusų stotelėse, vnt.</t>
  </si>
  <si>
    <r>
      <t>Uostamiesčiai: darnaus judumo principų integravimas (</t>
    </r>
    <r>
      <rPr>
        <i/>
        <sz val="10"/>
        <rFont val="Times New Roman"/>
        <family val="1"/>
        <charset val="186"/>
      </rPr>
      <t xml:space="preserve">PORT Cities: Integrating Sustainability, </t>
    </r>
    <r>
      <rPr>
        <sz val="10"/>
        <rFont val="Times New Roman"/>
        <family val="1"/>
        <charset val="186"/>
      </rPr>
      <t>PORTIS)</t>
    </r>
    <r>
      <rPr>
        <sz val="10"/>
        <color rgb="FFFF0000"/>
        <rFont val="Times New Roman"/>
        <family val="1"/>
        <charset val="186"/>
      </rPr>
      <t xml:space="preserve"> </t>
    </r>
  </si>
  <si>
    <t>Kombinuotų kelionių jungčių (angl. Park&amp;Ride) įrengimas (šiaurinėje miesto dalyje)</t>
  </si>
  <si>
    <t>Smiltelės g. (ruožas nuo Taikos pr. iki Minijos g.);</t>
  </si>
  <si>
    <t>Vytauto g. (ruožas nuo S. Šimkaus g. iki Puodžių g.);</t>
  </si>
  <si>
    <t>Šilutės pl. (labiausiai pažeisti ruožai, įvažos);</t>
  </si>
  <si>
    <t>H. Manto g. (labiausiai pažeisti ruožai, įvažos);</t>
  </si>
  <si>
    <t>S. Daukanto g.</t>
  </si>
  <si>
    <t>Atnaujinta pėsčiųjų takų ir laiptų prie kultūros centro Žvejų rūmų, ha</t>
  </si>
  <si>
    <t>S. Daukanto gatvės rekonstravimas nuo H. Manto iki Naujosios Uosto g.</t>
  </si>
  <si>
    <t>Įvažiuojamųjų kelių atnaujinimas:</t>
  </si>
  <si>
    <t>Įvažiuojamojo kelio į Taikos pr. 101;</t>
  </si>
  <si>
    <t>Įvažiuojamojo kelio  į Debreceno g. 61</t>
  </si>
  <si>
    <t>Įvažiuojamojo kelio ir šalia esančio skvero į Taikos pr. 109;</t>
  </si>
  <si>
    <t>Siūlomas keisti 2019-ųjų metų asignavimų planas</t>
  </si>
  <si>
    <t>Siūlomas keisti 2021-ųjų metų  lėšų projektas</t>
  </si>
  <si>
    <t>Siūlomas keisti 2019 metų  asignavimų planas</t>
  </si>
  <si>
    <t>Parengtas S. Neries gatvės šaligatvių kompleksiško atnaujinimo projektas</t>
  </si>
  <si>
    <t xml:space="preserve">Klaipėdos miesto savivaldybės susisiekimo sistemos  priežiūros ir plėtros programos (Nr. 06) aprašymo             
</t>
  </si>
  <si>
    <t>Parengtas S. Neries gatvės šaligatvių kompleksiško atnaujinimo projektas, vnt.</t>
  </si>
  <si>
    <t>2020-2021 m.</t>
  </si>
  <si>
    <t xml:space="preserve">2019–2021 M. KLAIPĖDOS MIESTO SAVIVALDYBĖS     </t>
  </si>
  <si>
    <t>30</t>
  </si>
  <si>
    <r>
      <t xml:space="preserve">Naujai įrengta šviesoforų (Baltijos prospekte atkarpoje tarp Šilutės pl. ir Taikos pr., Šilutės pl. prie AB „Klaipėdos energija“, Taikos pr. ties Žvejų rūmais, Tilžės g. ir Sausio 15-osios g. sankryžoje,  </t>
    </r>
    <r>
      <rPr>
        <sz val="10"/>
        <color rgb="FFFF0000"/>
        <rFont val="Times New Roman"/>
        <family val="1"/>
        <charset val="186"/>
      </rPr>
      <t>2020 m. Šilutės pl. 48, Šilutės pl. 62, Smiltelės g. 47</t>
    </r>
    <r>
      <rPr>
        <sz val="10"/>
        <rFont val="Times New Roman"/>
        <family val="1"/>
        <charset val="186"/>
      </rPr>
      <t>), vnt.</t>
    </r>
  </si>
  <si>
    <t xml:space="preserve">10  </t>
  </si>
  <si>
    <r>
      <t>Naujai įrengta šviesoforų (Baltijos prospekte atkarpoje tarp Šilutės pl. ir Taikos pr., Šilutės pl. prie AB „Klaipėdos energija“, Taikos pr. ties Žvejų rūmais, Tilžės g. ir Sausio 15-osios g. sankryžoje,  2020 m. Šilutės pl. 48, Šilutės pl. 62, Smiltelės g. 47) vnt.</t>
    </r>
    <r>
      <rPr>
        <sz val="10"/>
        <color theme="0"/>
        <rFont val="Times New Roman"/>
        <family val="1"/>
        <charset val="186"/>
      </rPr>
      <t xml:space="preserve">, Tilžės g. ir Sausio 15-osios g. sankryžoje), </t>
    </r>
  </si>
  <si>
    <t>0,66</t>
  </si>
  <si>
    <t>1,1</t>
  </si>
  <si>
    <t xml:space="preserve"> Pradinuko bilieto lengvatoms kompensuoti </t>
  </si>
  <si>
    <t>Kompensuota bilietų pradinių klasių moksleivaims, tūkst. vnt.</t>
  </si>
  <si>
    <t>Naujai įrengta šviesoforų (2019 m. Baltijos prospekte atkarpoje tarp Šilutės pl. ir Taikos pr., Šilutės pl. prie AB „Klaipėdos energija“, Taikos pr. ties Žvejų rūmais, Tilžės g. ir Sausio 15-osios g. sankryžoje), vnt.</t>
  </si>
  <si>
    <t>URBACT III projekto „Gyvos gatvės“ įgyvendinimas</t>
  </si>
  <si>
    <t>Įgyvendintas projekto II etapas, vnt.</t>
  </si>
  <si>
    <t xml:space="preserve">0,15  </t>
  </si>
  <si>
    <t>Atnaujinta senamiesčio dangų pritaikant neįgaliesiems, ha</t>
  </si>
  <si>
    <t>0,13</t>
  </si>
  <si>
    <t>0,5</t>
  </si>
  <si>
    <t>Darnaus judumo planavimas: bendradarbiavimas bei ryšiai urbanistinėje sistemoje, SUMP- PLUS</t>
  </si>
  <si>
    <t>Įgyvendintas projektas, vnt.</t>
  </si>
  <si>
    <t>0,7</t>
  </si>
  <si>
    <t>MŪD</t>
  </si>
  <si>
    <t xml:space="preserve">1,1  </t>
  </si>
  <si>
    <t xml:space="preserve">0,66 </t>
  </si>
  <si>
    <t>17</t>
  </si>
  <si>
    <r>
      <rPr>
        <strike/>
        <sz val="10"/>
        <color rgb="FFFF0000"/>
        <rFont val="Times New Roman"/>
        <family val="1"/>
        <charset val="186"/>
      </rPr>
      <t xml:space="preserve">24,8 </t>
    </r>
    <r>
      <rPr>
        <sz val="10"/>
        <color rgb="FFFF0000"/>
        <rFont val="Times New Roman"/>
        <family val="1"/>
        <charset val="186"/>
      </rPr>
      <t xml:space="preserve">  22,0</t>
    </r>
  </si>
  <si>
    <r>
      <t xml:space="preserve">18 </t>
    </r>
    <r>
      <rPr>
        <strike/>
        <sz val="10"/>
        <color rgb="FFFF0000"/>
        <rFont val="Times New Roman"/>
        <family val="1"/>
        <charset val="186"/>
      </rPr>
      <t>17</t>
    </r>
  </si>
  <si>
    <t xml:space="preserve">Parengtas techninis projektas                                      (planuojama pabaiga 2022 m.), vnt. </t>
  </si>
  <si>
    <t xml:space="preserve">Parengtas techninis projektas (ruožas nuo Atgimimo aikštės iki Laivų skersgatvio), vnt. </t>
  </si>
  <si>
    <t>Parengtas  techninis projektas (ruožas nuo Laivų skersgatvio iki Artojų g.), vnt.</t>
  </si>
  <si>
    <t>P6</t>
  </si>
  <si>
    <t>11</t>
  </si>
  <si>
    <t>12</t>
  </si>
  <si>
    <t>13</t>
  </si>
  <si>
    <t>14</t>
  </si>
  <si>
    <t>Medžiagų tyrimas ir kontroliniai bandymai, topografinių nuotraukų, išpildomųjų geodezinių nuotraukų įsigijimas, statinių projektų ekspertizių bei kitos inžinerinės paslaugos</t>
  </si>
  <si>
    <t>15</t>
  </si>
  <si>
    <r>
      <t xml:space="preserve">P2.1.2.7-8, </t>
    </r>
    <r>
      <rPr>
        <b/>
        <strike/>
        <sz val="9"/>
        <rFont val="Cambria"/>
        <family val="1"/>
        <charset val="186"/>
      </rPr>
      <t>P2</t>
    </r>
  </si>
  <si>
    <r>
      <t>Danės g. rekonstravimas (siekiant racionaliai suplanuoti jungtis su Bastionų g., nauju tiltu per Danės upę ir Artojų g.)</t>
    </r>
    <r>
      <rPr>
        <strike/>
        <sz val="10"/>
        <color rgb="FFFF0000"/>
        <rFont val="Cambria"/>
        <family val="1"/>
        <charset val="186"/>
      </rPr>
      <t xml:space="preserve"> </t>
    </r>
  </si>
  <si>
    <r>
      <rPr>
        <b/>
        <strike/>
        <sz val="10"/>
        <rFont val="Cambria"/>
        <family val="1"/>
        <charset val="186"/>
      </rPr>
      <t xml:space="preserve">I etapas. </t>
    </r>
    <r>
      <rPr>
        <strike/>
        <sz val="10"/>
        <rFont val="Cambria"/>
        <family val="1"/>
        <charset val="186"/>
      </rPr>
      <t>Tilžės g. nuo Šilutės pl. iki geležinkelio pervažos rekonstravimas</t>
    </r>
  </si>
  <si>
    <r>
      <rPr>
        <b/>
        <strike/>
        <sz val="10"/>
        <rFont val="Cambria"/>
        <family val="1"/>
        <charset val="186"/>
      </rPr>
      <t>II etapas.</t>
    </r>
    <r>
      <rPr>
        <strike/>
        <sz val="10"/>
        <rFont val="Cambria"/>
        <family val="1"/>
        <charset val="186"/>
      </rPr>
      <t xml:space="preserve"> Žiedinės Tilžės g., Mokyklos g. ir Šilutės pl. sankryžos pertvarkymas į šviesoforinę </t>
    </r>
  </si>
  <si>
    <t>SB(KPP)*</t>
  </si>
  <si>
    <t>LRVB*</t>
  </si>
  <si>
    <t>KPP(VIP)*</t>
  </si>
  <si>
    <t>SB(L)*</t>
  </si>
  <si>
    <t>SB*</t>
  </si>
  <si>
    <t>ES*</t>
  </si>
  <si>
    <t>KVJUD*</t>
  </si>
  <si>
    <t>Kt*</t>
  </si>
  <si>
    <t>SB(ES)*</t>
  </si>
  <si>
    <t>*Kt</t>
  </si>
  <si>
    <t>SB(VB)*</t>
  </si>
  <si>
    <t>SB(ŽPL)*</t>
  </si>
  <si>
    <t>16</t>
  </si>
  <si>
    <t>18</t>
  </si>
  <si>
    <t>19</t>
  </si>
  <si>
    <t>20</t>
  </si>
  <si>
    <t>21</t>
  </si>
  <si>
    <t>22</t>
  </si>
  <si>
    <r>
      <rPr>
        <strike/>
        <sz val="10"/>
        <color rgb="FFFF0000"/>
        <rFont val="Times New Roman"/>
        <family val="1"/>
        <charset val="186"/>
      </rPr>
      <t>30</t>
    </r>
    <r>
      <rPr>
        <sz val="10"/>
        <color rgb="FFFF0000"/>
        <rFont val="Times New Roman"/>
        <family val="1"/>
        <charset val="186"/>
      </rPr>
      <t xml:space="preserve"> 50</t>
    </r>
  </si>
  <si>
    <t>50</t>
  </si>
  <si>
    <t>100</t>
  </si>
  <si>
    <t>Įgyvendintas projekto, vnt.</t>
  </si>
  <si>
    <t>Mėgėjų sodų teritorijoje savivaldybių institucijų valdomų kelių remontas</t>
  </si>
  <si>
    <t>Padidintas UAB „Klaipėdos autobusų parkas"  įstatinis kapitalas, proc.</t>
  </si>
  <si>
    <t xml:space="preserve">Vadovaujantis 2019 gegužės 30 d. tarybos sprendimu Nr. T2-162 „Dėl Klaipėdos miesto savivaldybės turto investavimo ir UAB „Klaipėdos autobusų parkas“ įstatinio kapitalo didinimo“ reikalinga planuoti 665 000 Eur finansavimą UAB „Klaipėdos autobusų parkas“ įstatinio kapitalo didinimui. Pastaroji įmonė įsigis 2 elektra varomus autobusus </t>
  </si>
  <si>
    <t>UAB „Klaipėdos autobusų parkas" įstatinio kapitalo didinimas įsigyjant du elektra varomus autobusus</t>
  </si>
  <si>
    <t>Padidintas UAB „Klaipėdos autobusų parkas" įstatinis kapitalas, proc.</t>
  </si>
  <si>
    <t xml:space="preserve">Teatro ir Sukilėlių g. rekonstrukcija </t>
  </si>
  <si>
    <t>Senamiesčio gatvės</t>
  </si>
  <si>
    <t>Naujas tiltas ir gatvių jungtys</t>
  </si>
  <si>
    <t>23</t>
  </si>
  <si>
    <t>24</t>
  </si>
  <si>
    <r>
      <t>Įgyvendintas projekt</t>
    </r>
    <r>
      <rPr>
        <strike/>
        <sz val="10"/>
        <rFont val="Times New Roman"/>
        <family val="1"/>
        <charset val="186"/>
      </rPr>
      <t>o</t>
    </r>
    <r>
      <rPr>
        <sz val="10"/>
        <rFont val="Times New Roman"/>
        <family val="1"/>
        <charset val="186"/>
      </rPr>
      <t xml:space="preserve"> as</t>
    </r>
    <r>
      <rPr>
        <strike/>
        <sz val="10"/>
        <rFont val="Times New Roman"/>
        <family val="1"/>
        <charset val="186"/>
      </rPr>
      <t>I etapas</t>
    </r>
    <r>
      <rPr>
        <sz val="10"/>
        <rFont val="Times New Roman"/>
        <family val="1"/>
        <charset val="186"/>
      </rPr>
      <t>, vnt.</t>
    </r>
  </si>
  <si>
    <t>Maršrutas, kuriais važinės du ekologiški autobusai</t>
  </si>
  <si>
    <r>
      <t xml:space="preserve">Gatvių </t>
    </r>
    <r>
      <rPr>
        <b/>
        <sz val="10"/>
        <color rgb="FFFF0000"/>
        <rFont val="Times New Roman"/>
        <family val="1"/>
        <charset val="186"/>
      </rPr>
      <t>tiesimas ir</t>
    </r>
    <r>
      <rPr>
        <b/>
        <sz val="10"/>
        <rFont val="Times New Roman"/>
        <family val="1"/>
        <charset val="186"/>
      </rPr>
      <t xml:space="preserve">  rekonstravimas:</t>
    </r>
  </si>
  <si>
    <t>2) Siūloma dėl aukščiau išvardintų priežasčių nebeplanuoti ES lėšų kartu su naujuoju tiltu planuotos įrengti Bastionų g. statybai ir tam rezervuotas ES lėšas panaudoti  kitoms priemonėms „Šilutės plento ruožo nuo Tilžės g. iki geležinkelio pervažos (iki Kauno g.) rekonstravimas“ bei "Teatro ir Sukilėlių g. rekonstrukcija"</t>
  </si>
  <si>
    <r>
      <t xml:space="preserve">3) Siūloma didinti investicinio projekto </t>
    </r>
    <r>
      <rPr>
        <i/>
        <sz val="10"/>
        <rFont val="Times New Roman"/>
        <family val="1"/>
        <charset val="186"/>
      </rPr>
      <t xml:space="preserve">Tilžės g. nuo Šilutės pl. iki geležinkelio pervažos rekonstravimas, pertvarkant žiedinę Mokyklos g. ir Šilutės pl. sankryžą </t>
    </r>
    <r>
      <rPr>
        <sz val="10"/>
        <rFont val="Times New Roman"/>
        <family val="1"/>
        <charset val="186"/>
      </rPr>
      <t>finansinę vertę ir patikslinti finansavimo apimtį 2020 m.. Rengiant naują rangos darbų pirkimo medžiagą, buvo naujai paskaičiuota projekto finansinė vertė pagal dabartinį rinkos kainų lygį (darbus vykdžiusiam rangovui UAB „Žemkasa" iškelta bankroto byla)</t>
    </r>
  </si>
  <si>
    <t>4) Siūloma didinti  projekto finansavimo apimtį 2019 m. iš SB(KPP) lėšų, nes 2019-06-13 Susisiekimo ministro įsakymu Nr.3-283 skirtas 200 tūkst. Eur finansavimas vietinės reikšmės keliams su žvyro danga asfaltuoti.</t>
  </si>
  <si>
    <t xml:space="preserve">5) Siūloma įtraukti naują priemonę, susijusią su senamiesčio gatvių atnaujinimu. Šios gatvės buvo sudėtinė projekto "Senamiesčio grindinio atnaujinimas ir universalaus dizaino pritaikymas", dalis, tačiau, esant situacijai, kai Bastionų g. tiesimui skirtas ES lėšas reikalinga panaudoti kitoms gatvėms tiesti, siūloma Teatro ir Sukilėlių gatves išskirti į atskirą investicinį projektą ir teikti paraišką dėl ES lėšų gavimo. </t>
  </si>
  <si>
    <t xml:space="preserve">Parengta techninių projektų, vnt. </t>
  </si>
  <si>
    <t>Vadovaujantis  2005-04-21  Vyriausybės nutarimu Nr.447 siūloma įtraukti naują priemonę - parengti Mėgėjų sodų teritorijos kelių remonto techninius projektus. Susisiekimo ministerijos 2019-06-03 rašte Nr.2-4375 buvo pateiktas lėšų skyrimo tvarkos išaiškinimas, jog  savivaldybė turi skirti ne mažiau kaip 30 proc., tačiau ne daugiau kai 50 proc. nuosavų lėšų sodų bendrijų kelių remontui</t>
  </si>
  <si>
    <t>Vadovaujantis 2019-04-12 savivaldybės tarybos sprendimu Nr. T2-111, kuriame numatyta nuolaida įsigyjant viešojo transporto bilietus Klaipėdos mieste esančių mokyklų 1–4 klasių mokiniams, siūloma kainų skirtumą (118,8 tūkst. Eur)  finansuoti iš savivaldybės biudžeto lėšų. Numatyta, kad šiai tikslinei grupei 9 mokslo metų mėnesių vardinis bilietas, galiosiantis tik darbo dienomis, kainuos 10 Eur (taikoma 94 proc. nuolaida). Iš viso sprendimo įgyvendinimui reikalinga 194 tūkst. Eur  kompensavimo lėšų. 75,2 tūkst. Eur buvo suplanuoti ankstesniu  sprendimu (2019 m. gegužės 30 d. sprendimas Nr. T2-145), kuriuo keistas strateginis veiklos planas</t>
  </si>
  <si>
    <t xml:space="preserve">Siūloma planuoti finansavimą 18-kos naujų gamtinėmis dujomis varomų autobusų, kuriuos įsigis UAB "Klaipėdos autobusų parkas", eksploatavimo nuostoliams kompensuoti. Planuojama, kad autobusai pradės važiuoti vietinio miesto maršrutais 2019 metų rugsėjo mėn. Nuostolius kompensuoti numatoma 5 metus. </t>
  </si>
  <si>
    <t>Maršrutas, kuriais važinės du elektra varomi autobusai</t>
  </si>
  <si>
    <t>Siūloma įtraukti rodiklį dėl papildomo nuostolingo maršruto subsidijavimo. Maršrutu važiuos elektra varomi autobusai, kuriuos įsigis UAB "Klaipėdos autobusų parkas".  Preliminari maršruto trasa: Autobusų stotis – Baltijos pr. – Krovinių terminalas. Lėšų poreikis neplanuojamas, nes Savivaldybės administracijos direktoriaus įsakymu suformuota darbo grupė jam paskaičiuoti. Esant poreikiui priemonės finansinė apimtis bus padidinta keičiant strateginį veiklos planą 2019 m. IV ketvirtį.</t>
  </si>
  <si>
    <t>Atsižvelgiant į Savivaldybės administracijos pasirašytą finansavimo sutartį  su Transporto investicijų direkcija, Jungtinės veiklos sutartį su UAB "Klaipėdos autobusų parkas" bei pasirašytą  pirkimo-pardavimo sutartį su UAB "Autobusų parkas" lėšos atsiskaitymui bus reikalingos 2019 m. Todėl siūloma padidinti finansavimo apimtį 2019 m. atitinkamai sumažinant 2020 m. Kadangi metų pradžioje vyko teisminiai ginčai dėl viešųjų pirkimų procedūrų, nebuvo aišku, ar pavyks lėšas panaudoti 2019 m., dėl to jos nebuvo suplanuotos.</t>
  </si>
  <si>
    <t xml:space="preserve">Įvykus viešųjų pirkimų konkursams, paslaugos buvo nupirktos pigiau nei planuota, todėl siūloma sumažinti priemonės finansinę apimtį 2019 m. </t>
  </si>
  <si>
    <t>2019-06-26  Savivaldybės administracija gavo informaciją, kad projektui skirtas ES finansavimas I etapui vykdyti, projekto veiklos prasidės rugsėjo mėn., todėl reikalingos lėšos joms vykdyti. Siūloma numatyti lėšas ir patikslinti vertinimo kriterijus. Planuojamas SB finansavimas, vėliau išlaidos bus kompensuotos ES lėšomis (URBACT sekretoriatui patikrinus išlaidų tinkamumą).</t>
  </si>
  <si>
    <t>Siūloma didinti priemonės finansinę apimtį 2019 m., nes daugiau nei planuota reikalinga lėšų Biržos tilto remontui.  Biržos tilto paprastojo remonto viešųjų darbų pirkimas buvo skelbtas 3 kartus. Vykdant pirkimą pirmą kartą,   tiekėjas pateikė pasiūlymą už didesnę kainą nei buvo planuota, o kituose  pirkimuose  pasiūlymų nepateikė nei vienas tiekėjas. Atlikus rinkos analizę, paaiškėjo, kad Biržos tilto paprastojo remonto darbų pirkimui reikalinga papildomai 65,5 tūkst. eur (iš viso tilto remontas kainuotų 150,5 tūkst. Eur)</t>
  </si>
  <si>
    <t>Siūloma koreguoti vertinimo kriterijaus reikšmę, kadangi I ir II ketvirtį profesinių mokyklų moksleiviai pateikė mažesnį bilietų kompensacijos poreikį</t>
  </si>
  <si>
    <t>Gatvių tiesimas ir  rekonstravimas:</t>
  </si>
  <si>
    <t>UAB „Klaipėdos autobusų parkas“ įstatinio kapitalo didinimas įsigyjant du elektra varomus autobusus</t>
  </si>
  <si>
    <r>
      <t xml:space="preserve">5  </t>
    </r>
    <r>
      <rPr>
        <sz val="10"/>
        <rFont val="Times New Roman"/>
        <family val="1"/>
        <charset val="186"/>
      </rPr>
      <t>0</t>
    </r>
  </si>
  <si>
    <t xml:space="preserve">Siekiant efektyvesnio administravimo, siūloma pakeisti programos struktūrą, apjungiant 7 priemones, susijusias su gatvių rekonstravimu ir tiesimu,  į vieną priemonę „Gatvių tiesimas ir rekonstravimas“. Detali projektų finansinė vertė yra pateikiama SVP priede - Investicijų projektų sąraše.  2019 m. finansavimas detalizuotas bus Savivaldybės administracijos direktoriaus įsakymu tvirtiname Klaipėdos miesto savivaldybės administracijos metiniame veiklos plane. </t>
  </si>
  <si>
    <t xml:space="preserve">Siūlomi finansavimo apimčių ir šaltinių patikslinimai dėl šių priežasčių:                                                                    1) Siūloma sumažinti papriemonės "Naujo tilto su pakeliamu mechanizmu per Danę statyba ir prieigų sutvarkymas" finansavimo apimtį 2019-2021 m., planuojant, kad bus tik parengta techninė dokumentacija. Vidaus reikalų ministro 2019 m. kovo 20 d. Nr. įsakymu 1V-282 "Dėl  Lietuvos Respublikos vidaus reikalų ministro 2016 m. vasario 12 d. įsakymo Nr. 1V-102 „Dėl Klaipėdos miesto integruotos teritorijos vystymo programos patvirtinimo“ pakeitimo", buvo pakeista Klaipėdos miesto integruotos teritorijos vystymo programa - joje nebeplanuojama ES finansinė parama priemonei „Naujo tilto su pakeliamu mechanizmu per Danę statyba“, priemonė programoje palikta, nurodytas finansavimo šaltinis SB, tai atlikta įvertinus, kad ilgai trunka projektavimo ir derinimo procedūros ir iškyla rizika nepanaudoti Klaipėdos miestui skirtų ES lėšų. Pastarosios lėšos tuo pačiu įsakymu perskirstytos kitiems Klaipėdos miesto integruotos teritorijos vystymo programoje esantiems objektams.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</si>
</sst>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L_t_-;\-* #,##0.00\ _L_t_-;_-* &quot;-&quot;??\ _L_t_-;_-@_-"/>
    <numFmt numFmtId="165" formatCode="0.0"/>
    <numFmt numFmtId="166" formatCode="#,##0.0"/>
    <numFmt numFmtId="167" formatCode="[$-409]General"/>
  </numFmts>
  <fonts count="58" x14ac:knownFonts="1">
    <font>
      <sz val="10"/>
      <name val="Arial"/>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8"/>
      <name val="Arial"/>
      <family val="2"/>
      <charset val="186"/>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1"/>
      <name val="Times New Roman"/>
      <family val="1"/>
      <charset val="186"/>
    </font>
    <font>
      <b/>
      <i/>
      <sz val="10"/>
      <name val="Times New Roman"/>
      <family val="1"/>
      <charset val="186"/>
    </font>
    <font>
      <sz val="10"/>
      <color rgb="FF1F497D"/>
      <name val="Times New Roman"/>
      <family val="1"/>
      <charset val="186"/>
    </font>
    <font>
      <sz val="10"/>
      <color theme="1"/>
      <name val="Arial"/>
      <family val="2"/>
      <charset val="186"/>
    </font>
    <font>
      <sz val="10"/>
      <color theme="1"/>
      <name val="Times New Roman"/>
      <family val="1"/>
    </font>
    <font>
      <b/>
      <sz val="10"/>
      <color rgb="FFFF0000"/>
      <name val="Times New Roman"/>
      <family val="1"/>
      <charset val="186"/>
    </font>
    <font>
      <sz val="12"/>
      <name val="Times New Roman"/>
      <family val="1"/>
      <charset val="186"/>
    </font>
    <font>
      <b/>
      <sz val="10"/>
      <color theme="1"/>
      <name val="Times New Roman"/>
      <family val="1"/>
      <charset val="186"/>
    </font>
    <font>
      <sz val="9"/>
      <color rgb="FFFF0000"/>
      <name val="Times New Roman"/>
      <family val="1"/>
      <charset val="186"/>
    </font>
    <font>
      <sz val="8"/>
      <color indexed="81"/>
      <name val="Tahoma"/>
      <family val="2"/>
      <charset val="186"/>
    </font>
    <font>
      <sz val="10"/>
      <name val="Times New Roman"/>
      <family val="1"/>
    </font>
    <font>
      <b/>
      <sz val="8"/>
      <color indexed="81"/>
      <name val="Tahoma"/>
      <family val="2"/>
      <charset val="186"/>
    </font>
    <font>
      <sz val="10"/>
      <color theme="0"/>
      <name val="Times New Roman"/>
      <family val="1"/>
      <charset val="186"/>
    </font>
    <font>
      <sz val="10"/>
      <color rgb="FFFF0000"/>
      <name val="Arial"/>
      <family val="2"/>
      <charset val="186"/>
    </font>
    <font>
      <strike/>
      <sz val="10"/>
      <color rgb="FFFF0000"/>
      <name val="Times New Roman"/>
      <family val="1"/>
      <charset val="186"/>
    </font>
    <font>
      <sz val="11"/>
      <color rgb="FF1F497D"/>
      <name val="Calibri"/>
      <family val="2"/>
      <charset val="186"/>
    </font>
    <font>
      <strike/>
      <sz val="10"/>
      <name val="Times New Roman"/>
      <family val="1"/>
      <charset val="186"/>
    </font>
    <font>
      <i/>
      <sz val="10"/>
      <color rgb="FFFF0000"/>
      <name val="Times New Roman"/>
      <family val="1"/>
      <charset val="186"/>
    </font>
    <font>
      <b/>
      <strike/>
      <sz val="10"/>
      <name val="Cambria"/>
      <family val="1"/>
      <charset val="186"/>
    </font>
    <font>
      <strike/>
      <sz val="10"/>
      <name val="Cambria"/>
      <family val="1"/>
      <charset val="186"/>
    </font>
    <font>
      <b/>
      <strike/>
      <u/>
      <sz val="10"/>
      <name val="Cambria"/>
      <family val="1"/>
      <charset val="186"/>
    </font>
    <font>
      <b/>
      <strike/>
      <sz val="8"/>
      <name val="Cambria"/>
      <family val="1"/>
      <charset val="186"/>
    </font>
    <font>
      <strike/>
      <sz val="10"/>
      <color rgb="FFFF0000"/>
      <name val="Cambria"/>
      <family val="1"/>
      <charset val="186"/>
    </font>
    <font>
      <b/>
      <strike/>
      <sz val="9"/>
      <name val="Cambria"/>
      <family val="1"/>
      <charset val="186"/>
    </font>
    <font>
      <strike/>
      <sz val="9"/>
      <name val="Cambria"/>
      <family val="1"/>
      <charset val="186"/>
    </font>
    <font>
      <i/>
      <strike/>
      <sz val="10"/>
      <name val="Cambria"/>
      <family val="1"/>
      <charset val="186"/>
    </font>
    <font>
      <i/>
      <strike/>
      <sz val="10"/>
      <color rgb="FFFF0000"/>
      <name val="Cambria"/>
      <family val="1"/>
      <charset val="186"/>
    </font>
    <font>
      <strike/>
      <sz val="9"/>
      <color rgb="FFFF0000"/>
      <name val="Cambria"/>
      <family val="1"/>
      <charset val="186"/>
    </font>
    <font>
      <strike/>
      <sz val="10"/>
      <color theme="1"/>
      <name val="Cambria"/>
      <family val="1"/>
      <charset val="186"/>
    </font>
    <font>
      <b/>
      <strike/>
      <sz val="10"/>
      <color rgb="FFFF0000"/>
      <name val="Cambria"/>
      <family val="1"/>
      <charset val="186"/>
    </font>
    <font>
      <strike/>
      <sz val="7"/>
      <name val="Cambria"/>
      <family val="1"/>
      <charset val="186"/>
    </font>
    <font>
      <b/>
      <strike/>
      <sz val="10"/>
      <name val="Times New Roman"/>
      <family val="1"/>
      <charset val="186"/>
    </font>
    <font>
      <b/>
      <sz val="11"/>
      <name val="Calibri"/>
      <family val="2"/>
      <charset val="186"/>
      <scheme val="minor"/>
    </font>
    <font>
      <b/>
      <sz val="10"/>
      <name val="Arial"/>
      <family val="2"/>
      <charset val="186"/>
    </font>
    <font>
      <sz val="11"/>
      <color rgb="FF000000"/>
      <name val="Calibri"/>
      <family val="2"/>
      <charset val="186"/>
    </font>
    <font>
      <sz val="10"/>
      <color rgb="FFFF0000"/>
      <name val="Times New Roman"/>
      <family val="1"/>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s>
  <borders count="1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thin">
        <color indexed="64"/>
      </right>
      <top style="hair">
        <color indexed="64"/>
      </top>
      <bottom/>
      <diagonal/>
    </border>
    <border>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medium">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medium">
        <color indexed="64"/>
      </left>
      <right style="thin">
        <color rgb="FF000000"/>
      </right>
      <top/>
      <bottom/>
      <diagonal/>
    </border>
    <border>
      <left style="thin">
        <color rgb="FF000000"/>
      </left>
      <right style="medium">
        <color indexed="64"/>
      </right>
      <top style="thin">
        <color indexed="64"/>
      </top>
      <bottom/>
      <diagonal/>
    </border>
    <border>
      <left style="thin">
        <color rgb="FF000000"/>
      </left>
      <right style="medium">
        <color indexed="64"/>
      </right>
      <top/>
      <bottom style="thin">
        <color rgb="FF000000"/>
      </bottom>
      <diagonal/>
    </border>
    <border>
      <left style="medium">
        <color indexed="64"/>
      </left>
      <right style="thin">
        <color rgb="FF000000"/>
      </right>
      <top/>
      <bottom style="thin">
        <color indexed="64"/>
      </bottom>
      <diagonal/>
    </border>
  </borders>
  <cellStyleXfs count="4">
    <xf numFmtId="0" fontId="0" fillId="0" borderId="0"/>
    <xf numFmtId="164" fontId="8" fillId="0" borderId="0" applyFont="0" applyFill="0" applyBorder="0" applyAlignment="0" applyProtection="0"/>
    <xf numFmtId="0" fontId="8" fillId="0" borderId="0"/>
    <xf numFmtId="167" fontId="56" fillId="0" borderId="0" applyBorder="0" applyProtection="0"/>
  </cellStyleXfs>
  <cellXfs count="2579">
    <xf numFmtId="0" fontId="0" fillId="0" borderId="0" xfId="0"/>
    <xf numFmtId="0" fontId="2" fillId="0" borderId="0" xfId="0" applyFont="1" applyBorder="1" applyAlignment="1">
      <alignment vertical="top"/>
    </xf>
    <xf numFmtId="0" fontId="2" fillId="0" borderId="0" xfId="0" applyFont="1" applyAlignment="1">
      <alignment vertical="top"/>
    </xf>
    <xf numFmtId="0" fontId="2" fillId="0" borderId="0" xfId="0" applyFont="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166" fontId="2" fillId="0" borderId="25" xfId="0" applyNumberFormat="1" applyFont="1" applyFill="1" applyBorder="1" applyAlignment="1">
      <alignment horizontal="center" vertical="top"/>
    </xf>
    <xf numFmtId="0" fontId="2" fillId="0" borderId="0" xfId="0" applyFont="1" applyAlignment="1">
      <alignment vertical="center"/>
    </xf>
    <xf numFmtId="164" fontId="2" fillId="0" borderId="0" xfId="1" applyFont="1" applyBorder="1" applyAlignment="1">
      <alignment vertical="top"/>
    </xf>
    <xf numFmtId="0" fontId="8" fillId="0" borderId="0" xfId="0" applyFont="1"/>
    <xf numFmtId="0" fontId="3" fillId="0" borderId="0" xfId="0" applyNumberFormat="1" applyFont="1" applyAlignment="1">
      <alignment vertical="top"/>
    </xf>
    <xf numFmtId="0" fontId="2" fillId="0" borderId="28" xfId="0" applyFont="1" applyBorder="1" applyAlignment="1">
      <alignment vertical="top"/>
    </xf>
    <xf numFmtId="49" fontId="3" fillId="2" borderId="35" xfId="0" applyNumberFormat="1" applyFont="1" applyFill="1" applyBorder="1" applyAlignment="1">
      <alignment horizontal="center" vertical="top"/>
    </xf>
    <xf numFmtId="166" fontId="2" fillId="0" borderId="0" xfId="0" applyNumberFormat="1" applyFont="1" applyAlignment="1">
      <alignment vertical="top"/>
    </xf>
    <xf numFmtId="0" fontId="2" fillId="0" borderId="32" xfId="0" applyFont="1" applyBorder="1" applyAlignment="1">
      <alignment vertical="top"/>
    </xf>
    <xf numFmtId="0" fontId="2" fillId="0" borderId="32" xfId="0" applyFont="1" applyBorder="1" applyAlignment="1">
      <alignment vertical="center"/>
    </xf>
    <xf numFmtId="0" fontId="3" fillId="0" borderId="32" xfId="0" applyNumberFormat="1" applyFont="1" applyBorder="1" applyAlignment="1">
      <alignment vertical="top"/>
    </xf>
    <xf numFmtId="49" fontId="3" fillId="9" borderId="16" xfId="0" applyNumberFormat="1" applyFont="1" applyFill="1" applyBorder="1" applyAlignment="1">
      <alignment horizontal="center" vertical="top" wrapText="1"/>
    </xf>
    <xf numFmtId="0" fontId="2" fillId="7" borderId="29" xfId="0" applyFont="1" applyFill="1" applyBorder="1" applyAlignment="1">
      <alignment vertical="top" wrapText="1"/>
    </xf>
    <xf numFmtId="3" fontId="2" fillId="7" borderId="28" xfId="0" applyNumberFormat="1" applyFont="1" applyFill="1" applyBorder="1" applyAlignment="1">
      <alignment horizontal="center" vertical="top"/>
    </xf>
    <xf numFmtId="3" fontId="2" fillId="7" borderId="27" xfId="0" applyNumberFormat="1" applyFont="1" applyFill="1" applyBorder="1" applyAlignment="1">
      <alignment horizontal="center" vertical="top"/>
    </xf>
    <xf numFmtId="0" fontId="2" fillId="0" borderId="64" xfId="0" applyFont="1" applyBorder="1" applyAlignment="1">
      <alignment vertical="top"/>
    </xf>
    <xf numFmtId="3" fontId="2" fillId="7" borderId="85" xfId="0" applyNumberFormat="1" applyFont="1" applyFill="1" applyBorder="1" applyAlignment="1">
      <alignment horizontal="center" vertical="top"/>
    </xf>
    <xf numFmtId="3" fontId="2" fillId="7" borderId="86" xfId="0" applyNumberFormat="1" applyFont="1" applyFill="1" applyBorder="1" applyAlignment="1">
      <alignment horizontal="center" vertical="top"/>
    </xf>
    <xf numFmtId="0" fontId="2" fillId="7" borderId="84" xfId="0" applyFont="1" applyFill="1" applyBorder="1" applyAlignment="1">
      <alignment horizontal="left" vertical="top" wrapText="1"/>
    </xf>
    <xf numFmtId="3" fontId="2" fillId="7" borderId="27" xfId="0" applyNumberFormat="1" applyFont="1" applyFill="1" applyBorder="1" applyAlignment="1">
      <alignment horizontal="center" vertical="top" wrapText="1"/>
    </xf>
    <xf numFmtId="3" fontId="2" fillId="0" borderId="85" xfId="0" applyNumberFormat="1" applyFont="1" applyFill="1" applyBorder="1" applyAlignment="1">
      <alignment horizontal="center" vertical="top"/>
    </xf>
    <xf numFmtId="3" fontId="2" fillId="0" borderId="86" xfId="0" applyNumberFormat="1" applyFont="1" applyFill="1" applyBorder="1" applyAlignment="1">
      <alignment horizontal="center" vertical="top"/>
    </xf>
    <xf numFmtId="166" fontId="2" fillId="0" borderId="11" xfId="0" applyNumberFormat="1" applyFont="1" applyFill="1" applyBorder="1" applyAlignment="1">
      <alignment horizontal="center" vertical="top"/>
    </xf>
    <xf numFmtId="166" fontId="2" fillId="0" borderId="18" xfId="0" applyNumberFormat="1" applyFont="1" applyFill="1" applyBorder="1" applyAlignment="1">
      <alignment horizontal="center" vertical="top"/>
    </xf>
    <xf numFmtId="49" fontId="3" fillId="0" borderId="35" xfId="0" applyNumberFormat="1" applyFont="1" applyBorder="1" applyAlignment="1">
      <alignment horizontal="center" vertical="top"/>
    </xf>
    <xf numFmtId="49" fontId="2" fillId="7" borderId="11" xfId="0" applyNumberFormat="1" applyFont="1" applyFill="1" applyBorder="1" applyAlignment="1">
      <alignment horizontal="center" vertical="top"/>
    </xf>
    <xf numFmtId="3" fontId="2" fillId="0" borderId="0" xfId="0" applyNumberFormat="1" applyFont="1" applyBorder="1" applyAlignment="1">
      <alignment vertical="top"/>
    </xf>
    <xf numFmtId="166" fontId="2" fillId="7"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xf>
    <xf numFmtId="166" fontId="2" fillId="7" borderId="35" xfId="0" applyNumberFormat="1" applyFont="1" applyFill="1" applyBorder="1" applyAlignment="1">
      <alignment horizontal="center" vertical="top"/>
    </xf>
    <xf numFmtId="166" fontId="2" fillId="7" borderId="28" xfId="0" applyNumberFormat="1" applyFont="1" applyFill="1" applyBorder="1" applyAlignment="1">
      <alignment horizontal="center" vertical="top"/>
    </xf>
    <xf numFmtId="166" fontId="2" fillId="7" borderId="27" xfId="0" applyNumberFormat="1" applyFont="1" applyFill="1" applyBorder="1" applyAlignment="1">
      <alignment horizontal="center" vertical="top"/>
    </xf>
    <xf numFmtId="0" fontId="2" fillId="7" borderId="79" xfId="0" applyFont="1" applyFill="1" applyBorder="1" applyAlignment="1">
      <alignment horizontal="left" vertical="top" wrapText="1"/>
    </xf>
    <xf numFmtId="0" fontId="2" fillId="7" borderId="64" xfId="0" applyFont="1" applyFill="1" applyBorder="1" applyAlignment="1">
      <alignment horizontal="center" vertical="top"/>
    </xf>
    <xf numFmtId="0" fontId="2" fillId="7" borderId="34" xfId="0" applyFont="1" applyFill="1" applyBorder="1" applyAlignment="1">
      <alignment horizontal="center" vertical="top"/>
    </xf>
    <xf numFmtId="3" fontId="2" fillId="7" borderId="35" xfId="0" applyNumberFormat="1" applyFont="1" applyFill="1" applyBorder="1" applyAlignment="1">
      <alignment horizontal="center" vertical="top"/>
    </xf>
    <xf numFmtId="166" fontId="2" fillId="7" borderId="20" xfId="0" applyNumberFormat="1" applyFont="1" applyFill="1" applyBorder="1" applyAlignment="1">
      <alignment horizontal="center" vertical="top"/>
    </xf>
    <xf numFmtId="166" fontId="2" fillId="0" borderId="0" xfId="0" applyNumberFormat="1" applyFont="1" applyBorder="1" applyAlignment="1">
      <alignment vertical="top"/>
    </xf>
    <xf numFmtId="166" fontId="2" fillId="7" borderId="23" xfId="0" applyNumberFormat="1" applyFont="1" applyFill="1" applyBorder="1" applyAlignment="1">
      <alignment vertical="top"/>
    </xf>
    <xf numFmtId="49" fontId="3" fillId="7" borderId="32" xfId="0" applyNumberFormat="1" applyFont="1" applyFill="1" applyBorder="1" applyAlignment="1">
      <alignment horizontal="center" vertical="top"/>
    </xf>
    <xf numFmtId="3" fontId="2" fillId="0" borderId="35" xfId="0" applyNumberFormat="1" applyFont="1" applyFill="1" applyBorder="1" applyAlignment="1">
      <alignment horizontal="center" vertical="top" wrapText="1"/>
    </xf>
    <xf numFmtId="0" fontId="7" fillId="7" borderId="48" xfId="0" applyFont="1" applyFill="1" applyBorder="1" applyAlignment="1">
      <alignment vertical="top" wrapText="1"/>
    </xf>
    <xf numFmtId="166" fontId="2" fillId="7" borderId="8" xfId="0" applyNumberFormat="1" applyFont="1" applyFill="1" applyBorder="1" applyAlignment="1">
      <alignment horizontal="center" vertical="top"/>
    </xf>
    <xf numFmtId="166" fontId="2" fillId="0" borderId="23" xfId="0" applyNumberFormat="1" applyFont="1" applyBorder="1" applyAlignment="1">
      <alignment horizontal="center" vertical="top"/>
    </xf>
    <xf numFmtId="166" fontId="2" fillId="0" borderId="6" xfId="0" applyNumberFormat="1" applyFont="1" applyFill="1" applyBorder="1" applyAlignment="1">
      <alignment horizontal="center" vertical="top"/>
    </xf>
    <xf numFmtId="166" fontId="2" fillId="7" borderId="91" xfId="0" applyNumberFormat="1" applyFont="1" applyFill="1" applyBorder="1" applyAlignment="1">
      <alignment horizontal="center" vertical="top"/>
    </xf>
    <xf numFmtId="166" fontId="2" fillId="7" borderId="43"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6" xfId="0" applyNumberFormat="1" applyFont="1" applyFill="1" applyBorder="1" applyAlignment="1">
      <alignment horizontal="center" vertical="top"/>
    </xf>
    <xf numFmtId="166" fontId="2" fillId="7" borderId="6" xfId="0" applyNumberFormat="1" applyFont="1" applyFill="1" applyBorder="1" applyAlignment="1">
      <alignment horizontal="center" vertical="top" wrapText="1"/>
    </xf>
    <xf numFmtId="166" fontId="2" fillId="3" borderId="10" xfId="0" applyNumberFormat="1" applyFont="1" applyFill="1" applyBorder="1" applyAlignment="1">
      <alignment horizontal="center" vertical="top"/>
    </xf>
    <xf numFmtId="166" fontId="2" fillId="7" borderId="95" xfId="0" applyNumberFormat="1" applyFont="1" applyFill="1" applyBorder="1" applyAlignment="1">
      <alignment horizontal="center" vertical="top"/>
    </xf>
    <xf numFmtId="166" fontId="3" fillId="9" borderId="72" xfId="0" applyNumberFormat="1" applyFont="1" applyFill="1" applyBorder="1" applyAlignment="1">
      <alignment horizontal="center" vertical="top"/>
    </xf>
    <xf numFmtId="166" fontId="2" fillId="0" borderId="16" xfId="0" applyNumberFormat="1" applyFont="1" applyFill="1" applyBorder="1" applyAlignment="1">
      <alignment horizontal="left" vertical="top" wrapText="1"/>
    </xf>
    <xf numFmtId="166" fontId="2" fillId="3" borderId="68" xfId="0" applyNumberFormat="1" applyFont="1" applyFill="1" applyBorder="1" applyAlignment="1">
      <alignment horizontal="center" vertical="top"/>
    </xf>
    <xf numFmtId="166" fontId="2" fillId="3" borderId="23" xfId="0" applyNumberFormat="1" applyFont="1" applyFill="1" applyBorder="1" applyAlignment="1">
      <alignment horizontal="center" vertical="top"/>
    </xf>
    <xf numFmtId="166" fontId="2" fillId="7" borderId="103" xfId="0" applyNumberFormat="1" applyFont="1" applyFill="1" applyBorder="1" applyAlignment="1">
      <alignment horizontal="center" vertical="top"/>
    </xf>
    <xf numFmtId="166" fontId="2" fillId="7" borderId="10" xfId="0" applyNumberFormat="1" applyFont="1" applyFill="1" applyBorder="1" applyAlignment="1">
      <alignment horizontal="right" vertical="top"/>
    </xf>
    <xf numFmtId="166" fontId="3" fillId="9" borderId="54" xfId="0" applyNumberFormat="1" applyFont="1" applyFill="1" applyBorder="1" applyAlignment="1">
      <alignment horizontal="center" vertical="top"/>
    </xf>
    <xf numFmtId="166" fontId="3" fillId="2" borderId="4" xfId="0" applyNumberFormat="1" applyFont="1" applyFill="1" applyBorder="1" applyAlignment="1">
      <alignment horizontal="center" vertical="top"/>
    </xf>
    <xf numFmtId="166" fontId="2" fillId="7" borderId="68" xfId="0" applyNumberFormat="1" applyFont="1" applyFill="1" applyBorder="1" applyAlignment="1">
      <alignment horizontal="center" vertical="top"/>
    </xf>
    <xf numFmtId="166" fontId="2" fillId="0" borderId="68" xfId="0" applyNumberFormat="1" applyFont="1" applyBorder="1" applyAlignment="1">
      <alignment vertical="top"/>
    </xf>
    <xf numFmtId="166" fontId="2" fillId="0" borderId="34" xfId="0" applyNumberFormat="1" applyFont="1" applyFill="1" applyBorder="1" applyAlignment="1">
      <alignment horizontal="center" vertical="top"/>
    </xf>
    <xf numFmtId="166" fontId="2" fillId="7" borderId="34" xfId="0" applyNumberFormat="1" applyFont="1" applyFill="1" applyBorder="1" applyAlignment="1">
      <alignment horizontal="center" vertical="top"/>
    </xf>
    <xf numFmtId="166" fontId="2" fillId="0" borderId="98" xfId="0" applyNumberFormat="1" applyFont="1" applyFill="1" applyBorder="1" applyAlignment="1">
      <alignment horizontal="center" vertical="top"/>
    </xf>
    <xf numFmtId="166" fontId="2" fillId="7" borderId="84" xfId="0" applyNumberFormat="1" applyFont="1" applyFill="1" applyBorder="1" applyAlignment="1">
      <alignment horizontal="left" vertical="top" wrapText="1"/>
    </xf>
    <xf numFmtId="166" fontId="2" fillId="7" borderId="64" xfId="0" applyNumberFormat="1" applyFont="1" applyFill="1" applyBorder="1" applyAlignment="1">
      <alignment horizontal="center" vertical="top"/>
    </xf>
    <xf numFmtId="166" fontId="2" fillId="7" borderId="49" xfId="0" applyNumberFormat="1" applyFont="1" applyFill="1" applyBorder="1" applyAlignment="1">
      <alignment horizontal="center" vertical="top"/>
    </xf>
    <xf numFmtId="166" fontId="3" fillId="7" borderId="0" xfId="0" applyNumberFormat="1" applyFont="1" applyFill="1" applyBorder="1" applyAlignment="1">
      <alignment horizontal="center" vertical="top"/>
    </xf>
    <xf numFmtId="166" fontId="3" fillId="8" borderId="57" xfId="0" applyNumberFormat="1" applyFont="1" applyFill="1" applyBorder="1" applyAlignment="1">
      <alignment horizontal="center" vertical="top"/>
    </xf>
    <xf numFmtId="166" fontId="3" fillId="9" borderId="55" xfId="0" applyNumberFormat="1" applyFont="1" applyFill="1" applyBorder="1" applyAlignment="1">
      <alignment horizontal="center" vertical="top"/>
    </xf>
    <xf numFmtId="166" fontId="2" fillId="7" borderId="10" xfId="0" applyNumberFormat="1" applyFont="1" applyFill="1" applyBorder="1" applyAlignment="1">
      <alignment horizontal="center" vertical="top"/>
    </xf>
    <xf numFmtId="166" fontId="2" fillId="7" borderId="12" xfId="0" applyNumberFormat="1" applyFont="1" applyFill="1" applyBorder="1" applyAlignment="1">
      <alignment horizontal="left" vertical="top" wrapText="1"/>
    </xf>
    <xf numFmtId="166" fontId="3" fillId="7" borderId="11" xfId="0" applyNumberFormat="1" applyFont="1" applyFill="1" applyBorder="1" applyAlignment="1">
      <alignment vertical="top"/>
    </xf>
    <xf numFmtId="166" fontId="3" fillId="7" borderId="28" xfId="0" applyNumberFormat="1" applyFont="1" applyFill="1" applyBorder="1" applyAlignment="1">
      <alignment vertical="top"/>
    </xf>
    <xf numFmtId="166" fontId="3" fillId="7" borderId="32" xfId="0" applyNumberFormat="1" applyFont="1" applyFill="1" applyBorder="1" applyAlignment="1">
      <alignment horizontal="center" vertical="top"/>
    </xf>
    <xf numFmtId="166" fontId="2" fillId="0" borderId="39" xfId="0" applyNumberFormat="1" applyFont="1" applyFill="1" applyBorder="1" applyAlignment="1">
      <alignment horizontal="center" vertical="top"/>
    </xf>
    <xf numFmtId="166" fontId="3" fillId="7" borderId="13" xfId="0" applyNumberFormat="1" applyFont="1" applyFill="1" applyBorder="1" applyAlignment="1">
      <alignment horizontal="center" vertical="top"/>
    </xf>
    <xf numFmtId="166" fontId="2" fillId="0" borderId="40" xfId="0" applyNumberFormat="1" applyFont="1" applyFill="1" applyBorder="1" applyAlignment="1">
      <alignment horizontal="left" vertical="top" wrapText="1"/>
    </xf>
    <xf numFmtId="166" fontId="2" fillId="7" borderId="0" xfId="0" applyNumberFormat="1" applyFont="1" applyFill="1" applyBorder="1" applyAlignment="1">
      <alignment horizontal="center" vertical="top"/>
    </xf>
    <xf numFmtId="166" fontId="3" fillId="7" borderId="30" xfId="0" applyNumberFormat="1" applyFont="1" applyFill="1" applyBorder="1" applyAlignment="1">
      <alignment vertical="top"/>
    </xf>
    <xf numFmtId="166" fontId="3" fillId="5" borderId="54" xfId="0" applyNumberFormat="1" applyFont="1" applyFill="1" applyBorder="1" applyAlignment="1">
      <alignment horizontal="center" vertical="top"/>
    </xf>
    <xf numFmtId="166" fontId="2" fillId="0" borderId="0" xfId="0" applyNumberFormat="1" applyFont="1" applyFill="1" applyBorder="1" applyAlignment="1">
      <alignment horizontal="center" vertical="top"/>
    </xf>
    <xf numFmtId="166" fontId="3" fillId="7" borderId="20" xfId="0" applyNumberFormat="1" applyFont="1" applyFill="1" applyBorder="1" applyAlignment="1">
      <alignment horizontal="center" vertical="center" wrapText="1"/>
    </xf>
    <xf numFmtId="166" fontId="6" fillId="7" borderId="14" xfId="0" applyNumberFormat="1" applyFont="1" applyFill="1" applyBorder="1" applyAlignment="1">
      <alignment horizontal="center" vertical="center" textRotation="90" wrapText="1"/>
    </xf>
    <xf numFmtId="166" fontId="11" fillId="7" borderId="25" xfId="0" applyNumberFormat="1" applyFont="1" applyFill="1" applyBorder="1" applyAlignment="1">
      <alignment horizontal="center" vertical="center" wrapText="1"/>
    </xf>
    <xf numFmtId="166" fontId="8" fillId="7" borderId="28" xfId="0" applyNumberFormat="1" applyFont="1" applyFill="1" applyBorder="1" applyAlignment="1">
      <alignment horizontal="center" vertical="center" textRotation="90" wrapText="1"/>
    </xf>
    <xf numFmtId="166" fontId="2" fillId="3" borderId="28" xfId="0" applyNumberFormat="1" applyFont="1" applyFill="1" applyBorder="1" applyAlignment="1">
      <alignment horizontal="center" vertical="top" wrapText="1"/>
    </xf>
    <xf numFmtId="166" fontId="3" fillId="7" borderId="14" xfId="0" applyNumberFormat="1" applyFont="1" applyFill="1" applyBorder="1" applyAlignment="1">
      <alignment vertical="top" wrapText="1"/>
    </xf>
    <xf numFmtId="166" fontId="2" fillId="7" borderId="48" xfId="0" applyNumberFormat="1" applyFont="1" applyFill="1" applyBorder="1" applyAlignment="1">
      <alignment horizontal="center" vertical="top" wrapText="1"/>
    </xf>
    <xf numFmtId="166" fontId="2" fillId="7" borderId="47" xfId="0" applyNumberFormat="1" applyFont="1" applyFill="1" applyBorder="1" applyAlignment="1">
      <alignment horizontal="center" vertical="top"/>
    </xf>
    <xf numFmtId="166" fontId="2" fillId="7" borderId="19" xfId="0" applyNumberFormat="1" applyFont="1" applyFill="1" applyBorder="1" applyAlignment="1">
      <alignment horizontal="center" vertical="top"/>
    </xf>
    <xf numFmtId="166" fontId="2" fillId="7" borderId="45" xfId="0" applyNumberFormat="1" applyFont="1" applyFill="1" applyBorder="1" applyAlignment="1">
      <alignment horizontal="center" vertical="top"/>
    </xf>
    <xf numFmtId="166" fontId="2" fillId="7" borderId="59" xfId="0" applyNumberFormat="1" applyFont="1" applyFill="1" applyBorder="1" applyAlignment="1">
      <alignment horizontal="center" vertical="top"/>
    </xf>
    <xf numFmtId="166" fontId="2" fillId="7" borderId="104" xfId="0" applyNumberFormat="1" applyFont="1" applyFill="1" applyBorder="1" applyAlignment="1">
      <alignment horizontal="center" vertical="top"/>
    </xf>
    <xf numFmtId="166" fontId="2" fillId="0" borderId="75" xfId="0" applyNumberFormat="1" applyFont="1" applyBorder="1" applyAlignment="1">
      <alignment horizontal="center" vertical="top"/>
    </xf>
    <xf numFmtId="166" fontId="2" fillId="7" borderId="64" xfId="0" applyNumberFormat="1" applyFont="1" applyFill="1" applyBorder="1" applyAlignment="1">
      <alignment horizontal="center" vertical="top" wrapText="1"/>
    </xf>
    <xf numFmtId="166" fontId="2" fillId="7" borderId="13" xfId="0" applyNumberFormat="1" applyFont="1" applyFill="1" applyBorder="1" applyAlignment="1">
      <alignment horizontal="center" vertical="center" textRotation="90" wrapText="1"/>
    </xf>
    <xf numFmtId="166" fontId="2" fillId="7" borderId="36" xfId="0" applyNumberFormat="1" applyFont="1" applyFill="1" applyBorder="1" applyAlignment="1">
      <alignment horizontal="center" vertical="top"/>
    </xf>
    <xf numFmtId="166" fontId="2" fillId="7" borderId="7" xfId="0" applyNumberFormat="1" applyFont="1" applyFill="1" applyBorder="1" applyAlignment="1">
      <alignment horizontal="center" vertical="top"/>
    </xf>
    <xf numFmtId="166" fontId="2" fillId="7" borderId="29" xfId="0" applyNumberFormat="1" applyFont="1" applyFill="1" applyBorder="1" applyAlignment="1">
      <alignment horizontal="center" vertical="top"/>
    </xf>
    <xf numFmtId="166" fontId="2" fillId="7" borderId="84" xfId="0" applyNumberFormat="1" applyFont="1" applyFill="1" applyBorder="1" applyAlignment="1">
      <alignment horizontal="center" vertical="top"/>
    </xf>
    <xf numFmtId="166" fontId="2" fillId="7" borderId="12" xfId="0" applyNumberFormat="1" applyFont="1" applyFill="1" applyBorder="1" applyAlignment="1">
      <alignment horizontal="center" vertical="top"/>
    </xf>
    <xf numFmtId="166" fontId="2" fillId="7" borderId="79" xfId="0" applyNumberFormat="1" applyFont="1" applyFill="1" applyBorder="1" applyAlignment="1">
      <alignment horizontal="center" vertical="top"/>
    </xf>
    <xf numFmtId="166" fontId="2" fillId="7" borderId="98" xfId="0" applyNumberFormat="1" applyFont="1" applyFill="1" applyBorder="1" applyAlignment="1">
      <alignment horizontal="center" vertical="top"/>
    </xf>
    <xf numFmtId="166" fontId="3" fillId="8" borderId="66" xfId="0" applyNumberFormat="1" applyFont="1" applyFill="1" applyBorder="1" applyAlignment="1">
      <alignment horizontal="center" vertical="top"/>
    </xf>
    <xf numFmtId="166" fontId="8" fillId="7" borderId="19" xfId="0" applyNumberFormat="1" applyFont="1" applyFill="1" applyBorder="1" applyAlignment="1">
      <alignment horizontal="center" vertical="center" textRotation="90" wrapText="1"/>
    </xf>
    <xf numFmtId="166" fontId="2" fillId="7" borderId="47" xfId="0" applyNumberFormat="1" applyFont="1" applyFill="1" applyBorder="1" applyAlignment="1">
      <alignment horizontal="center" vertical="center" textRotation="90" wrapText="1"/>
    </xf>
    <xf numFmtId="166" fontId="3" fillId="2" borderId="24" xfId="0" applyNumberFormat="1" applyFont="1" applyFill="1" applyBorder="1" applyAlignment="1">
      <alignment horizontal="center" vertical="top"/>
    </xf>
    <xf numFmtId="166" fontId="3" fillId="9" borderId="66" xfId="0" applyNumberFormat="1" applyFont="1" applyFill="1" applyBorder="1" applyAlignment="1">
      <alignment horizontal="center" vertical="top"/>
    </xf>
    <xf numFmtId="166" fontId="3" fillId="5" borderId="24" xfId="0" applyNumberFormat="1" applyFont="1" applyFill="1" applyBorder="1" applyAlignment="1">
      <alignment horizontal="center" vertical="top"/>
    </xf>
    <xf numFmtId="166" fontId="2" fillId="7" borderId="49" xfId="0" applyNumberFormat="1" applyFont="1" applyFill="1" applyBorder="1" applyAlignment="1">
      <alignment vertical="top"/>
    </xf>
    <xf numFmtId="166" fontId="2" fillId="7" borderId="99"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2" fillId="0" borderId="64" xfId="0" applyNumberFormat="1" applyFont="1" applyBorder="1" applyAlignment="1">
      <alignment horizontal="center" vertical="top"/>
    </xf>
    <xf numFmtId="166" fontId="2" fillId="7" borderId="68" xfId="0" applyNumberFormat="1" applyFont="1" applyFill="1" applyBorder="1" applyAlignment="1">
      <alignment vertical="top"/>
    </xf>
    <xf numFmtId="166" fontId="2" fillId="0" borderId="49" xfId="0" applyNumberFormat="1" applyFont="1" applyFill="1" applyBorder="1" applyAlignment="1">
      <alignment horizontal="center" vertical="top"/>
    </xf>
    <xf numFmtId="166" fontId="3" fillId="8" borderId="9" xfId="0" applyNumberFormat="1" applyFont="1" applyFill="1" applyBorder="1" applyAlignment="1">
      <alignment horizontal="center" vertical="top"/>
    </xf>
    <xf numFmtId="166" fontId="2" fillId="7" borderId="75" xfId="0" applyNumberFormat="1" applyFont="1" applyFill="1" applyBorder="1" applyAlignment="1">
      <alignment horizontal="center" vertical="top"/>
    </xf>
    <xf numFmtId="166" fontId="3" fillId="0" borderId="0" xfId="0" applyNumberFormat="1" applyFont="1" applyFill="1" applyBorder="1" applyAlignment="1">
      <alignment horizontal="center" vertical="top" wrapText="1"/>
    </xf>
    <xf numFmtId="166" fontId="2" fillId="2" borderId="32" xfId="0" applyNumberFormat="1" applyFont="1" applyFill="1" applyBorder="1" applyAlignment="1">
      <alignment horizontal="center" vertical="top" wrapText="1"/>
    </xf>
    <xf numFmtId="0" fontId="21" fillId="0" borderId="0" xfId="0" applyFont="1"/>
    <xf numFmtId="0" fontId="2" fillId="0" borderId="63" xfId="0" applyFont="1" applyBorder="1" applyAlignment="1">
      <alignment horizontal="center" vertical="center" textRotation="90"/>
    </xf>
    <xf numFmtId="0" fontId="2" fillId="0" borderId="3" xfId="0" applyFont="1" applyBorder="1" applyAlignment="1">
      <alignment horizontal="center" vertical="center" textRotation="90"/>
    </xf>
    <xf numFmtId="166" fontId="2" fillId="3" borderId="75" xfId="0" applyNumberFormat="1" applyFont="1" applyFill="1" applyBorder="1" applyAlignment="1">
      <alignment horizontal="center" vertical="top"/>
    </xf>
    <xf numFmtId="166" fontId="2" fillId="0" borderId="28" xfId="0" applyNumberFormat="1" applyFont="1" applyBorder="1" applyAlignment="1">
      <alignment horizontal="center" vertical="top"/>
    </xf>
    <xf numFmtId="3" fontId="2" fillId="7" borderId="35" xfId="0" applyNumberFormat="1" applyFont="1" applyFill="1" applyBorder="1" applyAlignment="1">
      <alignment horizontal="center" vertical="top" wrapText="1"/>
    </xf>
    <xf numFmtId="0" fontId="2" fillId="0" borderId="64" xfId="0" applyFont="1" applyBorder="1" applyAlignment="1">
      <alignment horizontal="center" vertical="top"/>
    </xf>
    <xf numFmtId="3" fontId="2" fillId="7" borderId="92" xfId="0" applyNumberFormat="1" applyFont="1" applyFill="1" applyBorder="1" applyAlignment="1">
      <alignment horizontal="center" vertical="top"/>
    </xf>
    <xf numFmtId="166" fontId="2" fillId="7" borderId="20" xfId="0" applyNumberFormat="1" applyFont="1" applyFill="1" applyBorder="1" applyAlignment="1">
      <alignment vertical="top"/>
    </xf>
    <xf numFmtId="166" fontId="2" fillId="7" borderId="46" xfId="0" applyNumberFormat="1" applyFont="1" applyFill="1" applyBorder="1" applyAlignment="1">
      <alignment vertical="top"/>
    </xf>
    <xf numFmtId="166" fontId="2" fillId="7" borderId="6" xfId="0" applyNumberFormat="1" applyFont="1" applyFill="1" applyBorder="1" applyAlignment="1">
      <alignment vertical="top"/>
    </xf>
    <xf numFmtId="166" fontId="2" fillId="7" borderId="11" xfId="0" applyNumberFormat="1" applyFont="1" applyFill="1" applyBorder="1" applyAlignment="1">
      <alignment vertical="top"/>
    </xf>
    <xf numFmtId="166" fontId="2" fillId="7" borderId="34" xfId="0" applyNumberFormat="1" applyFont="1" applyFill="1" applyBorder="1" applyAlignment="1">
      <alignment vertical="top"/>
    </xf>
    <xf numFmtId="166" fontId="2" fillId="7" borderId="53" xfId="0" applyNumberFormat="1" applyFont="1" applyFill="1" applyBorder="1" applyAlignment="1">
      <alignment horizontal="center" vertical="top"/>
    </xf>
    <xf numFmtId="166" fontId="2" fillId="0" borderId="49" xfId="0" applyNumberFormat="1" applyFont="1" applyBorder="1" applyAlignment="1">
      <alignment vertical="top"/>
    </xf>
    <xf numFmtId="166" fontId="2" fillId="0" borderId="13" xfId="0" applyNumberFormat="1" applyFont="1" applyBorder="1" applyAlignment="1">
      <alignment vertical="top"/>
    </xf>
    <xf numFmtId="166" fontId="3" fillId="8" borderId="65" xfId="0" applyNumberFormat="1" applyFont="1" applyFill="1" applyBorder="1" applyAlignment="1">
      <alignment horizontal="center" vertical="top"/>
    </xf>
    <xf numFmtId="166" fontId="2" fillId="7" borderId="25" xfId="0" applyNumberFormat="1" applyFont="1" applyFill="1" applyBorder="1" applyAlignment="1">
      <alignment horizontal="center" vertical="top"/>
    </xf>
    <xf numFmtId="166" fontId="3" fillId="8" borderId="2" xfId="0" applyNumberFormat="1" applyFont="1" applyFill="1" applyBorder="1" applyAlignment="1">
      <alignment horizontal="center" vertical="top"/>
    </xf>
    <xf numFmtId="166" fontId="3" fillId="8" borderId="32" xfId="0" applyNumberFormat="1" applyFont="1" applyFill="1" applyBorder="1" applyAlignment="1">
      <alignment horizontal="center" vertical="top"/>
    </xf>
    <xf numFmtId="166" fontId="2" fillId="7" borderId="39" xfId="0" applyNumberFormat="1" applyFont="1" applyFill="1" applyBorder="1" applyAlignment="1">
      <alignment horizontal="center" vertical="top"/>
    </xf>
    <xf numFmtId="166" fontId="2" fillId="7" borderId="56" xfId="0" applyNumberFormat="1" applyFont="1" applyFill="1" applyBorder="1" applyAlignment="1">
      <alignment horizontal="center" vertical="top"/>
    </xf>
    <xf numFmtId="166" fontId="2" fillId="7" borderId="30" xfId="0" applyNumberFormat="1" applyFont="1" applyFill="1" applyBorder="1" applyAlignment="1">
      <alignment horizontal="center" vertical="top"/>
    </xf>
    <xf numFmtId="166" fontId="2" fillId="7" borderId="14" xfId="0" applyNumberFormat="1" applyFont="1" applyFill="1" applyBorder="1" applyAlignment="1">
      <alignment horizontal="center" vertical="top"/>
    </xf>
    <xf numFmtId="166" fontId="2" fillId="7" borderId="13" xfId="0" applyNumberFormat="1" applyFont="1" applyFill="1" applyBorder="1" applyAlignment="1">
      <alignment horizontal="center" vertical="top"/>
    </xf>
    <xf numFmtId="166" fontId="2" fillId="7" borderId="94" xfId="0" applyNumberFormat="1" applyFont="1" applyFill="1" applyBorder="1" applyAlignment="1">
      <alignment horizontal="center" vertical="top"/>
    </xf>
    <xf numFmtId="166" fontId="2" fillId="0" borderId="85" xfId="0" applyNumberFormat="1" applyFont="1" applyFill="1" applyBorder="1" applyAlignment="1">
      <alignment horizontal="center" vertical="top"/>
    </xf>
    <xf numFmtId="49" fontId="2" fillId="7" borderId="85" xfId="0" applyNumberFormat="1" applyFont="1" applyFill="1" applyBorder="1" applyAlignment="1">
      <alignment horizontal="center" vertical="top"/>
    </xf>
    <xf numFmtId="3" fontId="6" fillId="7" borderId="48" xfId="0" applyNumberFormat="1" applyFont="1" applyFill="1" applyBorder="1" applyAlignment="1">
      <alignment horizontal="center" vertical="top" wrapText="1"/>
    </xf>
    <xf numFmtId="166" fontId="2" fillId="0" borderId="8" xfId="0" applyNumberFormat="1" applyFont="1" applyFill="1" applyBorder="1" applyAlignment="1">
      <alignment horizontal="center" vertical="top"/>
    </xf>
    <xf numFmtId="0" fontId="2" fillId="7" borderId="84" xfId="0" applyFont="1" applyFill="1" applyBorder="1" applyAlignment="1">
      <alignment vertical="top" wrapText="1"/>
    </xf>
    <xf numFmtId="166" fontId="2" fillId="7" borderId="38" xfId="0" applyNumberFormat="1" applyFont="1" applyFill="1" applyBorder="1" applyAlignment="1">
      <alignment horizontal="center" vertical="top"/>
    </xf>
    <xf numFmtId="49" fontId="2" fillId="7" borderId="48" xfId="0" applyNumberFormat="1" applyFont="1" applyFill="1" applyBorder="1" applyAlignment="1">
      <alignment horizontal="center" vertical="top"/>
    </xf>
    <xf numFmtId="166" fontId="6" fillId="7" borderId="30" xfId="0" applyNumberFormat="1" applyFont="1" applyFill="1" applyBorder="1" applyAlignment="1">
      <alignment horizontal="center" vertical="top" wrapText="1"/>
    </xf>
    <xf numFmtId="3" fontId="2" fillId="7" borderId="83" xfId="0" applyNumberFormat="1" applyFont="1" applyFill="1" applyBorder="1" applyAlignment="1">
      <alignment horizontal="center" vertical="top"/>
    </xf>
    <xf numFmtId="166" fontId="2" fillId="7" borderId="28" xfId="0" applyNumberFormat="1" applyFont="1" applyFill="1" applyBorder="1" applyAlignment="1">
      <alignment vertical="top"/>
    </xf>
    <xf numFmtId="166" fontId="2" fillId="7" borderId="64" xfId="0" applyNumberFormat="1" applyFont="1" applyFill="1" applyBorder="1" applyAlignment="1">
      <alignment vertical="top"/>
    </xf>
    <xf numFmtId="3" fontId="2" fillId="7" borderId="105" xfId="0" applyNumberFormat="1" applyFont="1" applyFill="1" applyBorder="1" applyAlignment="1">
      <alignment horizontal="center" vertical="top"/>
    </xf>
    <xf numFmtId="166" fontId="3" fillId="8" borderId="72" xfId="0" applyNumberFormat="1" applyFont="1" applyFill="1" applyBorder="1" applyAlignment="1">
      <alignment horizontal="center" vertical="top"/>
    </xf>
    <xf numFmtId="3" fontId="6" fillId="7" borderId="18" xfId="0" applyNumberFormat="1" applyFont="1" applyFill="1" applyBorder="1" applyAlignment="1">
      <alignment horizontal="center" vertical="top" wrapText="1"/>
    </xf>
    <xf numFmtId="166" fontId="2" fillId="7" borderId="29" xfId="0" applyNumberFormat="1" applyFont="1" applyFill="1" applyBorder="1" applyAlignment="1">
      <alignment vertical="top" wrapText="1"/>
    </xf>
    <xf numFmtId="166" fontId="3" fillId="2" borderId="9" xfId="0" applyNumberFormat="1" applyFont="1" applyFill="1" applyBorder="1" applyAlignment="1">
      <alignment horizontal="center" vertical="top"/>
    </xf>
    <xf numFmtId="166" fontId="3" fillId="8" borderId="61" xfId="0" applyNumberFormat="1" applyFont="1" applyFill="1" applyBorder="1" applyAlignment="1">
      <alignment horizontal="center" vertical="top"/>
    </xf>
    <xf numFmtId="166" fontId="2" fillId="7" borderId="44" xfId="0" applyNumberFormat="1" applyFont="1" applyFill="1" applyBorder="1" applyAlignment="1">
      <alignment horizontal="center" vertical="top"/>
    </xf>
    <xf numFmtId="166" fontId="2" fillId="7" borderId="51" xfId="0" applyNumberFormat="1" applyFont="1" applyFill="1" applyBorder="1" applyAlignment="1">
      <alignment horizontal="center" vertical="top"/>
    </xf>
    <xf numFmtId="166" fontId="3" fillId="7" borderId="48" xfId="0" applyNumberFormat="1" applyFont="1" applyFill="1" applyBorder="1" applyAlignment="1">
      <alignment vertical="top"/>
    </xf>
    <xf numFmtId="166" fontId="3" fillId="7" borderId="41" xfId="0" applyNumberFormat="1" applyFont="1" applyFill="1" applyBorder="1" applyAlignment="1">
      <alignment vertical="top" wrapText="1"/>
    </xf>
    <xf numFmtId="166" fontId="2" fillId="7" borderId="92" xfId="0" applyNumberFormat="1" applyFont="1" applyFill="1" applyBorder="1" applyAlignment="1">
      <alignment vertical="top" wrapText="1"/>
    </xf>
    <xf numFmtId="166" fontId="2" fillId="7" borderId="41" xfId="0" applyNumberFormat="1" applyFont="1" applyFill="1" applyBorder="1" applyAlignment="1">
      <alignment horizontal="center" vertical="top"/>
    </xf>
    <xf numFmtId="166" fontId="2" fillId="7" borderId="26" xfId="0" applyNumberFormat="1" applyFont="1" applyFill="1" applyBorder="1" applyAlignment="1">
      <alignment horizontal="center" vertical="top"/>
    </xf>
    <xf numFmtId="166" fontId="2" fillId="7" borderId="11" xfId="0" applyNumberFormat="1" applyFont="1" applyFill="1" applyBorder="1" applyAlignment="1">
      <alignment horizontal="center" vertical="top"/>
    </xf>
    <xf numFmtId="166" fontId="3" fillId="7" borderId="75" xfId="0" applyNumberFormat="1" applyFont="1" applyFill="1" applyBorder="1" applyAlignment="1">
      <alignment horizontal="center" vertical="top"/>
    </xf>
    <xf numFmtId="166" fontId="2" fillId="0" borderId="15" xfId="0" applyNumberFormat="1" applyFont="1" applyBorder="1" applyAlignment="1">
      <alignment horizontal="center" vertical="top" wrapText="1"/>
    </xf>
    <xf numFmtId="166" fontId="2" fillId="7" borderId="85" xfId="0" applyNumberFormat="1" applyFont="1" applyFill="1" applyBorder="1" applyAlignment="1">
      <alignment vertical="top" wrapText="1"/>
    </xf>
    <xf numFmtId="166" fontId="2" fillId="7" borderId="30" xfId="0" applyNumberFormat="1" applyFont="1" applyFill="1" applyBorder="1" applyAlignment="1">
      <alignment vertical="top" wrapText="1"/>
    </xf>
    <xf numFmtId="166" fontId="2" fillId="7" borderId="5" xfId="0" applyNumberFormat="1" applyFont="1" applyFill="1" applyBorder="1" applyAlignment="1">
      <alignment vertical="top" wrapText="1"/>
    </xf>
    <xf numFmtId="166" fontId="2" fillId="7" borderId="77" xfId="0" applyNumberFormat="1" applyFont="1" applyFill="1" applyBorder="1" applyAlignment="1">
      <alignment horizontal="left" vertical="top" wrapText="1"/>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9" borderId="16" xfId="0" applyNumberFormat="1" applyFont="1" applyFill="1" applyBorder="1" applyAlignment="1">
      <alignment horizontal="center" vertical="top"/>
    </xf>
    <xf numFmtId="0" fontId="2" fillId="0" borderId="32" xfId="0" applyFont="1" applyBorder="1" applyAlignment="1">
      <alignment horizontal="center" vertical="top"/>
    </xf>
    <xf numFmtId="166" fontId="3" fillId="9" borderId="7"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3" borderId="11" xfId="0" applyNumberFormat="1" applyFont="1" applyFill="1" applyBorder="1" applyAlignment="1">
      <alignment horizontal="center" vertical="center" textRotation="90" wrapText="1"/>
    </xf>
    <xf numFmtId="166" fontId="3" fillId="7" borderId="25" xfId="0" applyNumberFormat="1" applyFont="1" applyFill="1" applyBorder="1" applyAlignment="1">
      <alignment vertical="top"/>
    </xf>
    <xf numFmtId="166" fontId="18" fillId="7" borderId="29" xfId="0" applyNumberFormat="1" applyFont="1" applyFill="1" applyBorder="1" applyAlignment="1">
      <alignment vertical="top" wrapText="1"/>
    </xf>
    <xf numFmtId="166" fontId="18" fillId="7" borderId="6" xfId="0" applyNumberFormat="1" applyFont="1" applyFill="1" applyBorder="1" applyAlignment="1">
      <alignment horizontal="center" vertical="top"/>
    </xf>
    <xf numFmtId="3" fontId="2" fillId="0"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2" borderId="56" xfId="0" applyNumberFormat="1" applyFont="1" applyFill="1" applyBorder="1" applyAlignment="1">
      <alignment horizontal="center" vertical="top"/>
    </xf>
    <xf numFmtId="166" fontId="3" fillId="2" borderId="41" xfId="0" applyNumberFormat="1" applyFont="1" applyFill="1" applyBorder="1" applyAlignment="1">
      <alignment horizontal="center" vertical="top"/>
    </xf>
    <xf numFmtId="166" fontId="3" fillId="2" borderId="74"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3" fillId="8" borderId="58" xfId="0" applyNumberFormat="1" applyFont="1" applyFill="1" applyBorder="1" applyAlignment="1">
      <alignment horizontal="center" vertical="top"/>
    </xf>
    <xf numFmtId="166" fontId="2" fillId="8" borderId="23" xfId="0" applyNumberFormat="1" applyFont="1" applyFill="1" applyBorder="1" applyAlignment="1">
      <alignment horizontal="center" vertical="top"/>
    </xf>
    <xf numFmtId="166" fontId="3" fillId="5" borderId="23" xfId="0" applyNumberFormat="1" applyFont="1" applyFill="1" applyBorder="1" applyAlignment="1">
      <alignment horizontal="center" vertical="top"/>
    </xf>
    <xf numFmtId="166" fontId="3" fillId="4" borderId="66" xfId="0" applyNumberFormat="1" applyFont="1" applyFill="1" applyBorder="1" applyAlignment="1">
      <alignment horizontal="center" vertical="top"/>
    </xf>
    <xf numFmtId="49" fontId="2" fillId="7" borderId="20" xfId="0" applyNumberFormat="1" applyFont="1" applyFill="1" applyBorder="1" applyAlignment="1">
      <alignment horizontal="left" vertical="top" wrapText="1"/>
    </xf>
    <xf numFmtId="0" fontId="2" fillId="7" borderId="85"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3" fillId="7" borderId="48" xfId="0" applyNumberFormat="1" applyFont="1" applyFill="1" applyBorder="1" applyAlignment="1">
      <alignment horizontal="center" vertical="top"/>
    </xf>
    <xf numFmtId="166" fontId="3" fillId="0" borderId="48" xfId="0" applyNumberFormat="1" applyFont="1" applyBorder="1" applyAlignment="1">
      <alignment horizontal="center" vertical="top"/>
    </xf>
    <xf numFmtId="166" fontId="3" fillId="7" borderId="48" xfId="0" applyNumberFormat="1" applyFont="1" applyFill="1" applyBorder="1" applyAlignment="1">
      <alignment horizontal="center" vertical="top" wrapText="1"/>
    </xf>
    <xf numFmtId="166" fontId="8" fillId="7" borderId="11" xfId="0" applyNumberFormat="1" applyFont="1" applyFill="1" applyBorder="1" applyAlignment="1">
      <alignment horizontal="center" vertical="center" textRotation="90" wrapText="1"/>
    </xf>
    <xf numFmtId="166" fontId="3" fillId="9" borderId="9" xfId="0" applyNumberFormat="1" applyFont="1" applyFill="1" applyBorder="1" applyAlignment="1">
      <alignment horizontal="center" vertical="top"/>
    </xf>
    <xf numFmtId="166" fontId="2" fillId="7" borderId="28" xfId="0" applyNumberFormat="1" applyFont="1" applyFill="1" applyBorder="1" applyAlignment="1">
      <alignment horizontal="left" vertical="top" wrapText="1"/>
    </xf>
    <xf numFmtId="166" fontId="2" fillId="7" borderId="96" xfId="0" applyNumberFormat="1" applyFont="1" applyFill="1" applyBorder="1" applyAlignment="1">
      <alignment horizontal="left" vertical="top" wrapText="1"/>
    </xf>
    <xf numFmtId="166" fontId="2" fillId="7" borderId="18"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8" fillId="7" borderId="27" xfId="0" applyNumberFormat="1" applyFont="1" applyFill="1" applyBorder="1" applyAlignment="1">
      <alignment horizontal="center" vertical="center" wrapText="1"/>
    </xf>
    <xf numFmtId="166" fontId="2" fillId="0" borderId="18" xfId="0" applyNumberFormat="1" applyFont="1" applyBorder="1" applyAlignment="1">
      <alignment horizontal="center" vertical="top" wrapText="1"/>
    </xf>
    <xf numFmtId="166" fontId="8" fillId="7" borderId="18" xfId="0" applyNumberFormat="1" applyFont="1" applyFill="1" applyBorder="1" applyAlignment="1">
      <alignment horizontal="center" wrapText="1"/>
    </xf>
    <xf numFmtId="0" fontId="2" fillId="7" borderId="49" xfId="0" applyFont="1" applyFill="1" applyBorder="1" applyAlignment="1">
      <alignment horizontal="center" vertical="top"/>
    </xf>
    <xf numFmtId="3" fontId="6" fillId="7" borderId="75" xfId="0" applyNumberFormat="1" applyFont="1" applyFill="1" applyBorder="1" applyAlignment="1">
      <alignment horizontal="center" vertical="center" wrapText="1"/>
    </xf>
    <xf numFmtId="3" fontId="6" fillId="7" borderId="27" xfId="0" applyNumberFormat="1" applyFont="1" applyFill="1" applyBorder="1" applyAlignment="1">
      <alignment horizontal="center" vertical="center" wrapText="1"/>
    </xf>
    <xf numFmtId="3" fontId="2" fillId="7" borderId="0" xfId="0" applyNumberFormat="1" applyFont="1" applyFill="1" applyBorder="1" applyAlignment="1">
      <alignment horizontal="center" vertical="top"/>
    </xf>
    <xf numFmtId="3" fontId="2" fillId="7" borderId="75" xfId="0" applyNumberFormat="1" applyFont="1" applyFill="1" applyBorder="1" applyAlignment="1">
      <alignment horizontal="center" vertical="top"/>
    </xf>
    <xf numFmtId="166" fontId="6" fillId="0" borderId="18" xfId="0" applyNumberFormat="1" applyFont="1" applyFill="1" applyBorder="1" applyAlignment="1">
      <alignment horizontal="center" vertical="top" wrapText="1"/>
    </xf>
    <xf numFmtId="166" fontId="2" fillId="7" borderId="36" xfId="0" applyNumberFormat="1" applyFont="1" applyFill="1" applyBorder="1" applyAlignment="1">
      <alignment vertical="top"/>
    </xf>
    <xf numFmtId="49" fontId="2" fillId="7" borderId="28"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166" fontId="2" fillId="7" borderId="21" xfId="0" applyNumberFormat="1" applyFont="1" applyFill="1" applyBorder="1" applyAlignment="1">
      <alignment vertical="top"/>
    </xf>
    <xf numFmtId="0" fontId="2" fillId="7" borderId="48" xfId="0" applyNumberFormat="1" applyFont="1" applyFill="1" applyBorder="1" applyAlignment="1">
      <alignment horizontal="center" vertical="top" wrapText="1"/>
    </xf>
    <xf numFmtId="0" fontId="2" fillId="7" borderId="96" xfId="0" applyNumberFormat="1" applyFont="1" applyFill="1" applyBorder="1" applyAlignment="1">
      <alignment horizontal="center" vertical="top" wrapText="1"/>
    </xf>
    <xf numFmtId="3" fontId="2" fillId="7" borderId="94" xfId="0" applyNumberFormat="1" applyFont="1" applyFill="1" applyBorder="1" applyAlignment="1">
      <alignment horizontal="center" vertical="top"/>
    </xf>
    <xf numFmtId="3" fontId="2" fillId="7" borderId="104" xfId="0" applyNumberFormat="1" applyFont="1" applyFill="1" applyBorder="1" applyAlignment="1">
      <alignment horizontal="center" vertical="top"/>
    </xf>
    <xf numFmtId="3" fontId="2" fillId="7" borderId="110" xfId="0" applyNumberFormat="1" applyFont="1" applyFill="1" applyBorder="1" applyAlignment="1">
      <alignment horizontal="center" vertical="top"/>
    </xf>
    <xf numFmtId="3" fontId="2" fillId="7" borderId="109" xfId="0" applyNumberFormat="1" applyFont="1" applyFill="1" applyBorder="1" applyAlignment="1">
      <alignment horizontal="center" vertical="top"/>
    </xf>
    <xf numFmtId="166" fontId="2" fillId="7" borderId="87" xfId="0" applyNumberFormat="1" applyFont="1" applyFill="1" applyBorder="1" applyAlignment="1">
      <alignment horizontal="center" vertical="top"/>
    </xf>
    <xf numFmtId="166" fontId="2" fillId="7" borderId="15" xfId="0" applyNumberFormat="1" applyFont="1" applyFill="1" applyBorder="1" applyAlignment="1">
      <alignment horizontal="center" vertical="top"/>
    </xf>
    <xf numFmtId="166" fontId="8" fillId="7" borderId="45" xfId="0" applyNumberFormat="1" applyFont="1" applyFill="1" applyBorder="1" applyAlignment="1">
      <alignment horizontal="center" vertical="center" textRotation="90" wrapText="1"/>
    </xf>
    <xf numFmtId="3" fontId="2" fillId="7" borderId="47" xfId="0" applyNumberFormat="1" applyFont="1" applyFill="1" applyBorder="1" applyAlignment="1">
      <alignment horizontal="center" vertical="top"/>
    </xf>
    <xf numFmtId="49" fontId="3" fillId="9" borderId="34" xfId="0" applyNumberFormat="1" applyFont="1" applyFill="1" applyBorder="1" applyAlignment="1">
      <alignment horizontal="center" vertical="top"/>
    </xf>
    <xf numFmtId="3" fontId="2" fillId="7" borderId="18" xfId="0" applyNumberFormat="1" applyFont="1" applyFill="1" applyBorder="1" applyAlignment="1">
      <alignment horizontal="center" vertical="top" wrapText="1"/>
    </xf>
    <xf numFmtId="0" fontId="2" fillId="7" borderId="34" xfId="0" applyFont="1" applyFill="1" applyBorder="1" applyAlignment="1">
      <alignment vertical="top"/>
    </xf>
    <xf numFmtId="0" fontId="2" fillId="7" borderId="11" xfId="0" applyFont="1" applyFill="1" applyBorder="1" applyAlignment="1">
      <alignment vertical="top"/>
    </xf>
    <xf numFmtId="0" fontId="2" fillId="7" borderId="48" xfId="0" applyFont="1" applyFill="1" applyBorder="1" applyAlignment="1">
      <alignment vertical="top"/>
    </xf>
    <xf numFmtId="0" fontId="2" fillId="7" borderId="18" xfId="0" applyFont="1" applyFill="1" applyBorder="1" applyAlignment="1">
      <alignment vertical="top"/>
    </xf>
    <xf numFmtId="166" fontId="2" fillId="7" borderId="34" xfId="0" applyNumberFormat="1" applyFont="1" applyFill="1" applyBorder="1" applyAlignment="1">
      <alignment horizontal="center" vertical="top" wrapText="1"/>
    </xf>
    <xf numFmtId="166" fontId="2" fillId="7" borderId="43" xfId="0" applyNumberFormat="1" applyFont="1" applyFill="1" applyBorder="1" applyAlignment="1">
      <alignment horizontal="center" vertical="top" wrapText="1"/>
    </xf>
    <xf numFmtId="166" fontId="2" fillId="7" borderId="5" xfId="0" applyNumberFormat="1" applyFont="1" applyFill="1" applyBorder="1" applyAlignment="1">
      <alignment horizontal="left" vertical="top" wrapText="1"/>
    </xf>
    <xf numFmtId="166" fontId="2" fillId="7" borderId="0" xfId="0" applyNumberFormat="1" applyFont="1" applyFill="1" applyBorder="1" applyAlignment="1">
      <alignment horizontal="center" vertical="top" wrapText="1"/>
    </xf>
    <xf numFmtId="166" fontId="2" fillId="7" borderId="75" xfId="1" applyNumberFormat="1" applyFont="1" applyFill="1" applyBorder="1" applyAlignment="1">
      <alignment horizontal="center" vertical="top"/>
    </xf>
    <xf numFmtId="166" fontId="2" fillId="7" borderId="23" xfId="1" applyNumberFormat="1" applyFont="1" applyFill="1" applyBorder="1" applyAlignment="1">
      <alignment horizontal="center" vertical="top"/>
    </xf>
    <xf numFmtId="166" fontId="3" fillId="2" borderId="55" xfId="0" applyNumberFormat="1" applyFont="1" applyFill="1" applyBorder="1" applyAlignment="1">
      <alignment horizontal="center" vertical="top"/>
    </xf>
    <xf numFmtId="49" fontId="2" fillId="7" borderId="18" xfId="0" applyNumberFormat="1" applyFont="1" applyFill="1" applyBorder="1" applyAlignment="1">
      <alignment horizontal="center" vertical="top"/>
    </xf>
    <xf numFmtId="0" fontId="2" fillId="7" borderId="0" xfId="0" applyFont="1" applyFill="1" applyBorder="1" applyAlignment="1">
      <alignment vertical="top"/>
    </xf>
    <xf numFmtId="166" fontId="2" fillId="7" borderId="5" xfId="0" applyNumberFormat="1" applyFont="1" applyFill="1" applyBorder="1" applyAlignment="1">
      <alignment horizontal="center" vertical="top"/>
    </xf>
    <xf numFmtId="166" fontId="2" fillId="7" borderId="50" xfId="0" applyNumberFormat="1" applyFont="1" applyFill="1" applyBorder="1" applyAlignment="1">
      <alignment horizontal="center" vertical="top"/>
    </xf>
    <xf numFmtId="166" fontId="3" fillId="8" borderId="33" xfId="0" applyNumberFormat="1" applyFont="1" applyFill="1" applyBorder="1" applyAlignment="1">
      <alignment horizontal="center" vertical="top"/>
    </xf>
    <xf numFmtId="3" fontId="2" fillId="7" borderId="96" xfId="0" applyNumberFormat="1" applyFont="1" applyFill="1" applyBorder="1" applyAlignment="1">
      <alignment horizontal="center" vertical="top"/>
    </xf>
    <xf numFmtId="166" fontId="2" fillId="7" borderId="25" xfId="0" applyNumberFormat="1" applyFont="1" applyFill="1" applyBorder="1" applyAlignment="1">
      <alignment horizontal="center" vertical="center" textRotation="90" wrapText="1"/>
    </xf>
    <xf numFmtId="166" fontId="3" fillId="7" borderId="48" xfId="0" applyNumberFormat="1" applyFont="1" applyFill="1" applyBorder="1" applyAlignment="1">
      <alignment vertical="top" wrapText="1"/>
    </xf>
    <xf numFmtId="166" fontId="3" fillId="7" borderId="35" xfId="0" applyNumberFormat="1" applyFont="1" applyFill="1" applyBorder="1" applyAlignment="1">
      <alignment vertical="top" wrapText="1"/>
    </xf>
    <xf numFmtId="49" fontId="2" fillId="7" borderId="20" xfId="0" applyNumberFormat="1" applyFont="1" applyFill="1" applyBorder="1" applyAlignment="1">
      <alignment horizontal="center" vertical="top"/>
    </xf>
    <xf numFmtId="166" fontId="3" fillId="8" borderId="56"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166" fontId="8" fillId="8" borderId="58" xfId="0" applyNumberFormat="1" applyFont="1" applyFill="1" applyBorder="1" applyAlignment="1">
      <alignment vertical="top" wrapText="1"/>
    </xf>
    <xf numFmtId="166" fontId="11" fillId="8" borderId="58" xfId="0" applyNumberFormat="1" applyFont="1" applyFill="1" applyBorder="1" applyAlignment="1">
      <alignment horizontal="center" vertical="center" textRotation="90" wrapText="1"/>
    </xf>
    <xf numFmtId="166" fontId="3" fillId="8" borderId="11" xfId="0" applyNumberFormat="1" applyFont="1" applyFill="1" applyBorder="1" applyAlignment="1">
      <alignment horizontal="center" vertical="top"/>
    </xf>
    <xf numFmtId="166" fontId="3" fillId="8" borderId="25" xfId="0" applyNumberFormat="1" applyFont="1" applyFill="1" applyBorder="1" applyAlignment="1">
      <alignment horizontal="center" vertical="top"/>
    </xf>
    <xf numFmtId="166" fontId="18" fillId="8" borderId="65" xfId="0" applyNumberFormat="1" applyFont="1" applyFill="1" applyBorder="1" applyAlignment="1">
      <alignment horizontal="left" vertical="top" wrapText="1"/>
    </xf>
    <xf numFmtId="3" fontId="6" fillId="8" borderId="58" xfId="0" applyNumberFormat="1" applyFont="1" applyFill="1" applyBorder="1" applyAlignment="1">
      <alignment horizontal="center" vertical="top" wrapText="1"/>
    </xf>
    <xf numFmtId="3" fontId="6" fillId="8" borderId="61" xfId="0" applyNumberFormat="1" applyFont="1" applyFill="1" applyBorder="1" applyAlignment="1">
      <alignment horizontal="center" vertical="top" wrapText="1"/>
    </xf>
    <xf numFmtId="166" fontId="3" fillId="8" borderId="11" xfId="0" applyNumberFormat="1" applyFont="1" applyFill="1" applyBorder="1" applyAlignment="1">
      <alignment vertical="top"/>
    </xf>
    <xf numFmtId="166" fontId="3" fillId="8" borderId="48" xfId="0" applyNumberFormat="1" applyFont="1" applyFill="1" applyBorder="1" applyAlignment="1">
      <alignment vertical="top"/>
    </xf>
    <xf numFmtId="166" fontId="3" fillId="8" borderId="0" xfId="0" applyNumberFormat="1" applyFont="1" applyFill="1" applyBorder="1" applyAlignment="1">
      <alignment horizontal="center" vertical="top"/>
    </xf>
    <xf numFmtId="166" fontId="3" fillId="8" borderId="48" xfId="0" applyNumberFormat="1" applyFont="1" applyFill="1" applyBorder="1" applyAlignment="1">
      <alignment horizontal="center" vertical="top"/>
    </xf>
    <xf numFmtId="166" fontId="3" fillId="8" borderId="25" xfId="0" applyNumberFormat="1" applyFont="1" applyFill="1" applyBorder="1" applyAlignment="1">
      <alignment vertical="top"/>
    </xf>
    <xf numFmtId="166" fontId="8" fillId="8" borderId="32" xfId="0" applyNumberFormat="1" applyFont="1" applyFill="1" applyBorder="1" applyAlignment="1">
      <alignment vertical="top" wrapText="1"/>
    </xf>
    <xf numFmtId="166" fontId="11" fillId="8" borderId="32" xfId="0" applyNumberFormat="1" applyFont="1" applyFill="1" applyBorder="1" applyAlignment="1">
      <alignment horizontal="center" vertical="center" textRotation="90" wrapText="1"/>
    </xf>
    <xf numFmtId="166" fontId="18" fillId="8" borderId="72" xfId="0" applyNumberFormat="1" applyFont="1" applyFill="1" applyBorder="1" applyAlignment="1">
      <alignment horizontal="left" vertical="top" wrapText="1"/>
    </xf>
    <xf numFmtId="49" fontId="2" fillId="7" borderId="102" xfId="0" applyNumberFormat="1" applyFont="1" applyFill="1" applyBorder="1" applyAlignment="1">
      <alignment horizontal="center" vertical="top"/>
    </xf>
    <xf numFmtId="166" fontId="2" fillId="7" borderId="59" xfId="0" applyNumberFormat="1" applyFont="1" applyFill="1" applyBorder="1" applyAlignment="1">
      <alignment horizontal="center" vertical="top" wrapText="1"/>
    </xf>
    <xf numFmtId="166" fontId="2" fillId="7" borderId="11" xfId="0" applyNumberFormat="1" applyFont="1" applyFill="1" applyBorder="1" applyAlignment="1">
      <alignment horizontal="center" vertical="top" wrapText="1"/>
    </xf>
    <xf numFmtId="166" fontId="2" fillId="0" borderId="53" xfId="0" applyNumberFormat="1" applyFont="1" applyBorder="1" applyAlignment="1">
      <alignment horizontal="center" vertical="top"/>
    </xf>
    <xf numFmtId="166" fontId="2" fillId="7" borderId="28" xfId="1" applyNumberFormat="1" applyFont="1" applyFill="1" applyBorder="1" applyAlignment="1">
      <alignment horizontal="center" vertical="top"/>
    </xf>
    <xf numFmtId="3" fontId="2" fillId="7" borderId="48" xfId="0" applyNumberFormat="1" applyFont="1" applyFill="1" applyBorder="1" applyAlignment="1">
      <alignment horizontal="center" vertical="top" wrapText="1"/>
    </xf>
    <xf numFmtId="49" fontId="3" fillId="8" borderId="0" xfId="0" applyNumberFormat="1" applyFont="1" applyFill="1" applyBorder="1" applyAlignment="1">
      <alignment horizontal="center" vertical="top"/>
    </xf>
    <xf numFmtId="49" fontId="3" fillId="8" borderId="32" xfId="0" applyNumberFormat="1" applyFont="1" applyFill="1" applyBorder="1" applyAlignment="1">
      <alignment horizontal="center" vertical="top"/>
    </xf>
    <xf numFmtId="0" fontId="0" fillId="8" borderId="32" xfId="0" applyFill="1" applyBorder="1" applyAlignment="1">
      <alignment vertical="top" wrapText="1"/>
    </xf>
    <xf numFmtId="0" fontId="0" fillId="8" borderId="32" xfId="0" applyFill="1" applyBorder="1" applyAlignment="1">
      <alignment horizontal="center" textRotation="90" wrapText="1"/>
    </xf>
    <xf numFmtId="0" fontId="0" fillId="8" borderId="32" xfId="0" applyFont="1" applyFill="1" applyBorder="1" applyAlignment="1">
      <alignment horizontal="center" vertical="top"/>
    </xf>
    <xf numFmtId="166" fontId="8" fillId="8" borderId="72" xfId="0" applyNumberFormat="1" applyFont="1" applyFill="1" applyBorder="1" applyAlignment="1">
      <alignment vertical="top" wrapText="1"/>
    </xf>
    <xf numFmtId="166" fontId="18" fillId="7" borderId="7"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7" borderId="46"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3" fillId="2" borderId="48" xfId="0" applyNumberFormat="1" applyFont="1" applyFill="1" applyBorder="1" applyAlignment="1">
      <alignment horizontal="center" vertical="top"/>
    </xf>
    <xf numFmtId="166" fontId="2" fillId="7" borderId="59" xfId="0" applyNumberFormat="1" applyFont="1" applyFill="1" applyBorder="1" applyAlignment="1">
      <alignment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166" fontId="3" fillId="8"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top"/>
    </xf>
    <xf numFmtId="166" fontId="8"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166" fontId="2" fillId="0" borderId="36"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3" fontId="2" fillId="0" borderId="94" xfId="0" applyNumberFormat="1" applyFont="1" applyFill="1" applyBorder="1" applyAlignment="1">
      <alignment horizontal="center" vertical="top"/>
    </xf>
    <xf numFmtId="166" fontId="18" fillId="7" borderId="29" xfId="0" applyNumberFormat="1" applyFont="1" applyFill="1" applyBorder="1" applyAlignment="1">
      <alignment horizontal="left" vertical="top" wrapText="1"/>
    </xf>
    <xf numFmtId="166" fontId="3" fillId="0" borderId="14" xfId="0" applyNumberFormat="1" applyFont="1" applyBorder="1" applyAlignment="1">
      <alignment horizontal="center" vertical="top"/>
    </xf>
    <xf numFmtId="166" fontId="2" fillId="7" borderId="15" xfId="0" applyNumberFormat="1" applyFont="1" applyFill="1" applyBorder="1" applyAlignment="1">
      <alignment horizontal="center" vertical="top" wrapText="1"/>
    </xf>
    <xf numFmtId="166" fontId="2" fillId="0" borderId="94" xfId="0" applyNumberFormat="1" applyFont="1" applyFill="1" applyBorder="1" applyAlignment="1">
      <alignment horizontal="center" vertical="top"/>
    </xf>
    <xf numFmtId="166" fontId="2" fillId="7" borderId="1" xfId="0" applyNumberFormat="1" applyFont="1" applyFill="1" applyBorder="1" applyAlignment="1">
      <alignment vertical="top" wrapText="1"/>
    </xf>
    <xf numFmtId="0" fontId="2" fillId="0" borderId="85" xfId="0" applyFont="1" applyBorder="1" applyAlignment="1">
      <alignment vertical="top" wrapText="1"/>
    </xf>
    <xf numFmtId="166" fontId="2" fillId="7" borderId="78" xfId="0" applyNumberFormat="1" applyFont="1" applyFill="1" applyBorder="1" applyAlignment="1">
      <alignment vertical="top" wrapText="1"/>
    </xf>
    <xf numFmtId="166" fontId="2" fillId="7" borderId="21" xfId="0" applyNumberFormat="1" applyFont="1" applyFill="1" applyBorder="1" applyAlignment="1">
      <alignment horizontal="center" vertical="top"/>
    </xf>
    <xf numFmtId="3" fontId="2" fillId="0" borderId="0" xfId="0" applyNumberFormat="1" applyFont="1" applyFill="1" applyBorder="1" applyAlignment="1">
      <alignment horizontal="center" vertical="top"/>
    </xf>
    <xf numFmtId="3" fontId="2" fillId="0" borderId="92" xfId="0" applyNumberFormat="1" applyFont="1" applyFill="1" applyBorder="1" applyAlignment="1">
      <alignment horizontal="center" vertical="top"/>
    </xf>
    <xf numFmtId="3" fontId="22" fillId="7" borderId="20" xfId="0" applyNumberFormat="1" applyFont="1" applyFill="1" applyBorder="1" applyAlignment="1">
      <alignment horizontal="center" vertical="top"/>
    </xf>
    <xf numFmtId="3" fontId="22" fillId="7" borderId="11" xfId="1" applyNumberFormat="1" applyFont="1" applyFill="1" applyBorder="1" applyAlignment="1">
      <alignment horizontal="center" vertical="top" wrapText="1"/>
    </xf>
    <xf numFmtId="49" fontId="2" fillId="7" borderId="46" xfId="0" applyNumberFormat="1" applyFont="1" applyFill="1" applyBorder="1" applyAlignment="1">
      <alignment horizontal="center" vertical="top"/>
    </xf>
    <xf numFmtId="49" fontId="2" fillId="7" borderId="21" xfId="0" applyNumberFormat="1" applyFont="1" applyFill="1" applyBorder="1" applyAlignment="1">
      <alignment horizontal="center" vertical="top"/>
    </xf>
    <xf numFmtId="49" fontId="2" fillId="7" borderId="107" xfId="0" applyNumberFormat="1" applyFont="1" applyFill="1" applyBorder="1" applyAlignment="1">
      <alignment horizontal="center" vertical="top"/>
    </xf>
    <xf numFmtId="49" fontId="2" fillId="7" borderId="105" xfId="0" applyNumberFormat="1" applyFont="1" applyFill="1" applyBorder="1" applyAlignment="1">
      <alignment horizontal="center" vertical="top"/>
    </xf>
    <xf numFmtId="49" fontId="2" fillId="7" borderId="27" xfId="0" applyNumberFormat="1" applyFont="1" applyFill="1" applyBorder="1" applyAlignment="1">
      <alignment horizontal="center" vertical="top"/>
    </xf>
    <xf numFmtId="3" fontId="22" fillId="7" borderId="11" xfId="0" applyNumberFormat="1" applyFont="1" applyFill="1" applyBorder="1" applyAlignment="1">
      <alignment horizontal="center" vertical="top"/>
    </xf>
    <xf numFmtId="3" fontId="22" fillId="7" borderId="28" xfId="0" applyNumberFormat="1" applyFont="1" applyFill="1" applyBorder="1" applyAlignment="1">
      <alignment horizontal="center" vertical="top"/>
    </xf>
    <xf numFmtId="3" fontId="22" fillId="7" borderId="0" xfId="0" applyNumberFormat="1" applyFont="1" applyFill="1" applyBorder="1" applyAlignment="1">
      <alignment horizontal="center" vertical="top"/>
    </xf>
    <xf numFmtId="165" fontId="2" fillId="0" borderId="23" xfId="0" applyNumberFormat="1" applyFont="1" applyBorder="1" applyAlignment="1">
      <alignment horizontal="center"/>
    </xf>
    <xf numFmtId="165" fontId="2" fillId="0" borderId="75" xfId="0" applyNumberFormat="1" applyFont="1" applyBorder="1" applyAlignment="1">
      <alignment horizontal="center"/>
    </xf>
    <xf numFmtId="166" fontId="2" fillId="7" borderId="23" xfId="0" applyNumberFormat="1" applyFont="1" applyFill="1" applyBorder="1" applyAlignment="1">
      <alignment horizontal="center"/>
    </xf>
    <xf numFmtId="166" fontId="2" fillId="7" borderId="75" xfId="0" applyNumberFormat="1" applyFont="1" applyFill="1" applyBorder="1" applyAlignment="1">
      <alignment horizontal="center"/>
    </xf>
    <xf numFmtId="166" fontId="23" fillId="7" borderId="48" xfId="0" applyNumberFormat="1" applyFont="1" applyFill="1" applyBorder="1" applyAlignment="1">
      <alignment horizontal="center" vertical="top"/>
    </xf>
    <xf numFmtId="3" fontId="22" fillId="7" borderId="27" xfId="0" applyNumberFormat="1" applyFont="1" applyFill="1" applyBorder="1" applyAlignment="1">
      <alignment horizontal="center" vertical="top"/>
    </xf>
    <xf numFmtId="3" fontId="6" fillId="7" borderId="11" xfId="0" applyNumberFormat="1" applyFont="1" applyFill="1" applyBorder="1" applyAlignment="1">
      <alignment horizontal="center" vertical="top" wrapText="1"/>
    </xf>
    <xf numFmtId="3" fontId="6" fillId="7" borderId="28" xfId="0" applyNumberFormat="1" applyFont="1" applyFill="1" applyBorder="1" applyAlignment="1">
      <alignment horizontal="center" vertical="top" wrapText="1"/>
    </xf>
    <xf numFmtId="3" fontId="2" fillId="7" borderId="112" xfId="0" applyNumberFormat="1" applyFont="1" applyFill="1" applyBorder="1" applyAlignment="1">
      <alignment horizontal="center" vertical="top"/>
    </xf>
    <xf numFmtId="3" fontId="2" fillId="7" borderId="10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8" fillId="7" borderId="18" xfId="0" applyNumberFormat="1" applyFont="1" applyFill="1" applyBorder="1" applyAlignment="1">
      <alignment horizontal="center" vertical="top" wrapText="1"/>
    </xf>
    <xf numFmtId="0" fontId="22" fillId="7" borderId="7" xfId="0" applyFont="1" applyFill="1" applyBorder="1" applyAlignment="1">
      <alignment vertical="top" wrapText="1"/>
    </xf>
    <xf numFmtId="0" fontId="22" fillId="7" borderId="29" xfId="0" applyFont="1" applyFill="1" applyBorder="1" applyAlignment="1">
      <alignment vertical="top" wrapText="1"/>
    </xf>
    <xf numFmtId="3" fontId="6" fillId="7" borderId="0" xfId="0" applyNumberFormat="1" applyFont="1" applyFill="1" applyBorder="1" applyAlignment="1">
      <alignment horizontal="center" vertical="top" wrapText="1"/>
    </xf>
    <xf numFmtId="3" fontId="6" fillId="7" borderId="21" xfId="0" applyNumberFormat="1" applyFont="1" applyFill="1" applyBorder="1" applyAlignment="1">
      <alignment horizontal="center" vertical="top" wrapText="1"/>
    </xf>
    <xf numFmtId="166" fontId="2" fillId="7" borderId="85" xfId="0" applyNumberFormat="1" applyFont="1" applyFill="1" applyBorder="1" applyAlignment="1">
      <alignment horizontal="left" vertical="top" wrapText="1"/>
    </xf>
    <xf numFmtId="0" fontId="2" fillId="7" borderId="29" xfId="0" applyFont="1" applyFill="1" applyBorder="1" applyAlignment="1">
      <alignment horizontal="left" vertical="top" wrapText="1"/>
    </xf>
    <xf numFmtId="166" fontId="3" fillId="7" borderId="23" xfId="0" applyNumberFormat="1" applyFont="1" applyFill="1" applyBorder="1" applyAlignment="1">
      <alignment horizontal="center" vertical="top"/>
    </xf>
    <xf numFmtId="166" fontId="3" fillId="7" borderId="64" xfId="0" applyNumberFormat="1" applyFont="1" applyFill="1" applyBorder="1" applyAlignment="1">
      <alignment horizontal="center" vertical="top"/>
    </xf>
    <xf numFmtId="0" fontId="0" fillId="7" borderId="27" xfId="0" applyFont="1" applyFill="1" applyBorder="1" applyAlignment="1">
      <alignment horizontal="center" vertical="top"/>
    </xf>
    <xf numFmtId="166" fontId="2" fillId="7" borderId="114" xfId="0" applyNumberFormat="1" applyFont="1" applyFill="1" applyBorder="1" applyAlignment="1">
      <alignment horizontal="center" vertical="top"/>
    </xf>
    <xf numFmtId="166" fontId="3" fillId="7" borderId="78" xfId="0" applyNumberFormat="1" applyFont="1" applyFill="1" applyBorder="1" applyAlignment="1">
      <alignment horizontal="center" vertical="top"/>
    </xf>
    <xf numFmtId="166" fontId="11" fillId="7" borderId="11" xfId="0" applyNumberFormat="1" applyFont="1" applyFill="1" applyBorder="1" applyAlignment="1">
      <alignment horizontal="center" vertical="center" wrapText="1"/>
    </xf>
    <xf numFmtId="166" fontId="3" fillId="7"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center" wrapText="1"/>
    </xf>
    <xf numFmtId="166" fontId="2" fillId="7" borderId="48" xfId="0" applyNumberFormat="1" applyFont="1" applyFill="1" applyBorder="1" applyAlignment="1">
      <alignment vertical="top"/>
    </xf>
    <xf numFmtId="166" fontId="13" fillId="7" borderId="6"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2" borderId="11"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82" xfId="0" applyNumberFormat="1" applyFont="1" applyFill="1" applyBorder="1" applyAlignment="1">
      <alignment horizontal="left" vertical="top" wrapText="1"/>
    </xf>
    <xf numFmtId="49" fontId="2" fillId="7" borderId="0" xfId="0" applyNumberFormat="1" applyFont="1" applyFill="1" applyBorder="1" applyAlignment="1">
      <alignment horizontal="center" vertical="top"/>
    </xf>
    <xf numFmtId="49" fontId="2" fillId="7" borderId="75" xfId="0" applyNumberFormat="1" applyFont="1" applyFill="1" applyBorder="1" applyAlignment="1">
      <alignment horizontal="center" vertical="top"/>
    </xf>
    <xf numFmtId="166" fontId="2" fillId="7" borderId="75" xfId="0" applyNumberFormat="1" applyFont="1" applyFill="1" applyBorder="1" applyAlignment="1">
      <alignment horizontal="center" vertical="top" wrapText="1"/>
    </xf>
    <xf numFmtId="166" fontId="3" fillId="7" borderId="39" xfId="0" applyNumberFormat="1" applyFont="1" applyFill="1" applyBorder="1" applyAlignment="1">
      <alignment horizontal="center" vertical="top"/>
    </xf>
    <xf numFmtId="3" fontId="2" fillId="7" borderId="102" xfId="0" applyNumberFormat="1" applyFont="1" applyFill="1" applyBorder="1" applyAlignment="1">
      <alignment horizontal="center" vertical="top"/>
    </xf>
    <xf numFmtId="3" fontId="2" fillId="7" borderId="107" xfId="0" applyNumberFormat="1" applyFont="1" applyFill="1" applyBorder="1" applyAlignment="1">
      <alignment horizontal="center" vertical="top"/>
    </xf>
    <xf numFmtId="3" fontId="6" fillId="7" borderId="46" xfId="0" applyNumberFormat="1" applyFont="1" applyFill="1" applyBorder="1" applyAlignment="1">
      <alignment horizontal="center" vertical="center" wrapText="1"/>
    </xf>
    <xf numFmtId="3" fontId="6" fillId="7" borderId="21" xfId="0" applyNumberFormat="1" applyFont="1" applyFill="1" applyBorder="1" applyAlignment="1">
      <alignment horizontal="center" vertical="center" wrapText="1"/>
    </xf>
    <xf numFmtId="166" fontId="2" fillId="7" borderId="0" xfId="0" applyNumberFormat="1" applyFont="1" applyFill="1" applyBorder="1" applyAlignment="1">
      <alignment vertical="top"/>
    </xf>
    <xf numFmtId="166" fontId="2" fillId="7" borderId="75" xfId="0" applyNumberFormat="1" applyFont="1" applyFill="1" applyBorder="1" applyAlignment="1">
      <alignment vertical="top"/>
    </xf>
    <xf numFmtId="3" fontId="22" fillId="7" borderId="75" xfId="0" applyNumberFormat="1" applyFont="1" applyFill="1" applyBorder="1" applyAlignment="1">
      <alignment horizontal="center" vertical="top"/>
    </xf>
    <xf numFmtId="166" fontId="8" fillId="7" borderId="9" xfId="0" applyNumberFormat="1" applyFont="1" applyFill="1" applyBorder="1" applyAlignment="1">
      <alignment vertical="top" wrapText="1"/>
    </xf>
    <xf numFmtId="166" fontId="3" fillId="3" borderId="48" xfId="0" applyNumberFormat="1" applyFont="1" applyFill="1" applyBorder="1" applyAlignment="1">
      <alignment horizontal="center" vertical="top" wrapText="1"/>
    </xf>
    <xf numFmtId="166" fontId="2" fillId="7" borderId="29" xfId="0" applyNumberFormat="1" applyFont="1" applyFill="1" applyBorder="1" applyAlignment="1">
      <alignment horizontal="left" vertical="top" wrapText="1"/>
    </xf>
    <xf numFmtId="0" fontId="2" fillId="7" borderId="32" xfId="0" applyFont="1" applyFill="1" applyBorder="1" applyAlignment="1">
      <alignment vertical="top"/>
    </xf>
    <xf numFmtId="0" fontId="21" fillId="0" borderId="0" xfId="0" applyFont="1" applyFill="1"/>
    <xf numFmtId="165" fontId="2" fillId="7" borderId="0" xfId="0" applyNumberFormat="1" applyFont="1" applyFill="1" applyBorder="1" applyAlignment="1">
      <alignment horizontal="center" vertical="top"/>
    </xf>
    <xf numFmtId="165" fontId="2" fillId="7" borderId="6" xfId="0" applyNumberFormat="1" applyFont="1" applyFill="1" applyBorder="1" applyAlignment="1">
      <alignment horizontal="center" vertical="top"/>
    </xf>
    <xf numFmtId="49" fontId="2" fillId="7" borderId="81" xfId="0" applyNumberFormat="1" applyFont="1" applyFill="1" applyBorder="1" applyAlignment="1">
      <alignment horizontal="center" vertical="top"/>
    </xf>
    <xf numFmtId="166" fontId="2" fillId="0" borderId="28" xfId="0" applyNumberFormat="1" applyFont="1" applyFill="1" applyBorder="1" applyAlignment="1">
      <alignment horizontal="center" vertical="top"/>
    </xf>
    <xf numFmtId="0" fontId="0" fillId="0" borderId="48" xfId="0" applyBorder="1" applyAlignment="1">
      <alignment vertical="top" wrapText="1"/>
    </xf>
    <xf numFmtId="49" fontId="2" fillId="0" borderId="46" xfId="0" applyNumberFormat="1" applyFont="1" applyFill="1" applyBorder="1" applyAlignment="1">
      <alignment horizontal="center" vertical="top"/>
    </xf>
    <xf numFmtId="49" fontId="2" fillId="0" borderId="90" xfId="0" applyNumberFormat="1" applyFont="1" applyFill="1" applyBorder="1" applyAlignment="1">
      <alignment horizontal="center" vertical="top"/>
    </xf>
    <xf numFmtId="3" fontId="2" fillId="0" borderId="90" xfId="0" applyNumberFormat="1" applyFont="1" applyFill="1" applyBorder="1" applyAlignment="1">
      <alignment horizontal="center" vertical="top"/>
    </xf>
    <xf numFmtId="166" fontId="2" fillId="7" borderId="31" xfId="0" applyNumberFormat="1" applyFont="1" applyFill="1" applyBorder="1" applyAlignment="1">
      <alignment horizontal="center" vertical="top"/>
    </xf>
    <xf numFmtId="166" fontId="13" fillId="7" borderId="34" xfId="0" applyNumberFormat="1" applyFont="1" applyFill="1" applyBorder="1" applyAlignment="1">
      <alignment horizontal="center" vertical="top"/>
    </xf>
    <xf numFmtId="166" fontId="13" fillId="7" borderId="11" xfId="0" applyNumberFormat="1" applyFont="1" applyFill="1" applyBorder="1" applyAlignment="1">
      <alignment horizontal="center" vertical="top"/>
    </xf>
    <xf numFmtId="166" fontId="2" fillId="7" borderId="18" xfId="0" applyNumberFormat="1" applyFont="1" applyFill="1" applyBorder="1" applyAlignment="1">
      <alignment vertical="top"/>
    </xf>
    <xf numFmtId="0" fontId="2" fillId="10" borderId="23" xfId="0" applyFont="1" applyFill="1" applyBorder="1" applyAlignment="1">
      <alignment horizontal="center" vertical="center"/>
    </xf>
    <xf numFmtId="166" fontId="2" fillId="10" borderId="6" xfId="0" applyNumberFormat="1" applyFont="1" applyFill="1" applyBorder="1" applyAlignment="1">
      <alignment horizontal="center" vertical="center"/>
    </xf>
    <xf numFmtId="0" fontId="2" fillId="10" borderId="64" xfId="0" applyFont="1" applyFill="1" applyBorder="1" applyAlignment="1">
      <alignment horizontal="center" vertical="center" wrapText="1"/>
    </xf>
    <xf numFmtId="166" fontId="15" fillId="7" borderId="28" xfId="0" applyNumberFormat="1" applyFont="1" applyFill="1" applyBorder="1" applyAlignment="1">
      <alignment horizontal="center" vertical="center" wrapText="1"/>
    </xf>
    <xf numFmtId="3" fontId="2" fillId="3"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49" fontId="3" fillId="8"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49" fontId="3" fillId="9" borderId="5"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0" fontId="0" fillId="7" borderId="18" xfId="0" applyFont="1" applyFill="1" applyBorder="1" applyAlignment="1">
      <alignment horizontal="center" vertical="top" wrapText="1"/>
    </xf>
    <xf numFmtId="3" fontId="6" fillId="7" borderId="48" xfId="0" applyNumberFormat="1" applyFont="1" applyFill="1" applyBorder="1" applyAlignment="1">
      <alignment horizontal="center" vertical="center" wrapText="1"/>
    </xf>
    <xf numFmtId="3" fontId="6" fillId="7" borderId="18" xfId="0" applyNumberFormat="1" applyFont="1" applyFill="1" applyBorder="1" applyAlignment="1">
      <alignment horizontal="center" vertical="center" wrapText="1"/>
    </xf>
    <xf numFmtId="166" fontId="3" fillId="7" borderId="18" xfId="0" applyNumberFormat="1" applyFont="1" applyFill="1" applyBorder="1" applyAlignment="1">
      <alignment horizontal="center" vertical="top"/>
    </xf>
    <xf numFmtId="3" fontId="22" fillId="7" borderId="18" xfId="0" applyNumberFormat="1" applyFont="1" applyFill="1" applyBorder="1" applyAlignment="1">
      <alignment horizontal="center" vertical="top"/>
    </xf>
    <xf numFmtId="3" fontId="2" fillId="7" borderId="26" xfId="0" applyNumberFormat="1" applyFont="1" applyFill="1" applyBorder="1" applyAlignment="1">
      <alignment horizontal="center" vertical="top"/>
    </xf>
    <xf numFmtId="49" fontId="3" fillId="7" borderId="41" xfId="0" applyNumberFormat="1" applyFont="1" applyFill="1" applyBorder="1" applyAlignment="1">
      <alignment horizontal="center" vertical="top"/>
    </xf>
    <xf numFmtId="3" fontId="6" fillId="7" borderId="18" xfId="0" applyNumberFormat="1" applyFont="1" applyFill="1" applyBorder="1" applyAlignment="1">
      <alignment horizontal="center" vertical="top"/>
    </xf>
    <xf numFmtId="0" fontId="2" fillId="7" borderId="21" xfId="0" applyFont="1" applyFill="1" applyBorder="1" applyAlignment="1">
      <alignment horizontal="right" vertical="center"/>
    </xf>
    <xf numFmtId="0" fontId="24" fillId="7" borderId="27" xfId="0" applyFont="1" applyFill="1" applyBorder="1" applyAlignment="1">
      <alignment horizontal="right" vertical="center"/>
    </xf>
    <xf numFmtId="49" fontId="3" fillId="2" borderId="25" xfId="0" applyNumberFormat="1" applyFont="1" applyFill="1" applyBorder="1" applyAlignment="1">
      <alignment horizontal="center" vertical="top"/>
    </xf>
    <xf numFmtId="49" fontId="3" fillId="8" borderId="25" xfId="0" applyNumberFormat="1" applyFont="1" applyFill="1" applyBorder="1" applyAlignment="1">
      <alignment horizontal="center" vertical="top"/>
    </xf>
    <xf numFmtId="0" fontId="0" fillId="7" borderId="26" xfId="0" applyFont="1" applyFill="1" applyBorder="1" applyAlignment="1">
      <alignment horizontal="center" vertical="top"/>
    </xf>
    <xf numFmtId="166" fontId="3" fillId="7" borderId="44" xfId="0" applyNumberFormat="1" applyFont="1" applyFill="1" applyBorder="1" applyAlignment="1">
      <alignment horizontal="center" vertical="top"/>
    </xf>
    <xf numFmtId="166" fontId="8" fillId="7" borderId="5" xfId="0" applyNumberFormat="1" applyFont="1" applyFill="1" applyBorder="1" applyAlignment="1">
      <alignment vertical="top" wrapText="1"/>
    </xf>
    <xf numFmtId="49" fontId="3" fillId="7" borderId="18" xfId="0" applyNumberFormat="1" applyFont="1" applyFill="1" applyBorder="1" applyAlignment="1">
      <alignment horizontal="center" vertical="top"/>
    </xf>
    <xf numFmtId="166" fontId="2" fillId="3" borderId="34" xfId="0" applyNumberFormat="1" applyFont="1" applyFill="1" applyBorder="1" applyAlignment="1">
      <alignment horizontal="center" vertical="top"/>
    </xf>
    <xf numFmtId="166" fontId="18" fillId="7" borderId="47" xfId="0" applyNumberFormat="1" applyFont="1" applyFill="1" applyBorder="1" applyAlignment="1">
      <alignment horizontal="center" vertical="center" textRotation="90" wrapText="1"/>
    </xf>
    <xf numFmtId="166" fontId="18" fillId="7" borderId="19"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41" xfId="0" applyNumberFormat="1" applyFont="1" applyFill="1" applyBorder="1" applyAlignment="1">
      <alignment horizontal="center" vertical="top"/>
    </xf>
    <xf numFmtId="3" fontId="2" fillId="0" borderId="113" xfId="0" applyNumberFormat="1" applyFont="1" applyFill="1" applyBorder="1" applyAlignment="1">
      <alignment horizontal="center" vertical="top"/>
    </xf>
    <xf numFmtId="3" fontId="2" fillId="0" borderId="109" xfId="0" applyNumberFormat="1" applyFont="1" applyFill="1" applyBorder="1" applyAlignment="1">
      <alignment horizontal="center" vertical="top"/>
    </xf>
    <xf numFmtId="166" fontId="2" fillId="7" borderId="37" xfId="0" applyNumberFormat="1" applyFont="1" applyFill="1" applyBorder="1" applyAlignment="1">
      <alignment vertical="top" wrapText="1"/>
    </xf>
    <xf numFmtId="166" fontId="3" fillId="7" borderId="21" xfId="0" applyNumberFormat="1" applyFont="1" applyFill="1" applyBorder="1" applyAlignment="1">
      <alignment horizontal="center" vertical="top"/>
    </xf>
    <xf numFmtId="166" fontId="2" fillId="7" borderId="16" xfId="0" applyNumberFormat="1" applyFont="1" applyFill="1" applyBorder="1" applyAlignment="1">
      <alignment horizontal="left" vertical="top" wrapText="1"/>
    </xf>
    <xf numFmtId="166" fontId="2" fillId="7" borderId="22" xfId="0" applyNumberFormat="1" applyFont="1" applyFill="1" applyBorder="1" applyAlignment="1">
      <alignment horizontal="center" vertical="top"/>
    </xf>
    <xf numFmtId="166" fontId="2" fillId="7" borderId="67" xfId="0" applyNumberFormat="1" applyFont="1" applyFill="1" applyBorder="1" applyAlignment="1">
      <alignment horizontal="center" vertical="top"/>
    </xf>
    <xf numFmtId="166" fontId="2" fillId="7" borderId="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2" borderId="66"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0" fontId="2" fillId="7" borderId="0" xfId="0" applyFont="1" applyFill="1" applyBorder="1" applyAlignment="1">
      <alignment horizontal="center" vertical="center"/>
    </xf>
    <xf numFmtId="3" fontId="6" fillId="7" borderId="81" xfId="0" applyNumberFormat="1" applyFont="1" applyFill="1" applyBorder="1" applyAlignment="1">
      <alignment horizontal="center" vertical="top"/>
    </xf>
    <xf numFmtId="3" fontId="2" fillId="7" borderId="80" xfId="0" applyNumberFormat="1" applyFont="1" applyFill="1" applyBorder="1" applyAlignment="1">
      <alignment horizontal="center" vertical="top" wrapText="1"/>
    </xf>
    <xf numFmtId="166" fontId="1" fillId="7" borderId="20" xfId="0" applyNumberFormat="1" applyFont="1" applyFill="1" applyBorder="1" applyAlignment="1">
      <alignment horizontal="center" vertical="top" textRotation="90" wrapText="1"/>
    </xf>
    <xf numFmtId="166" fontId="3" fillId="8" borderId="52" xfId="0" applyNumberFormat="1" applyFont="1" applyFill="1" applyBorder="1" applyAlignment="1">
      <alignment horizontal="center" vertical="top"/>
    </xf>
    <xf numFmtId="3" fontId="2" fillId="0" borderId="51" xfId="0" applyNumberFormat="1" applyFont="1" applyFill="1" applyBorder="1" applyAlignment="1">
      <alignment horizontal="center" vertical="top"/>
    </xf>
    <xf numFmtId="3" fontId="2" fillId="7" borderId="104"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wrapText="1"/>
    </xf>
    <xf numFmtId="3" fontId="2" fillId="7" borderId="75" xfId="0" applyNumberFormat="1" applyFont="1" applyFill="1" applyBorder="1" applyAlignment="1">
      <alignment horizontal="center" vertical="top" wrapText="1"/>
    </xf>
    <xf numFmtId="3" fontId="22" fillId="7" borderId="59" xfId="0" applyNumberFormat="1" applyFont="1" applyFill="1" applyBorder="1" applyAlignment="1">
      <alignment horizontal="center" vertical="top"/>
    </xf>
    <xf numFmtId="3" fontId="2" fillId="7" borderId="0" xfId="0" applyNumberFormat="1" applyFont="1" applyFill="1" applyBorder="1" applyAlignment="1">
      <alignment horizontal="center" vertical="top" wrapText="1"/>
    </xf>
    <xf numFmtId="3" fontId="22" fillId="7" borderId="0" xfId="1" applyNumberFormat="1" applyFont="1" applyFill="1" applyBorder="1" applyAlignment="1">
      <alignment horizontal="center" vertical="top" wrapText="1"/>
    </xf>
    <xf numFmtId="166" fontId="2" fillId="0" borderId="48" xfId="0" applyNumberFormat="1" applyFont="1" applyFill="1" applyBorder="1" applyAlignment="1">
      <alignment horizontal="center" vertical="top"/>
    </xf>
    <xf numFmtId="166" fontId="2" fillId="7" borderId="32" xfId="0" applyNumberFormat="1" applyFont="1" applyFill="1" applyBorder="1" applyAlignment="1">
      <alignment horizontal="center" vertical="top"/>
    </xf>
    <xf numFmtId="3" fontId="2" fillId="0" borderId="59" xfId="0" applyNumberFormat="1" applyFont="1" applyFill="1" applyBorder="1" applyAlignment="1">
      <alignment horizontal="center" vertical="top"/>
    </xf>
    <xf numFmtId="166" fontId="2" fillId="0" borderId="51" xfId="0" applyNumberFormat="1" applyFont="1" applyFill="1" applyBorder="1" applyAlignment="1">
      <alignment horizontal="center" vertical="top"/>
    </xf>
    <xf numFmtId="166" fontId="2" fillId="0" borderId="75" xfId="0" applyNumberFormat="1" applyFont="1" applyFill="1" applyBorder="1" applyAlignment="1">
      <alignment horizontal="center" vertical="top"/>
    </xf>
    <xf numFmtId="49" fontId="2" fillId="0" borderId="94" xfId="0" applyNumberFormat="1" applyFont="1" applyFill="1" applyBorder="1" applyAlignment="1">
      <alignment horizontal="center" vertical="top"/>
    </xf>
    <xf numFmtId="166" fontId="6" fillId="7" borderId="32" xfId="0" applyNumberFormat="1" applyFont="1" applyFill="1" applyBorder="1" applyAlignment="1">
      <alignment horizontal="center" vertical="top" wrapText="1"/>
    </xf>
    <xf numFmtId="0" fontId="28" fillId="0" borderId="0" xfId="0" applyFont="1" applyAlignment="1">
      <alignment horizontal="left" vertical="top" wrapText="1"/>
    </xf>
    <xf numFmtId="0" fontId="0" fillId="0" borderId="0" xfId="0" applyAlignment="1">
      <alignment horizontal="left" vertical="top"/>
    </xf>
    <xf numFmtId="0" fontId="3" fillId="0" borderId="0" xfId="0" applyFont="1" applyBorder="1" applyAlignment="1">
      <alignment horizontal="right" vertical="top"/>
    </xf>
    <xf numFmtId="3" fontId="22" fillId="0" borderId="26" xfId="0" applyNumberFormat="1" applyFont="1" applyBorder="1" applyAlignment="1">
      <alignment vertical="top"/>
    </xf>
    <xf numFmtId="0" fontId="2" fillId="0" borderId="63" xfId="0" applyFont="1" applyBorder="1" applyAlignment="1">
      <alignment horizontal="center" vertical="center" textRotation="90" wrapText="1"/>
    </xf>
    <xf numFmtId="3" fontId="22" fillId="0" borderId="31" xfId="0" applyNumberFormat="1" applyFont="1" applyBorder="1" applyAlignment="1">
      <alignment vertical="top"/>
    </xf>
    <xf numFmtId="49" fontId="2" fillId="7" borderId="96" xfId="0" applyNumberFormat="1" applyFont="1" applyFill="1" applyBorder="1" applyAlignment="1">
      <alignment horizontal="center" vertical="top"/>
    </xf>
    <xf numFmtId="3" fontId="6" fillId="7" borderId="46" xfId="0" applyNumberFormat="1" applyFont="1" applyFill="1" applyBorder="1" applyAlignment="1">
      <alignment horizontal="center" vertical="top" wrapText="1"/>
    </xf>
    <xf numFmtId="3" fontId="6" fillId="7" borderId="35" xfId="0" applyNumberFormat="1" applyFont="1" applyFill="1" applyBorder="1" applyAlignment="1">
      <alignment horizontal="center" vertical="center" wrapText="1"/>
    </xf>
    <xf numFmtId="3" fontId="2" fillId="0" borderId="26" xfId="0" applyNumberFormat="1" applyFont="1" applyFill="1" applyBorder="1" applyAlignment="1">
      <alignment horizontal="center" vertical="top"/>
    </xf>
    <xf numFmtId="3" fontId="22" fillId="7" borderId="18" xfId="1" applyNumberFormat="1" applyFont="1" applyFill="1" applyBorder="1" applyAlignment="1">
      <alignment horizontal="center" vertical="top" wrapText="1"/>
    </xf>
    <xf numFmtId="165" fontId="2" fillId="7" borderId="11" xfId="0" applyNumberFormat="1" applyFont="1" applyFill="1" applyBorder="1" applyAlignment="1">
      <alignment horizontal="center" vertical="top"/>
    </xf>
    <xf numFmtId="166" fontId="3" fillId="8" borderId="30" xfId="0" applyNumberFormat="1" applyFont="1" applyFill="1" applyBorder="1" applyAlignment="1">
      <alignment horizontal="center" vertical="top"/>
    </xf>
    <xf numFmtId="165" fontId="2" fillId="7" borderId="34" xfId="0" applyNumberFormat="1" applyFont="1" applyFill="1" applyBorder="1" applyAlignment="1">
      <alignment horizontal="center" vertical="top"/>
    </xf>
    <xf numFmtId="166" fontId="2" fillId="7" borderId="64" xfId="1" applyNumberFormat="1" applyFont="1" applyFill="1" applyBorder="1" applyAlignment="1">
      <alignment horizontal="center" vertical="top"/>
    </xf>
    <xf numFmtId="0" fontId="2" fillId="7" borderId="47" xfId="0" applyFont="1" applyFill="1" applyBorder="1" applyAlignment="1">
      <alignment horizontal="left" vertical="top" wrapText="1"/>
    </xf>
    <xf numFmtId="166" fontId="18" fillId="7" borderId="19" xfId="0" applyNumberFormat="1" applyFont="1" applyFill="1" applyBorder="1" applyAlignment="1">
      <alignment vertical="top" wrapText="1"/>
    </xf>
    <xf numFmtId="166" fontId="2" fillId="7" borderId="40" xfId="0" applyNumberFormat="1" applyFont="1" applyFill="1" applyBorder="1" applyAlignment="1">
      <alignment horizontal="left" vertical="top" wrapText="1"/>
    </xf>
    <xf numFmtId="165" fontId="2" fillId="7" borderId="43" xfId="0" applyNumberFormat="1" applyFont="1" applyFill="1" applyBorder="1" applyAlignment="1">
      <alignment horizontal="center" vertical="top"/>
    </xf>
    <xf numFmtId="3" fontId="2" fillId="7" borderId="113" xfId="0" applyNumberFormat="1" applyFont="1" applyFill="1" applyBorder="1" applyAlignment="1">
      <alignment horizontal="center" vertical="top"/>
    </xf>
    <xf numFmtId="0" fontId="2" fillId="7" borderId="46" xfId="0" applyFont="1" applyFill="1" applyBorder="1" applyAlignment="1">
      <alignment horizontal="right" vertical="center"/>
    </xf>
    <xf numFmtId="0" fontId="24" fillId="7" borderId="35" xfId="0" applyFont="1" applyFill="1" applyBorder="1" applyAlignment="1">
      <alignment horizontal="right" vertical="center"/>
    </xf>
    <xf numFmtId="3" fontId="6" fillId="7" borderId="48" xfId="0" applyNumberFormat="1" applyFont="1" applyFill="1" applyBorder="1" applyAlignment="1">
      <alignment horizontal="center" vertical="top"/>
    </xf>
    <xf numFmtId="166" fontId="3" fillId="2" borderId="72" xfId="0" applyNumberFormat="1" applyFont="1" applyFill="1" applyBorder="1" applyAlignment="1">
      <alignment horizontal="center" vertical="top"/>
    </xf>
    <xf numFmtId="166" fontId="2" fillId="7" borderId="40" xfId="0" applyNumberFormat="1" applyFont="1" applyFill="1" applyBorder="1" applyAlignment="1">
      <alignment horizontal="center" vertical="top"/>
    </xf>
    <xf numFmtId="166" fontId="3" fillId="8" borderId="43" xfId="0" applyNumberFormat="1" applyFont="1" applyFill="1" applyBorder="1" applyAlignment="1">
      <alignment horizontal="center" vertical="top"/>
    </xf>
    <xf numFmtId="166" fontId="3" fillId="5" borderId="55" xfId="0" applyNumberFormat="1" applyFont="1" applyFill="1" applyBorder="1" applyAlignment="1">
      <alignment horizontal="center" vertical="top"/>
    </xf>
    <xf numFmtId="166" fontId="3" fillId="5" borderId="4" xfId="0" applyNumberFormat="1" applyFont="1" applyFill="1" applyBorder="1" applyAlignment="1">
      <alignment horizontal="center" vertical="top"/>
    </xf>
    <xf numFmtId="166" fontId="6" fillId="7" borderId="31" xfId="0" applyNumberFormat="1" applyFont="1" applyFill="1" applyBorder="1" applyAlignment="1">
      <alignment horizontal="center" vertical="top" wrapText="1"/>
    </xf>
    <xf numFmtId="166" fontId="3" fillId="8" borderId="1" xfId="0" applyNumberFormat="1" applyFont="1" applyFill="1" applyBorder="1" applyAlignment="1">
      <alignment horizontal="center" vertical="top" wrapText="1"/>
    </xf>
    <xf numFmtId="0" fontId="2" fillId="0" borderId="0" xfId="0" applyFont="1" applyFill="1" applyAlignment="1">
      <alignment horizontal="center" vertical="top"/>
    </xf>
    <xf numFmtId="3" fontId="2" fillId="0" borderId="0" xfId="0" applyNumberFormat="1" applyFont="1" applyFill="1" applyAlignment="1">
      <alignment vertical="top"/>
    </xf>
    <xf numFmtId="166" fontId="2" fillId="7" borderId="42"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3" fontId="2" fillId="7" borderId="80" xfId="0" applyNumberFormat="1" applyFont="1" applyFill="1" applyBorder="1" applyAlignment="1">
      <alignment horizontal="center" vertical="top"/>
    </xf>
    <xf numFmtId="0" fontId="2" fillId="0" borderId="0" xfId="0" applyFont="1" applyFill="1" applyBorder="1" applyAlignment="1">
      <alignment vertical="top"/>
    </xf>
    <xf numFmtId="0" fontId="24" fillId="7" borderId="18" xfId="0" applyFont="1" applyFill="1" applyBorder="1" applyAlignment="1">
      <alignment horizontal="right" vertical="center"/>
    </xf>
    <xf numFmtId="166" fontId="13" fillId="7" borderId="43" xfId="0" applyNumberFormat="1" applyFont="1" applyFill="1" applyBorder="1" applyAlignment="1">
      <alignment horizontal="center" vertical="top"/>
    </xf>
    <xf numFmtId="166" fontId="13" fillId="7" borderId="20" xfId="0" applyNumberFormat="1" applyFont="1" applyFill="1" applyBorder="1" applyAlignment="1">
      <alignment horizontal="center" vertical="top"/>
    </xf>
    <xf numFmtId="166" fontId="13" fillId="7" borderId="38" xfId="0" applyNumberFormat="1" applyFont="1" applyFill="1" applyBorder="1" applyAlignment="1">
      <alignment horizontal="center" vertical="top"/>
    </xf>
    <xf numFmtId="166" fontId="15" fillId="7" borderId="11" xfId="0" applyNumberFormat="1" applyFont="1" applyFill="1" applyBorder="1" applyAlignment="1">
      <alignment horizontal="center" vertical="center" wrapText="1"/>
    </xf>
    <xf numFmtId="166" fontId="13" fillId="7" borderId="49" xfId="0" applyNumberFormat="1" applyFont="1" applyFill="1" applyBorder="1" applyAlignment="1">
      <alignment horizontal="center" vertical="top"/>
    </xf>
    <xf numFmtId="166" fontId="2" fillId="7" borderId="75" xfId="0" applyNumberFormat="1" applyFont="1" applyFill="1" applyBorder="1" applyAlignment="1">
      <alignment horizontal="right" vertical="top" wrapText="1"/>
    </xf>
    <xf numFmtId="166" fontId="2" fillId="7" borderId="17" xfId="0" applyNumberFormat="1" applyFont="1" applyFill="1" applyBorder="1" applyAlignment="1">
      <alignment horizontal="center" vertical="top"/>
    </xf>
    <xf numFmtId="0" fontId="0" fillId="0" borderId="0" xfId="0" applyFill="1" applyAlignment="1">
      <alignment horizontal="left" vertical="top" wrapText="1"/>
    </xf>
    <xf numFmtId="3" fontId="2" fillId="0" borderId="0" xfId="0" applyNumberFormat="1" applyFont="1" applyFill="1" applyBorder="1" applyAlignment="1">
      <alignment vertical="top"/>
    </xf>
    <xf numFmtId="166" fontId="2" fillId="0" borderId="0" xfId="0" applyNumberFormat="1" applyFont="1" applyFill="1" applyAlignment="1">
      <alignment vertical="top"/>
    </xf>
    <xf numFmtId="49" fontId="3" fillId="7" borderId="11" xfId="0" applyNumberFormat="1" applyFont="1" applyFill="1" applyBorder="1" applyAlignment="1">
      <alignment horizontal="center" vertical="top"/>
    </xf>
    <xf numFmtId="166" fontId="2" fillId="2" borderId="71"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59"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2" borderId="32" xfId="0" applyNumberFormat="1" applyFont="1" applyFill="1" applyBorder="1" applyAlignment="1">
      <alignment horizontal="center" vertical="top" wrapText="1"/>
    </xf>
    <xf numFmtId="166" fontId="18" fillId="7" borderId="18" xfId="0" applyNumberFormat="1" applyFont="1" applyFill="1" applyBorder="1" applyAlignment="1">
      <alignment horizontal="center" vertical="center" wrapText="1"/>
    </xf>
    <xf numFmtId="3" fontId="3" fillId="0" borderId="68" xfId="0" applyNumberFormat="1" applyFont="1" applyBorder="1" applyAlignment="1">
      <alignment horizontal="center" vertical="center" wrapText="1"/>
    </xf>
    <xf numFmtId="166" fontId="3" fillId="5" borderId="68" xfId="0" applyNumberFormat="1" applyFont="1" applyFill="1" applyBorder="1" applyAlignment="1">
      <alignment horizontal="center" vertical="top" wrapText="1"/>
    </xf>
    <xf numFmtId="166" fontId="3" fillId="8" borderId="67" xfId="0" applyNumberFormat="1" applyFont="1" applyFill="1" applyBorder="1" applyAlignment="1">
      <alignment horizontal="center" vertical="top" wrapText="1"/>
    </xf>
    <xf numFmtId="166" fontId="2" fillId="0" borderId="67" xfId="0" applyNumberFormat="1" applyFont="1" applyBorder="1" applyAlignment="1">
      <alignment horizontal="center" vertical="top" wrapText="1"/>
    </xf>
    <xf numFmtId="3" fontId="2" fillId="7" borderId="21" xfId="0" applyNumberFormat="1" applyFont="1" applyFill="1" applyBorder="1" applyAlignment="1">
      <alignment horizontal="center" vertical="top"/>
    </xf>
    <xf numFmtId="3" fontId="2" fillId="7" borderId="81" xfId="0" applyNumberFormat="1" applyFont="1" applyFill="1" applyBorder="1" applyAlignment="1">
      <alignment horizontal="center" vertical="top"/>
    </xf>
    <xf numFmtId="0" fontId="2" fillId="0" borderId="75" xfId="0" applyFont="1" applyBorder="1" applyAlignment="1">
      <alignment vertical="top"/>
    </xf>
    <xf numFmtId="3" fontId="2" fillId="3" borderId="59" xfId="0" applyNumberFormat="1" applyFont="1" applyFill="1" applyBorder="1" applyAlignment="1">
      <alignment horizontal="center" vertical="top" wrapText="1"/>
    </xf>
    <xf numFmtId="166" fontId="2" fillId="0" borderId="73" xfId="0" applyNumberFormat="1" applyFont="1" applyBorder="1" applyAlignment="1">
      <alignment vertical="top"/>
    </xf>
    <xf numFmtId="3" fontId="2" fillId="7" borderId="51" xfId="0" applyNumberFormat="1" applyFont="1" applyFill="1" applyBorder="1" applyAlignment="1">
      <alignment horizontal="center" vertical="top"/>
    </xf>
    <xf numFmtId="3" fontId="6" fillId="7" borderId="75" xfId="0" applyNumberFormat="1" applyFont="1" applyFill="1" applyBorder="1" applyAlignment="1">
      <alignment horizontal="center" vertical="top" wrapText="1"/>
    </xf>
    <xf numFmtId="166" fontId="2" fillId="8" borderId="32" xfId="0" applyNumberFormat="1" applyFont="1" applyFill="1" applyBorder="1" applyAlignment="1">
      <alignment horizontal="center" vertical="top"/>
    </xf>
    <xf numFmtId="166" fontId="2" fillId="0" borderId="64" xfId="0" applyNumberFormat="1" applyFont="1" applyFill="1" applyBorder="1" applyAlignment="1">
      <alignment horizontal="center" vertical="top" wrapText="1"/>
    </xf>
    <xf numFmtId="166" fontId="2" fillId="0" borderId="64" xfId="0" applyNumberFormat="1" applyFont="1" applyFill="1" applyBorder="1" applyAlignment="1">
      <alignment horizontal="center" vertical="top"/>
    </xf>
    <xf numFmtId="166" fontId="2" fillId="0" borderId="64" xfId="1" applyNumberFormat="1" applyFont="1" applyFill="1" applyBorder="1" applyAlignment="1">
      <alignment horizontal="center" vertical="top" wrapText="1"/>
    </xf>
    <xf numFmtId="0" fontId="2" fillId="0" borderId="17" xfId="0" applyFont="1" applyBorder="1" applyAlignment="1">
      <alignment vertical="top"/>
    </xf>
    <xf numFmtId="3" fontId="22" fillId="7" borderId="21" xfId="0" applyNumberFormat="1" applyFont="1" applyFill="1" applyBorder="1" applyAlignment="1">
      <alignment horizontal="center" vertical="top"/>
    </xf>
    <xf numFmtId="3" fontId="2" fillId="3" borderId="21" xfId="0" applyNumberFormat="1" applyFont="1" applyFill="1" applyBorder="1" applyAlignment="1">
      <alignment horizontal="center" vertical="top" wrapText="1"/>
    </xf>
    <xf numFmtId="0" fontId="29" fillId="0" borderId="10" xfId="0" applyFont="1" applyBorder="1" applyAlignment="1">
      <alignment horizontal="center" vertical="center" wrapText="1"/>
    </xf>
    <xf numFmtId="166" fontId="13" fillId="7" borderId="8" xfId="0" applyNumberFormat="1" applyFont="1" applyFill="1" applyBorder="1" applyAlignment="1">
      <alignment horizontal="center" vertical="top"/>
    </xf>
    <xf numFmtId="0" fontId="2" fillId="7" borderId="34" xfId="0" applyFont="1" applyFill="1" applyBorder="1" applyAlignment="1">
      <alignment horizontal="center" vertical="center"/>
    </xf>
    <xf numFmtId="166" fontId="13" fillId="7" borderId="23" xfId="0" applyNumberFormat="1" applyFont="1" applyFill="1" applyBorder="1" applyAlignment="1">
      <alignment horizontal="center" vertical="top"/>
    </xf>
    <xf numFmtId="3" fontId="2" fillId="0" borderId="48" xfId="0" applyNumberFormat="1" applyFont="1" applyFill="1" applyBorder="1" applyAlignment="1">
      <alignment horizontal="center" vertical="top"/>
    </xf>
    <xf numFmtId="166" fontId="2" fillId="0" borderId="15" xfId="0" applyNumberFormat="1" applyFont="1" applyBorder="1" applyAlignment="1">
      <alignment vertical="top"/>
    </xf>
    <xf numFmtId="166" fontId="2" fillId="0" borderId="86" xfId="0" applyNumberFormat="1" applyFont="1" applyFill="1" applyBorder="1" applyAlignment="1">
      <alignment horizontal="center" vertical="top"/>
    </xf>
    <xf numFmtId="166" fontId="2" fillId="7" borderId="52" xfId="0" applyNumberFormat="1" applyFont="1" applyFill="1" applyBorder="1" applyAlignment="1">
      <alignment vertical="top" wrapText="1"/>
    </xf>
    <xf numFmtId="3" fontId="6" fillId="7" borderId="96" xfId="0" applyNumberFormat="1" applyFont="1" applyFill="1" applyBorder="1" applyAlignment="1">
      <alignment horizontal="center" vertical="top"/>
    </xf>
    <xf numFmtId="3" fontId="6" fillId="7" borderId="27" xfId="0" applyNumberFormat="1" applyFont="1" applyFill="1" applyBorder="1" applyAlignment="1">
      <alignment horizontal="center" vertical="top" wrapText="1"/>
    </xf>
    <xf numFmtId="166" fontId="18" fillId="7" borderId="45" xfId="0" applyNumberFormat="1" applyFont="1" applyFill="1" applyBorder="1" applyAlignment="1">
      <alignment horizontal="center" vertical="center" textRotation="90" wrapText="1"/>
    </xf>
    <xf numFmtId="166" fontId="2" fillId="7" borderId="115" xfId="0" applyNumberFormat="1" applyFont="1" applyFill="1" applyBorder="1" applyAlignment="1">
      <alignment horizontal="center" vertical="top"/>
    </xf>
    <xf numFmtId="166" fontId="2" fillId="7" borderId="116" xfId="0" applyNumberFormat="1" applyFont="1" applyFill="1" applyBorder="1" applyAlignment="1">
      <alignment horizontal="center" vertical="top"/>
    </xf>
    <xf numFmtId="166" fontId="13" fillId="0" borderId="23" xfId="0" applyNumberFormat="1" applyFont="1" applyBorder="1" applyAlignment="1">
      <alignment horizontal="center" vertical="top"/>
    </xf>
    <xf numFmtId="166" fontId="2" fillId="0" borderId="26" xfId="0" applyNumberFormat="1" applyFont="1" applyFill="1" applyBorder="1" applyAlignment="1">
      <alignment horizontal="center" vertical="top"/>
    </xf>
    <xf numFmtId="49" fontId="2" fillId="0" borderId="86" xfId="0" applyNumberFormat="1" applyFont="1" applyFill="1" applyBorder="1" applyAlignment="1">
      <alignment horizontal="center" vertical="top"/>
    </xf>
    <xf numFmtId="166" fontId="2" fillId="7" borderId="23" xfId="0" applyNumberFormat="1" applyFont="1" applyFill="1" applyBorder="1" applyAlignment="1">
      <alignment horizontal="center" vertical="center"/>
    </xf>
    <xf numFmtId="166" fontId="2" fillId="7" borderId="28" xfId="0" applyNumberFormat="1" applyFont="1" applyFill="1" applyBorder="1" applyAlignment="1">
      <alignment horizontal="center" vertical="top" wrapText="1"/>
    </xf>
    <xf numFmtId="166" fontId="18" fillId="7" borderId="11" xfId="0" applyNumberFormat="1" applyFont="1" applyFill="1" applyBorder="1" applyAlignment="1">
      <alignment horizontal="center" vertical="top"/>
    </xf>
    <xf numFmtId="166" fontId="3" fillId="5" borderId="64" xfId="0" applyNumberFormat="1" applyFont="1" applyFill="1" applyBorder="1" applyAlignment="1">
      <alignment horizontal="center" vertical="top"/>
    </xf>
    <xf numFmtId="166" fontId="3" fillId="5" borderId="28" xfId="0" applyNumberFormat="1" applyFont="1" applyFill="1" applyBorder="1" applyAlignment="1">
      <alignment horizontal="center" vertical="top"/>
    </xf>
    <xf numFmtId="166" fontId="3" fillId="5" borderId="53" xfId="0" applyNumberFormat="1" applyFont="1" applyFill="1" applyBorder="1" applyAlignment="1">
      <alignment horizontal="center" vertical="top"/>
    </xf>
    <xf numFmtId="49" fontId="2" fillId="0" borderId="11" xfId="0" applyNumberFormat="1" applyFont="1" applyFill="1" applyBorder="1" applyAlignment="1">
      <alignment horizontal="center" vertical="top"/>
    </xf>
    <xf numFmtId="3" fontId="2" fillId="0" borderId="0" xfId="0" applyNumberFormat="1" applyFont="1" applyFill="1" applyBorder="1" applyAlignment="1">
      <alignment horizontal="left" vertical="top" wrapText="1"/>
    </xf>
    <xf numFmtId="3" fontId="2" fillId="7" borderId="81"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3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2" fillId="7" borderId="117" xfId="0" applyNumberFormat="1" applyFont="1" applyFill="1" applyBorder="1" applyAlignment="1">
      <alignment horizontal="center" vertical="top"/>
    </xf>
    <xf numFmtId="166" fontId="2" fillId="7" borderId="102" xfId="0" applyNumberFormat="1" applyFont="1" applyFill="1" applyBorder="1" applyAlignment="1">
      <alignment horizontal="center" vertical="top"/>
    </xf>
    <xf numFmtId="166" fontId="2" fillId="7" borderId="118" xfId="0" applyNumberFormat="1" applyFont="1" applyFill="1" applyBorder="1" applyAlignment="1">
      <alignment horizontal="center" vertical="top"/>
    </xf>
    <xf numFmtId="3" fontId="2" fillId="7" borderId="11" xfId="0" applyNumberFormat="1" applyFont="1" applyFill="1" applyBorder="1" applyAlignment="1">
      <alignment horizontal="center" vertical="top" wrapText="1"/>
    </xf>
    <xf numFmtId="3" fontId="30" fillId="7" borderId="46" xfId="0" applyNumberFormat="1" applyFont="1" applyFill="1" applyBorder="1" applyAlignment="1">
      <alignment horizontal="center" vertical="center" wrapText="1"/>
    </xf>
    <xf numFmtId="166" fontId="2" fillId="7" borderId="53" xfId="0" applyNumberFormat="1" applyFont="1" applyFill="1" applyBorder="1" applyAlignment="1">
      <alignment horizontal="center" vertical="top" wrapText="1"/>
    </xf>
    <xf numFmtId="166" fontId="2" fillId="7" borderId="7" xfId="0" applyNumberFormat="1"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166" fontId="2" fillId="7" borderId="28" xfId="0" applyNumberFormat="1" applyFont="1" applyFill="1" applyBorder="1" applyAlignment="1">
      <alignment horizontal="center" vertical="center" textRotation="90" wrapText="1"/>
    </xf>
    <xf numFmtId="0" fontId="32" fillId="7" borderId="7" xfId="0" applyFont="1" applyFill="1" applyBorder="1" applyAlignment="1">
      <alignment vertical="top" wrapText="1"/>
    </xf>
    <xf numFmtId="166" fontId="2" fillId="7" borderId="95" xfId="0" applyNumberFormat="1" applyFont="1" applyFill="1" applyBorder="1" applyAlignment="1">
      <alignment horizontal="center" vertical="top" wrapText="1"/>
    </xf>
    <xf numFmtId="0" fontId="8" fillId="7" borderId="18" xfId="0" applyFont="1" applyFill="1" applyBorder="1" applyAlignment="1">
      <alignment horizontal="center" wrapText="1"/>
    </xf>
    <xf numFmtId="0" fontId="0" fillId="7" borderId="52" xfId="0" applyFill="1" applyBorder="1" applyAlignment="1">
      <alignment vertical="top" wrapText="1"/>
    </xf>
    <xf numFmtId="49" fontId="2" fillId="7" borderId="59" xfId="0" applyNumberFormat="1" applyFont="1" applyFill="1" applyBorder="1" applyAlignment="1">
      <alignment horizontal="center" vertical="top"/>
    </xf>
    <xf numFmtId="49" fontId="2" fillId="7" borderId="80" xfId="0" applyNumberFormat="1" applyFont="1" applyFill="1" applyBorder="1" applyAlignment="1">
      <alignment horizontal="center" vertical="top"/>
    </xf>
    <xf numFmtId="49" fontId="2" fillId="7" borderId="104" xfId="0" applyNumberFormat="1" applyFont="1" applyFill="1" applyBorder="1" applyAlignment="1">
      <alignment horizontal="center" vertical="top"/>
    </xf>
    <xf numFmtId="0" fontId="2" fillId="7" borderId="99" xfId="0" applyFont="1" applyFill="1" applyBorder="1" applyAlignment="1">
      <alignment horizontal="center" vertical="top"/>
    </xf>
    <xf numFmtId="166" fontId="18" fillId="7" borderId="93"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3" fontId="2" fillId="7" borderId="18"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11" fillId="7" borderId="20" xfId="0" applyNumberFormat="1" applyFont="1" applyFill="1" applyBorder="1" applyAlignment="1">
      <alignment horizontal="center" vertical="center" wrapText="1"/>
    </xf>
    <xf numFmtId="166" fontId="3" fillId="9" borderId="7"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3" fillId="7" borderId="48"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2" fillId="7" borderId="46" xfId="0" applyNumberFormat="1" applyFont="1" applyFill="1" applyBorder="1" applyAlignment="1">
      <alignment vertical="top" wrapText="1"/>
    </xf>
    <xf numFmtId="166" fontId="8" fillId="7" borderId="11" xfId="0" applyNumberFormat="1" applyFont="1" applyFill="1" applyBorder="1" applyAlignment="1">
      <alignment horizontal="center" vertical="center" textRotation="90" wrapText="1"/>
    </xf>
    <xf numFmtId="3" fontId="2" fillId="7" borderId="59"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1" xfId="0" applyNumberFormat="1" applyFont="1" applyFill="1" applyBorder="1" applyAlignment="1">
      <alignment horizontal="center" vertical="top" wrapText="1"/>
    </xf>
    <xf numFmtId="0" fontId="26" fillId="7" borderId="77" xfId="0" applyFont="1" applyFill="1" applyBorder="1" applyAlignment="1">
      <alignment vertical="top" wrapText="1"/>
    </xf>
    <xf numFmtId="3" fontId="2" fillId="7" borderId="113" xfId="0" applyNumberFormat="1" applyFont="1" applyFill="1" applyBorder="1" applyAlignment="1">
      <alignment horizontal="center" vertical="center"/>
    </xf>
    <xf numFmtId="3" fontId="2" fillId="7" borderId="78" xfId="0" applyNumberFormat="1" applyFont="1" applyFill="1" applyBorder="1" applyAlignment="1">
      <alignment horizontal="center" vertical="center"/>
    </xf>
    <xf numFmtId="3" fontId="2" fillId="7" borderId="109" xfId="0" applyNumberFormat="1" applyFont="1" applyFill="1" applyBorder="1" applyAlignment="1">
      <alignment vertical="top"/>
    </xf>
    <xf numFmtId="166" fontId="2" fillId="7" borderId="23" xfId="0" applyNumberFormat="1" applyFont="1" applyFill="1" applyBorder="1" applyAlignment="1">
      <alignment horizontal="center" vertical="top"/>
    </xf>
    <xf numFmtId="3" fontId="2" fillId="7" borderId="28" xfId="0" applyNumberFormat="1" applyFont="1" applyFill="1" applyBorder="1" applyAlignment="1">
      <alignment horizontal="center" vertical="center"/>
    </xf>
    <xf numFmtId="3" fontId="2" fillId="7" borderId="89" xfId="0" applyNumberFormat="1" applyFont="1" applyFill="1" applyBorder="1" applyAlignment="1">
      <alignment horizontal="center" vertical="center"/>
    </xf>
    <xf numFmtId="3" fontId="2" fillId="7" borderId="27" xfId="0" applyNumberFormat="1" applyFont="1" applyFill="1" applyBorder="1" applyAlignment="1">
      <alignment vertical="top"/>
    </xf>
    <xf numFmtId="3" fontId="2" fillId="7" borderId="97" xfId="0" applyNumberFormat="1" applyFont="1" applyFill="1" applyBorder="1" applyAlignment="1">
      <alignment horizontal="center" vertical="top"/>
    </xf>
    <xf numFmtId="166" fontId="18" fillId="7" borderId="95" xfId="0" applyNumberFormat="1" applyFont="1" applyFill="1" applyBorder="1" applyAlignment="1">
      <alignment horizontal="center" vertical="top"/>
    </xf>
    <xf numFmtId="166" fontId="18" fillId="7" borderId="79" xfId="0" applyNumberFormat="1" applyFont="1" applyFill="1" applyBorder="1" applyAlignment="1">
      <alignment horizontal="center" vertical="top"/>
    </xf>
    <xf numFmtId="0" fontId="2" fillId="7" borderId="20" xfId="0" applyFont="1" applyFill="1" applyBorder="1" applyAlignment="1">
      <alignment horizontal="right" vertical="top"/>
    </xf>
    <xf numFmtId="166" fontId="2" fillId="7" borderId="0" xfId="0" applyNumberFormat="1" applyFont="1" applyFill="1" applyBorder="1" applyAlignment="1">
      <alignment vertical="top" wrapText="1"/>
    </xf>
    <xf numFmtId="3" fontId="6" fillId="0" borderId="96" xfId="0" applyNumberFormat="1" applyFont="1" applyFill="1" applyBorder="1" applyAlignment="1">
      <alignment horizontal="center" vertical="top"/>
    </xf>
    <xf numFmtId="3" fontId="6" fillId="0" borderId="81" xfId="0" applyNumberFormat="1" applyFont="1" applyFill="1" applyBorder="1" applyAlignment="1">
      <alignment horizontal="center" vertical="top"/>
    </xf>
    <xf numFmtId="166" fontId="2" fillId="7" borderId="117" xfId="0" applyNumberFormat="1" applyFont="1" applyFill="1" applyBorder="1" applyAlignment="1">
      <alignment vertical="top" wrapText="1"/>
    </xf>
    <xf numFmtId="0" fontId="2" fillId="0" borderId="80" xfId="0" applyFont="1" applyBorder="1" applyAlignment="1">
      <alignment vertical="top"/>
    </xf>
    <xf numFmtId="3" fontId="6" fillId="7" borderId="92" xfId="0" applyNumberFormat="1" applyFont="1" applyFill="1" applyBorder="1" applyAlignment="1">
      <alignment horizontal="center" vertical="top"/>
    </xf>
    <xf numFmtId="3" fontId="6" fillId="7" borderId="86" xfId="0" applyNumberFormat="1" applyFont="1" applyFill="1" applyBorder="1" applyAlignment="1">
      <alignment horizontal="center" vertical="top"/>
    </xf>
    <xf numFmtId="166" fontId="8" fillId="7" borderId="47" xfId="0" applyNumberFormat="1" applyFont="1" applyFill="1" applyBorder="1" applyAlignment="1">
      <alignment horizontal="center" vertical="center" textRotation="90" wrapText="1"/>
    </xf>
    <xf numFmtId="166" fontId="2" fillId="7" borderId="62"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8"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166" fontId="2" fillId="7" borderId="48"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2" fillId="7" borderId="36" xfId="0" applyNumberFormat="1" applyFont="1" applyFill="1" applyBorder="1" applyAlignment="1">
      <alignment horizontal="left" vertical="top" wrapText="1"/>
    </xf>
    <xf numFmtId="166" fontId="3" fillId="8"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2" fillId="0" borderId="18" xfId="0" applyNumberFormat="1" applyFont="1" applyBorder="1" applyAlignment="1">
      <alignment horizontal="center" vertical="top" wrapText="1"/>
    </xf>
    <xf numFmtId="3" fontId="2" fillId="7" borderId="11" xfId="0" applyNumberFormat="1" applyFont="1" applyFill="1" applyBorder="1" applyAlignment="1">
      <alignment horizontal="center" vertical="top"/>
    </xf>
    <xf numFmtId="166" fontId="8" fillId="7" borderId="27" xfId="0" applyNumberFormat="1" applyFont="1" applyFill="1" applyBorder="1" applyAlignment="1">
      <alignment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92" xfId="0" applyNumberFormat="1" applyFont="1" applyFill="1" applyBorder="1" applyAlignment="1">
      <alignment horizontal="center" vertical="top"/>
    </xf>
    <xf numFmtId="166" fontId="2" fillId="7" borderId="86" xfId="0" applyNumberFormat="1" applyFont="1" applyFill="1" applyBorder="1" applyAlignment="1">
      <alignment horizontal="center" vertical="top"/>
    </xf>
    <xf numFmtId="3" fontId="2" fillId="0" borderId="89"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49" fontId="3" fillId="8" borderId="11" xfId="0" applyNumberFormat="1" applyFont="1" applyFill="1" applyBorder="1" applyAlignment="1">
      <alignment horizontal="center" vertical="top"/>
    </xf>
    <xf numFmtId="0" fontId="2" fillId="7" borderId="28" xfId="0" applyFont="1" applyFill="1" applyBorder="1" applyAlignment="1">
      <alignment horizontal="left" vertical="top" wrapText="1"/>
    </xf>
    <xf numFmtId="166" fontId="3" fillId="2"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0" fontId="2" fillId="7" borderId="6" xfId="0" applyFont="1" applyFill="1" applyBorder="1" applyAlignment="1">
      <alignment horizontal="center" vertical="top" wrapText="1"/>
    </xf>
    <xf numFmtId="0" fontId="2" fillId="7" borderId="23" xfId="0" applyFont="1" applyFill="1" applyBorder="1" applyAlignment="1">
      <alignment horizontal="center" vertical="top" wrapText="1"/>
    </xf>
    <xf numFmtId="49" fontId="2" fillId="7" borderId="18" xfId="0" applyNumberFormat="1" applyFont="1" applyFill="1" applyBorder="1" applyAlignment="1">
      <alignment horizontal="center" vertical="center" wrapText="1"/>
    </xf>
    <xf numFmtId="49" fontId="2" fillId="7" borderId="27" xfId="0" applyNumberFormat="1" applyFont="1" applyFill="1" applyBorder="1" applyAlignment="1">
      <alignment horizontal="center" vertical="center" wrapText="1"/>
    </xf>
    <xf numFmtId="166" fontId="2" fillId="7" borderId="103" xfId="0" applyNumberFormat="1" applyFont="1" applyFill="1" applyBorder="1" applyAlignment="1">
      <alignment horizontal="center" vertical="top" wrapText="1"/>
    </xf>
    <xf numFmtId="166" fontId="2" fillId="7" borderId="106" xfId="0" applyNumberFormat="1" applyFont="1" applyFill="1" applyBorder="1" applyAlignment="1">
      <alignment horizontal="center" vertical="top"/>
    </xf>
    <xf numFmtId="0" fontId="22" fillId="7" borderId="101" xfId="0" applyFont="1" applyFill="1" applyBorder="1" applyAlignment="1">
      <alignment vertical="top" wrapText="1"/>
    </xf>
    <xf numFmtId="0" fontId="2" fillId="7" borderId="85" xfId="0" applyFont="1" applyFill="1" applyBorder="1" applyAlignment="1">
      <alignment horizontal="left" vertical="top" wrapText="1"/>
    </xf>
    <xf numFmtId="166" fontId="2" fillId="7" borderId="28" xfId="0" applyNumberFormat="1" applyFont="1" applyFill="1" applyBorder="1" applyAlignment="1">
      <alignment vertical="top" wrapText="1"/>
    </xf>
    <xf numFmtId="166" fontId="2" fillId="2" borderId="70" xfId="0" applyNumberFormat="1" applyFont="1" applyFill="1" applyBorder="1" applyAlignment="1">
      <alignment horizontal="center" vertical="top" wrapText="1"/>
    </xf>
    <xf numFmtId="166" fontId="8" fillId="7" borderId="18"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27" xfId="0" applyNumberFormat="1" applyFont="1" applyFill="1" applyBorder="1" applyAlignment="1">
      <alignment horizontal="center" vertical="top" wrapText="1"/>
    </xf>
    <xf numFmtId="166" fontId="3" fillId="7" borderId="35" xfId="0" applyNumberFormat="1" applyFont="1" applyFill="1" applyBorder="1" applyAlignment="1">
      <alignment horizontal="center" vertical="top"/>
    </xf>
    <xf numFmtId="49" fontId="3" fillId="8" borderId="48" xfId="0" applyNumberFormat="1" applyFont="1" applyFill="1" applyBorder="1" applyAlignment="1">
      <alignment horizontal="center" vertical="top"/>
    </xf>
    <xf numFmtId="166" fontId="8" fillId="8" borderId="59" xfId="0" applyNumberFormat="1" applyFont="1" applyFill="1" applyBorder="1" applyAlignment="1">
      <alignment vertical="top" wrapText="1"/>
    </xf>
    <xf numFmtId="166" fontId="4" fillId="7" borderId="13" xfId="0" applyNumberFormat="1" applyFont="1" applyFill="1" applyBorder="1" applyAlignment="1">
      <alignment horizontal="center" vertical="top" wrapText="1"/>
    </xf>
    <xf numFmtId="166" fontId="3" fillId="8" borderId="6" xfId="0" applyNumberFormat="1" applyFont="1" applyFill="1" applyBorder="1" applyAlignment="1">
      <alignment horizontal="center" vertical="top"/>
    </xf>
    <xf numFmtId="166" fontId="3" fillId="8" borderId="34" xfId="0" applyNumberFormat="1" applyFont="1" applyFill="1" applyBorder="1" applyAlignment="1">
      <alignment horizontal="center" vertical="top"/>
    </xf>
    <xf numFmtId="166" fontId="3" fillId="7" borderId="14" xfId="0" applyNumberFormat="1" applyFont="1" applyFill="1" applyBorder="1" applyAlignment="1">
      <alignment horizontal="center" vertical="top"/>
    </xf>
    <xf numFmtId="166" fontId="2" fillId="3" borderId="73" xfId="0" applyNumberFormat="1" applyFont="1" applyFill="1" applyBorder="1" applyAlignment="1">
      <alignment horizontal="center" vertical="top"/>
    </xf>
    <xf numFmtId="166" fontId="2" fillId="7" borderId="60" xfId="0" applyNumberFormat="1" applyFont="1" applyFill="1" applyBorder="1" applyAlignment="1">
      <alignment horizontal="left" vertical="top" wrapText="1"/>
    </xf>
    <xf numFmtId="49" fontId="2" fillId="7" borderId="73" xfId="0" applyNumberFormat="1" applyFont="1" applyFill="1" applyBorder="1" applyAlignment="1">
      <alignment horizontal="center" vertical="top"/>
    </xf>
    <xf numFmtId="49" fontId="2" fillId="7" borderId="14" xfId="0" applyNumberFormat="1" applyFont="1" applyFill="1" applyBorder="1" applyAlignment="1">
      <alignment horizontal="center" vertical="top"/>
    </xf>
    <xf numFmtId="49" fontId="2" fillId="7" borderId="15" xfId="0" applyNumberFormat="1" applyFont="1" applyFill="1" applyBorder="1" applyAlignment="1">
      <alignment horizontal="center" vertical="top"/>
    </xf>
    <xf numFmtId="166" fontId="3" fillId="7" borderId="13" xfId="0" applyNumberFormat="1" applyFont="1" applyFill="1" applyBorder="1" applyAlignment="1">
      <alignment vertical="top" wrapText="1"/>
    </xf>
    <xf numFmtId="3" fontId="6" fillId="8" borderId="32" xfId="0" applyNumberFormat="1" applyFont="1" applyFill="1" applyBorder="1" applyAlignment="1">
      <alignment horizontal="center" vertical="top" wrapText="1"/>
    </xf>
    <xf numFmtId="3" fontId="6" fillId="8" borderId="33" xfId="0" applyNumberFormat="1" applyFont="1" applyFill="1" applyBorder="1" applyAlignment="1">
      <alignment horizontal="center" vertical="top" wrapText="1"/>
    </xf>
    <xf numFmtId="166" fontId="11" fillId="8" borderId="0" xfId="0" applyNumberFormat="1" applyFont="1" applyFill="1" applyBorder="1" applyAlignment="1">
      <alignment horizontal="center" vertical="center" textRotation="90" wrapText="1"/>
    </xf>
    <xf numFmtId="0" fontId="2" fillId="7" borderId="80" xfId="0" applyFont="1" applyFill="1" applyBorder="1" applyAlignment="1">
      <alignment vertical="top" wrapText="1"/>
    </xf>
    <xf numFmtId="49"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166" fontId="2" fillId="7" borderId="101" xfId="0" applyNumberFormat="1" applyFont="1" applyFill="1" applyBorder="1" applyAlignment="1">
      <alignment vertical="top" wrapText="1"/>
    </xf>
    <xf numFmtId="3" fontId="2" fillId="7" borderId="21" xfId="0" applyNumberFormat="1" applyFont="1" applyFill="1" applyBorder="1" applyAlignment="1">
      <alignment horizontal="center" vertical="top"/>
    </xf>
    <xf numFmtId="166" fontId="2" fillId="7" borderId="97"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xf>
    <xf numFmtId="49" fontId="2" fillId="7" borderId="106" xfId="0" applyNumberFormat="1" applyFont="1" applyFill="1" applyBorder="1" applyAlignment="1">
      <alignment horizontal="center" vertical="top"/>
    </xf>
    <xf numFmtId="49" fontId="2" fillId="0" borderId="111" xfId="0" applyNumberFormat="1" applyFont="1" applyFill="1" applyBorder="1" applyAlignment="1">
      <alignment horizontal="center" vertical="top"/>
    </xf>
    <xf numFmtId="49" fontId="2" fillId="0" borderId="97"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49" fontId="2" fillId="0" borderId="20" xfId="0" applyNumberFormat="1" applyFont="1" applyFill="1" applyBorder="1" applyAlignment="1">
      <alignment horizontal="center" vertical="top"/>
    </xf>
    <xf numFmtId="49" fontId="2" fillId="0" borderId="21" xfId="0" applyNumberFormat="1" applyFont="1" applyFill="1" applyBorder="1" applyAlignment="1">
      <alignment horizontal="center" vertical="top"/>
    </xf>
    <xf numFmtId="49" fontId="2" fillId="0" borderId="0" xfId="0" applyNumberFormat="1" applyFont="1" applyFill="1" applyBorder="1" applyAlignment="1">
      <alignment horizontal="center" vertical="top"/>
    </xf>
    <xf numFmtId="49" fontId="2" fillId="0" borderId="18" xfId="0" applyNumberFormat="1" applyFont="1" applyFill="1" applyBorder="1" applyAlignment="1">
      <alignment horizontal="center" vertical="top"/>
    </xf>
    <xf numFmtId="0" fontId="0" fillId="7" borderId="48" xfId="0" applyFill="1" applyBorder="1" applyAlignment="1">
      <alignment vertical="top" wrapText="1"/>
    </xf>
    <xf numFmtId="166" fontId="3" fillId="7" borderId="28"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wrapText="1"/>
    </xf>
    <xf numFmtId="166" fontId="3" fillId="7" borderId="59" xfId="0" applyNumberFormat="1" applyFont="1" applyFill="1" applyBorder="1" applyAlignment="1">
      <alignment horizontal="center" vertical="top" wrapText="1"/>
    </xf>
    <xf numFmtId="3" fontId="2" fillId="7" borderId="89" xfId="0" applyNumberFormat="1" applyFont="1" applyFill="1" applyBorder="1" applyAlignment="1">
      <alignment horizontal="center" vertical="top"/>
    </xf>
    <xf numFmtId="49" fontId="2" fillId="0" borderId="59"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166" fontId="2" fillId="7" borderId="47" xfId="0" applyNumberFormat="1" applyFont="1" applyFill="1" applyBorder="1" applyAlignment="1">
      <alignment vertical="top" wrapText="1"/>
    </xf>
    <xf numFmtId="166" fontId="2" fillId="7" borderId="36" xfId="0" applyNumberFormat="1" applyFont="1" applyFill="1" applyBorder="1" applyAlignment="1">
      <alignment horizontal="left" vertical="top" wrapText="1"/>
    </xf>
    <xf numFmtId="3" fontId="2" fillId="7" borderId="18" xfId="0" applyNumberFormat="1" applyFont="1" applyFill="1" applyBorder="1" applyAlignment="1">
      <alignment horizontal="center" vertical="top"/>
    </xf>
    <xf numFmtId="166" fontId="2" fillId="7" borderId="101" xfId="0" applyNumberFormat="1" applyFont="1" applyFill="1" applyBorder="1" applyAlignment="1">
      <alignment vertical="top" wrapText="1"/>
    </xf>
    <xf numFmtId="166" fontId="3" fillId="7" borderId="35" xfId="0" applyNumberFormat="1" applyFont="1" applyFill="1" applyBorder="1" applyAlignment="1">
      <alignment horizontal="center" vertical="top"/>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165" fontId="2" fillId="0" borderId="22" xfId="0" applyNumberFormat="1" applyFont="1" applyBorder="1" applyAlignment="1">
      <alignment horizontal="center"/>
    </xf>
    <xf numFmtId="3" fontId="2" fillId="7" borderId="106" xfId="0" applyNumberFormat="1" applyFont="1" applyFill="1" applyBorder="1" applyAlignment="1">
      <alignment horizontal="center" vertical="top" wrapText="1"/>
    </xf>
    <xf numFmtId="3" fontId="2" fillId="7" borderId="105" xfId="0" applyNumberFormat="1" applyFont="1" applyFill="1" applyBorder="1" applyAlignment="1">
      <alignment horizontal="center" vertical="top" wrapText="1"/>
    </xf>
    <xf numFmtId="166" fontId="2" fillId="7" borderId="23" xfId="0" applyNumberFormat="1" applyFont="1" applyFill="1" applyBorder="1" applyAlignment="1">
      <alignment horizontal="right" vertical="top" wrapText="1"/>
    </xf>
    <xf numFmtId="0" fontId="8" fillId="7" borderId="18" xfId="0" applyFont="1" applyFill="1" applyBorder="1" applyAlignment="1">
      <alignment horizontal="center" vertical="top" wrapText="1"/>
    </xf>
    <xf numFmtId="0" fontId="8" fillId="0" borderId="18" xfId="0" applyFont="1" applyBorder="1" applyAlignment="1">
      <alignment horizontal="center" vertical="top" wrapText="1"/>
    </xf>
    <xf numFmtId="166" fontId="2" fillId="7" borderId="88" xfId="0" applyNumberFormat="1" applyFont="1" applyFill="1" applyBorder="1" applyAlignment="1">
      <alignment horizontal="left" vertical="top" wrapText="1"/>
    </xf>
    <xf numFmtId="3" fontId="6" fillId="7" borderId="90" xfId="0" applyNumberFormat="1" applyFont="1" applyFill="1" applyBorder="1" applyAlignment="1">
      <alignment horizontal="center" vertical="center" wrapText="1"/>
    </xf>
    <xf numFmtId="3" fontId="6" fillId="7" borderId="97" xfId="0" applyNumberFormat="1" applyFont="1" applyFill="1" applyBorder="1" applyAlignment="1">
      <alignment horizontal="center" vertical="center" wrapText="1"/>
    </xf>
    <xf numFmtId="3" fontId="2" fillId="7" borderId="106" xfId="0" applyNumberFormat="1" applyFont="1" applyFill="1" applyBorder="1" applyAlignment="1">
      <alignment horizontal="center" vertical="top"/>
    </xf>
    <xf numFmtId="166" fontId="18" fillId="7" borderId="43" xfId="0" applyNumberFormat="1" applyFont="1" applyFill="1" applyBorder="1" applyAlignment="1">
      <alignment horizontal="center" vertical="top"/>
    </xf>
    <xf numFmtId="166" fontId="2" fillId="0" borderId="22" xfId="0" applyNumberFormat="1" applyFont="1" applyBorder="1" applyAlignment="1">
      <alignment horizontal="center" vertical="top" wrapText="1"/>
    </xf>
    <xf numFmtId="166" fontId="3" fillId="8" borderId="22" xfId="0" applyNumberFormat="1" applyFont="1" applyFill="1" applyBorder="1" applyAlignment="1">
      <alignment horizontal="center" vertical="top" wrapText="1"/>
    </xf>
    <xf numFmtId="166" fontId="3" fillId="5" borderId="10"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2" fillId="7" borderId="8" xfId="0" applyNumberFormat="1" applyFont="1" applyFill="1" applyBorder="1" applyAlignment="1">
      <alignment horizontal="center" vertical="top" wrapText="1"/>
    </xf>
    <xf numFmtId="166" fontId="2" fillId="7" borderId="23" xfId="0" applyNumberFormat="1" applyFont="1" applyFill="1" applyBorder="1" applyAlignment="1">
      <alignment horizontal="center" vertical="top" wrapText="1"/>
    </xf>
    <xf numFmtId="166" fontId="2" fillId="7" borderId="8" xfId="0" applyNumberFormat="1" applyFont="1" applyFill="1" applyBorder="1" applyAlignment="1">
      <alignment horizontal="center" vertical="top"/>
    </xf>
    <xf numFmtId="166" fontId="2" fillId="7" borderId="23" xfId="0" applyNumberFormat="1" applyFont="1" applyFill="1" applyBorder="1" applyAlignment="1">
      <alignment horizontal="center" vertical="top"/>
    </xf>
    <xf numFmtId="0" fontId="2" fillId="7" borderId="8" xfId="0" applyFont="1" applyFill="1" applyBorder="1" applyAlignment="1">
      <alignment horizontal="center" vertical="top"/>
    </xf>
    <xf numFmtId="0" fontId="2" fillId="7" borderId="23" xfId="0" applyFont="1" applyFill="1" applyBorder="1" applyAlignment="1">
      <alignment horizontal="center" vertical="top"/>
    </xf>
    <xf numFmtId="3" fontId="18" fillId="7" borderId="35"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3" fontId="2" fillId="0" borderId="106" xfId="0" applyNumberFormat="1" applyFont="1" applyFill="1" applyBorder="1" applyAlignment="1">
      <alignment horizontal="center" vertical="top"/>
    </xf>
    <xf numFmtId="3" fontId="2" fillId="0" borderId="107" xfId="0" applyNumberFormat="1" applyFont="1" applyFill="1" applyBorder="1" applyAlignment="1">
      <alignment horizontal="center" vertical="top"/>
    </xf>
    <xf numFmtId="3" fontId="2" fillId="0" borderId="105"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166" fontId="8" fillId="7" borderId="18" xfId="0" applyNumberFormat="1" applyFont="1" applyFill="1" applyBorder="1" applyAlignment="1">
      <alignment vertical="top" wrapText="1"/>
    </xf>
    <xf numFmtId="166" fontId="3" fillId="7" borderId="35" xfId="0" applyNumberFormat="1" applyFont="1" applyFill="1" applyBorder="1" applyAlignment="1">
      <alignment horizontal="center" vertical="top"/>
    </xf>
    <xf numFmtId="49" fontId="2" fillId="7" borderId="89" xfId="0" applyNumberFormat="1" applyFont="1" applyFill="1" applyBorder="1" applyAlignment="1">
      <alignment horizontal="center" vertical="top"/>
    </xf>
    <xf numFmtId="3" fontId="2" fillId="0" borderId="0" xfId="0" applyNumberFormat="1" applyFont="1" applyAlignment="1">
      <alignment horizontal="left" vertical="top" wrapText="1"/>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0" fontId="2" fillId="7" borderId="101" xfId="0" applyFont="1" applyFill="1" applyBorder="1" applyAlignment="1">
      <alignment horizontal="left" vertical="top" wrapText="1"/>
    </xf>
    <xf numFmtId="166" fontId="3" fillId="9" borderId="34"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166" fontId="2" fillId="7" borderId="7" xfId="0" applyNumberFormat="1" applyFont="1" applyFill="1" applyBorder="1" applyAlignment="1">
      <alignment vertical="top" wrapText="1"/>
    </xf>
    <xf numFmtId="49" fontId="3" fillId="9" borderId="5"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3" fillId="9" borderId="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0" fontId="0" fillId="7" borderId="52" xfId="0" applyFill="1" applyBorder="1" applyAlignment="1">
      <alignment vertical="top" wrapText="1"/>
    </xf>
    <xf numFmtId="166" fontId="2" fillId="7" borderId="36" xfId="0" applyNumberFormat="1" applyFont="1" applyFill="1" applyBorder="1" applyAlignment="1">
      <alignment horizontal="left" vertical="top" wrapText="1"/>
    </xf>
    <xf numFmtId="3" fontId="2" fillId="7" borderId="18"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101" xfId="0" applyNumberFormat="1" applyFont="1" applyFill="1" applyBorder="1" applyAlignment="1">
      <alignment vertical="top" wrapText="1"/>
    </xf>
    <xf numFmtId="166" fontId="3" fillId="7" borderId="35"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3" fontId="2" fillId="7"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2" fillId="7" borderId="36" xfId="0" applyNumberFormat="1" applyFont="1" applyFill="1" applyBorder="1" applyAlignment="1">
      <alignment horizontal="left" vertical="top" wrapText="1"/>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9" borderId="7" xfId="0" applyNumberFormat="1" applyFont="1" applyFill="1" applyBorder="1" applyAlignment="1">
      <alignment horizontal="center" vertical="top"/>
    </xf>
    <xf numFmtId="166" fontId="2" fillId="7" borderId="28"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0" fontId="0" fillId="7" borderId="28" xfId="0" applyFill="1" applyBorder="1" applyAlignment="1">
      <alignment vertical="top" wrapText="1"/>
    </xf>
    <xf numFmtId="166" fontId="2" fillId="7" borderId="46"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166" fontId="2" fillId="7" borderId="48" xfId="0" applyNumberFormat="1" applyFont="1" applyFill="1" applyBorder="1" applyAlignment="1">
      <alignment vertical="top" wrapText="1"/>
    </xf>
    <xf numFmtId="166" fontId="2" fillId="7" borderId="7" xfId="0" applyNumberFormat="1" applyFont="1" applyFill="1" applyBorder="1" applyAlignment="1">
      <alignment horizontal="left" vertical="top" wrapText="1"/>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20" xfId="0" applyNumberFormat="1" applyFont="1" applyFill="1" applyBorder="1" applyAlignment="1">
      <alignment horizontal="left" vertical="top" wrapText="1"/>
    </xf>
    <xf numFmtId="166" fontId="3" fillId="2" borderId="48"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3" fillId="9" borderId="34" xfId="0" applyNumberFormat="1" applyFont="1" applyFill="1" applyBorder="1" applyAlignment="1">
      <alignment horizontal="center" vertical="top"/>
    </xf>
    <xf numFmtId="0" fontId="2" fillId="7" borderId="28" xfId="0" applyFont="1" applyFill="1" applyBorder="1" applyAlignment="1">
      <alignment horizontal="left" vertical="top" wrapText="1"/>
    </xf>
    <xf numFmtId="166" fontId="2" fillId="7" borderId="36" xfId="0" applyNumberFormat="1"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2" fillId="7" borderId="47" xfId="0" applyNumberFormat="1" applyFont="1" applyFill="1" applyBorder="1" applyAlignment="1">
      <alignment horizontal="left" vertical="top" wrapText="1"/>
    </xf>
    <xf numFmtId="3" fontId="2" fillId="7" borderId="59" xfId="0" applyNumberFormat="1" applyFont="1" applyFill="1" applyBorder="1" applyAlignment="1">
      <alignment horizontal="center" vertical="top"/>
    </xf>
    <xf numFmtId="3" fontId="2" fillId="0" borderId="18"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166" fontId="2" fillId="7" borderId="34" xfId="0" applyNumberFormat="1" applyFont="1" applyFill="1" applyBorder="1" applyAlignment="1">
      <alignment vertical="top" wrapText="1"/>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2" fillId="7" borderId="29" xfId="0" applyNumberFormat="1" applyFont="1" applyFill="1" applyBorder="1" applyAlignment="1">
      <alignment horizontal="left" vertical="top" wrapText="1"/>
    </xf>
    <xf numFmtId="3" fontId="2" fillId="0" borderId="51" xfId="0" applyNumberFormat="1" applyFont="1" applyFill="1" applyBorder="1" applyAlignment="1">
      <alignment horizontal="left" vertical="top" wrapText="1"/>
    </xf>
    <xf numFmtId="0" fontId="0" fillId="0" borderId="51" xfId="0" applyFill="1" applyBorder="1" applyAlignment="1">
      <alignment horizontal="left" vertical="top" wrapText="1"/>
    </xf>
    <xf numFmtId="166" fontId="3" fillId="7" borderId="35" xfId="0" applyNumberFormat="1" applyFont="1" applyFill="1" applyBorder="1" applyAlignment="1">
      <alignment horizontal="center" vertical="top"/>
    </xf>
    <xf numFmtId="0" fontId="2" fillId="7" borderId="28" xfId="0" applyFont="1" applyFill="1" applyBorder="1" applyAlignment="1">
      <alignment horizontal="center" vertical="top"/>
    </xf>
    <xf numFmtId="0" fontId="2" fillId="7" borderId="35" xfId="0" applyFont="1" applyFill="1" applyBorder="1" applyAlignment="1">
      <alignment horizontal="center" vertical="top"/>
    </xf>
    <xf numFmtId="0" fontId="2" fillId="0" borderId="34" xfId="0" applyFont="1" applyBorder="1" applyAlignment="1">
      <alignment vertical="top"/>
    </xf>
    <xf numFmtId="166" fontId="2" fillId="7" borderId="44" xfId="0" applyNumberFormat="1" applyFont="1" applyFill="1" applyBorder="1" applyAlignment="1">
      <alignment vertical="top"/>
    </xf>
    <xf numFmtId="166" fontId="2" fillId="7" borderId="8" xfId="0" applyNumberFormat="1" applyFont="1" applyFill="1" applyBorder="1" applyAlignment="1">
      <alignment vertical="top"/>
    </xf>
    <xf numFmtId="166" fontId="2" fillId="7" borderId="7" xfId="0" applyNumberFormat="1" applyFont="1" applyFill="1" applyBorder="1" applyAlignment="1">
      <alignment vertical="top"/>
    </xf>
    <xf numFmtId="166" fontId="2" fillId="7" borderId="25" xfId="0" applyNumberFormat="1" applyFont="1" applyFill="1" applyBorder="1" applyAlignment="1">
      <alignment vertical="top"/>
    </xf>
    <xf numFmtId="166" fontId="2" fillId="7" borderId="51" xfId="0" applyNumberFormat="1" applyFont="1" applyFill="1" applyBorder="1" applyAlignment="1">
      <alignment vertical="top"/>
    </xf>
    <xf numFmtId="166" fontId="2" fillId="7" borderId="26" xfId="0" applyNumberFormat="1" applyFont="1" applyFill="1" applyBorder="1" applyAlignment="1">
      <alignment vertical="top"/>
    </xf>
    <xf numFmtId="166" fontId="2" fillId="7" borderId="27" xfId="0" applyNumberFormat="1" applyFont="1" applyFill="1" applyBorder="1" applyAlignment="1">
      <alignment vertical="top"/>
    </xf>
    <xf numFmtId="166" fontId="2" fillId="0" borderId="6" xfId="0" applyNumberFormat="1" applyFont="1" applyBorder="1" applyAlignment="1">
      <alignment horizontal="center" vertical="top"/>
    </xf>
    <xf numFmtId="166" fontId="2" fillId="0" borderId="34" xfId="0" applyNumberFormat="1" applyFont="1" applyBorder="1" applyAlignment="1">
      <alignment horizontal="center" vertical="top"/>
    </xf>
    <xf numFmtId="3" fontId="2" fillId="0" borderId="18" xfId="0" applyNumberFormat="1" applyFont="1" applyFill="1" applyBorder="1" applyAlignment="1">
      <alignment horizontal="center" vertical="top"/>
    </xf>
    <xf numFmtId="166" fontId="2" fillId="7" borderId="7" xfId="0" applyNumberFormat="1" applyFont="1" applyFill="1" applyBorder="1" applyAlignment="1">
      <alignment vertical="top" wrapText="1"/>
    </xf>
    <xf numFmtId="3" fontId="2" fillId="7" borderId="1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3" fontId="2" fillId="7" borderId="48" xfId="0" applyNumberFormat="1" applyFont="1" applyFill="1" applyBorder="1" applyAlignment="1">
      <alignment horizontal="center" vertical="top"/>
    </xf>
    <xf numFmtId="166" fontId="2" fillId="7" borderId="79" xfId="0" applyNumberFormat="1" applyFont="1" applyFill="1" applyBorder="1" applyAlignment="1">
      <alignment horizontal="left" vertical="top" wrapText="1"/>
    </xf>
    <xf numFmtId="166" fontId="2" fillId="7" borderId="98" xfId="0" applyNumberFormat="1" applyFont="1" applyFill="1" applyBorder="1" applyAlignment="1">
      <alignment vertical="top" wrapText="1"/>
    </xf>
    <xf numFmtId="166" fontId="3" fillId="3" borderId="1" xfId="0" applyNumberFormat="1" applyFont="1" applyFill="1" applyBorder="1" applyAlignment="1">
      <alignment horizontal="center" vertical="top" wrapText="1"/>
    </xf>
    <xf numFmtId="3" fontId="2" fillId="0" borderId="27" xfId="0" applyNumberFormat="1" applyFont="1" applyFill="1" applyBorder="1" applyAlignment="1">
      <alignment horizontal="center" vertical="top" wrapText="1"/>
    </xf>
    <xf numFmtId="166" fontId="2" fillId="3" borderId="30" xfId="0" applyNumberFormat="1" applyFont="1" applyFill="1" applyBorder="1" applyAlignment="1">
      <alignment horizontal="center" vertical="top" wrapText="1"/>
    </xf>
    <xf numFmtId="166" fontId="2" fillId="3" borderId="11" xfId="0" applyNumberFormat="1" applyFont="1" applyFill="1" applyBorder="1" applyAlignment="1">
      <alignment horizontal="center" vertical="top" wrapText="1"/>
    </xf>
    <xf numFmtId="0" fontId="0" fillId="0" borderId="11" xfId="0" applyBorder="1" applyAlignment="1">
      <alignment wrapText="1"/>
    </xf>
    <xf numFmtId="0" fontId="0" fillId="7" borderId="11" xfId="0" applyFill="1" applyBorder="1" applyAlignment="1">
      <alignment wrapText="1"/>
    </xf>
    <xf numFmtId="0" fontId="2" fillId="7" borderId="79" xfId="0" applyFont="1" applyFill="1" applyBorder="1" applyAlignment="1">
      <alignment vertical="top" wrapText="1"/>
    </xf>
    <xf numFmtId="0" fontId="2" fillId="7" borderId="88" xfId="0" applyFont="1" applyFill="1" applyBorder="1" applyAlignment="1">
      <alignment vertical="top" wrapText="1"/>
    </xf>
    <xf numFmtId="3" fontId="2" fillId="0" borderId="97"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0" fontId="8" fillId="7" borderId="30" xfId="0" applyFont="1" applyFill="1" applyBorder="1" applyAlignment="1">
      <alignment vertical="top" wrapText="1"/>
    </xf>
    <xf numFmtId="0" fontId="0" fillId="0" borderId="30" xfId="0" applyBorder="1" applyAlignment="1">
      <alignment horizontal="center" vertical="center" wrapText="1"/>
    </xf>
    <xf numFmtId="166" fontId="13" fillId="7" borderId="64" xfId="0" applyNumberFormat="1" applyFont="1" applyFill="1" applyBorder="1" applyAlignment="1">
      <alignment horizontal="center" vertical="top"/>
    </xf>
    <xf numFmtId="0" fontId="2" fillId="7" borderId="85" xfId="0" applyFont="1" applyFill="1" applyBorder="1" applyAlignment="1">
      <alignment vertical="top" wrapText="1"/>
    </xf>
    <xf numFmtId="3" fontId="2" fillId="7" borderId="11" xfId="0" applyNumberFormat="1" applyFont="1" applyFill="1" applyBorder="1" applyAlignment="1">
      <alignment horizontal="center" vertical="center"/>
    </xf>
    <xf numFmtId="3" fontId="2" fillId="7" borderId="18" xfId="0" applyNumberFormat="1" applyFont="1" applyFill="1" applyBorder="1" applyAlignment="1">
      <alignment vertical="top"/>
    </xf>
    <xf numFmtId="3" fontId="2" fillId="7" borderId="18"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101" xfId="0" applyNumberFormat="1" applyFont="1" applyFill="1" applyBorder="1" applyAlignment="1">
      <alignment horizontal="left" vertical="top" wrapText="1"/>
    </xf>
    <xf numFmtId="166" fontId="2" fillId="7" borderId="11" xfId="0" applyNumberFormat="1" applyFont="1" applyFill="1" applyBorder="1" applyAlignment="1">
      <alignment horizontal="center" vertical="center" textRotation="90" wrapText="1"/>
    </xf>
    <xf numFmtId="49" fontId="3" fillId="7" borderId="48" xfId="0" applyNumberFormat="1" applyFont="1" applyFill="1" applyBorder="1" applyAlignment="1">
      <alignment horizontal="center" vertical="top"/>
    </xf>
    <xf numFmtId="166" fontId="2" fillId="7" borderId="11" xfId="0" applyNumberFormat="1" applyFont="1" applyFill="1" applyBorder="1" applyAlignment="1">
      <alignment vertical="top" wrapText="1"/>
    </xf>
    <xf numFmtId="166" fontId="2" fillId="7" borderId="28" xfId="0" applyNumberFormat="1" applyFont="1" applyFill="1" applyBorder="1" applyAlignment="1">
      <alignment vertical="top" wrapText="1"/>
    </xf>
    <xf numFmtId="49" fontId="3" fillId="7" borderId="35"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166" fontId="2" fillId="7" borderId="7"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28" xfId="0" applyNumberFormat="1" applyFont="1" applyFill="1" applyBorder="1" applyAlignment="1">
      <alignment horizontal="center" vertical="center" textRotation="90" wrapText="1"/>
    </xf>
    <xf numFmtId="166" fontId="2" fillId="0" borderId="7" xfId="0" applyNumberFormat="1" applyFont="1" applyFill="1" applyBorder="1" applyAlignment="1">
      <alignment horizontal="left" vertical="top" wrapText="1"/>
    </xf>
    <xf numFmtId="0" fontId="2" fillId="7" borderId="85" xfId="0" applyFont="1" applyFill="1" applyBorder="1" applyAlignment="1">
      <alignment vertical="top"/>
    </xf>
    <xf numFmtId="166" fontId="2" fillId="7" borderId="102" xfId="0" applyNumberFormat="1" applyFont="1" applyFill="1" applyBorder="1" applyAlignment="1">
      <alignment horizontal="center" vertical="center" textRotation="90" wrapText="1"/>
    </xf>
    <xf numFmtId="49" fontId="3" fillId="7" borderId="107" xfId="0" applyNumberFormat="1" applyFont="1" applyFill="1" applyBorder="1" applyAlignment="1">
      <alignment horizontal="center" vertical="top"/>
    </xf>
    <xf numFmtId="166" fontId="2" fillId="7" borderId="105" xfId="0" applyNumberFormat="1" applyFont="1" applyFill="1" applyBorder="1" applyAlignment="1">
      <alignment horizontal="center" vertical="top"/>
    </xf>
    <xf numFmtId="166" fontId="3" fillId="7" borderId="113" xfId="0" applyNumberFormat="1" applyFont="1" applyFill="1" applyBorder="1" applyAlignment="1">
      <alignment vertical="top"/>
    </xf>
    <xf numFmtId="166" fontId="2" fillId="7" borderId="80" xfId="0" applyNumberFormat="1" applyFont="1" applyFill="1" applyBorder="1" applyAlignment="1">
      <alignment horizontal="center" vertical="center" textRotation="90" wrapText="1"/>
    </xf>
    <xf numFmtId="49" fontId="3" fillId="7" borderId="96" xfId="0" applyNumberFormat="1" applyFont="1" applyFill="1" applyBorder="1" applyAlignment="1">
      <alignment horizontal="center" vertical="top"/>
    </xf>
    <xf numFmtId="166" fontId="2" fillId="7" borderId="78" xfId="0" applyNumberFormat="1" applyFont="1" applyFill="1" applyBorder="1" applyAlignment="1">
      <alignment horizontal="center" vertical="top"/>
    </xf>
    <xf numFmtId="166" fontId="2" fillId="7" borderId="110" xfId="0" applyNumberFormat="1" applyFont="1" applyFill="1" applyBorder="1" applyAlignment="1">
      <alignment horizontal="center" vertical="top"/>
    </xf>
    <xf numFmtId="166" fontId="2" fillId="7" borderId="109"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2" fillId="0" borderId="18"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3" fillId="9" borderId="7"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3" fontId="2" fillId="7"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2" fillId="7" borderId="101" xfId="0" applyNumberFormat="1" applyFont="1" applyFill="1" applyBorder="1" applyAlignment="1">
      <alignment horizontal="left" vertical="top" wrapText="1"/>
    </xf>
    <xf numFmtId="0" fontId="2" fillId="7" borderId="36" xfId="0" applyFont="1" applyFill="1" applyBorder="1" applyAlignment="1">
      <alignment vertical="top" wrapText="1"/>
    </xf>
    <xf numFmtId="166" fontId="2" fillId="7" borderId="7"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3" fontId="2" fillId="7" borderId="21" xfId="0" applyNumberFormat="1" applyFont="1" applyFill="1" applyBorder="1" applyAlignment="1">
      <alignment horizontal="center" vertical="top" wrapText="1"/>
    </xf>
    <xf numFmtId="3" fontId="28" fillId="7" borderId="0" xfId="0" applyNumberFormat="1" applyFont="1" applyFill="1" applyAlignment="1">
      <alignment horizontal="left" vertical="top" wrapText="1"/>
    </xf>
    <xf numFmtId="166" fontId="3" fillId="3" borderId="46" xfId="0" applyNumberFormat="1" applyFont="1" applyFill="1" applyBorder="1" applyAlignment="1">
      <alignment horizontal="center" vertical="top" wrapText="1"/>
    </xf>
    <xf numFmtId="3" fontId="2" fillId="7" borderId="59" xfId="0" applyNumberFormat="1" applyFont="1" applyFill="1" applyBorder="1" applyAlignment="1">
      <alignment horizontal="center" vertical="top"/>
    </xf>
    <xf numFmtId="166" fontId="2" fillId="7" borderId="47" xfId="0" applyNumberFormat="1" applyFont="1" applyFill="1" applyBorder="1" applyAlignment="1">
      <alignment vertical="top" wrapText="1"/>
    </xf>
    <xf numFmtId="166" fontId="2" fillId="7" borderId="45" xfId="0" applyNumberFormat="1" applyFont="1" applyFill="1" applyBorder="1" applyAlignment="1">
      <alignment vertical="top" wrapText="1"/>
    </xf>
    <xf numFmtId="166" fontId="3" fillId="7" borderId="28" xfId="0" applyNumberFormat="1" applyFont="1" applyFill="1" applyBorder="1" applyAlignment="1">
      <alignment horizontal="center" vertical="top"/>
    </xf>
    <xf numFmtId="3" fontId="2" fillId="0" borderId="51" xfId="0" applyNumberFormat="1" applyFont="1" applyFill="1" applyBorder="1" applyAlignment="1">
      <alignment horizontal="left" vertical="top" wrapText="1"/>
    </xf>
    <xf numFmtId="0" fontId="0" fillId="0" borderId="51" xfId="0" applyFill="1" applyBorder="1" applyAlignment="1">
      <alignment horizontal="left" vertical="top" wrapText="1"/>
    </xf>
    <xf numFmtId="166" fontId="3" fillId="7" borderId="25" xfId="0" applyNumberFormat="1" applyFont="1" applyFill="1" applyBorder="1" applyAlignment="1">
      <alignment horizontal="center" vertical="top"/>
    </xf>
    <xf numFmtId="3" fontId="2" fillId="7" borderId="46" xfId="0" applyNumberFormat="1" applyFont="1" applyFill="1" applyBorder="1" applyAlignment="1">
      <alignment horizontal="center" vertical="top" wrapText="1"/>
    </xf>
    <xf numFmtId="3" fontId="2" fillId="7" borderId="96" xfId="0" applyNumberFormat="1" applyFont="1" applyFill="1" applyBorder="1" applyAlignment="1">
      <alignment horizontal="center" vertical="top" wrapText="1"/>
    </xf>
    <xf numFmtId="166" fontId="18" fillId="7" borderId="34" xfId="0" applyNumberFormat="1" applyFont="1" applyFill="1" applyBorder="1" applyAlignment="1">
      <alignment horizontal="center" vertical="top"/>
    </xf>
    <xf numFmtId="166" fontId="18" fillId="7" borderId="99" xfId="0" applyNumberFormat="1" applyFont="1" applyFill="1" applyBorder="1" applyAlignment="1">
      <alignment horizontal="center" vertical="top"/>
    </xf>
    <xf numFmtId="3" fontId="29" fillId="7" borderId="18" xfId="0" applyNumberFormat="1" applyFont="1" applyFill="1" applyBorder="1" applyAlignment="1">
      <alignment horizontal="center" vertical="top"/>
    </xf>
    <xf numFmtId="0" fontId="2" fillId="0" borderId="0" xfId="0" applyNumberFormat="1" applyFont="1" applyAlignment="1">
      <alignment vertical="top"/>
    </xf>
    <xf numFmtId="0" fontId="29" fillId="0" borderId="0" xfId="0" applyFont="1" applyAlignment="1">
      <alignment horizontal="right" vertical="top"/>
    </xf>
    <xf numFmtId="166" fontId="3" fillId="2" borderId="71" xfId="0" applyNumberFormat="1" applyFont="1" applyFill="1" applyBorder="1" applyAlignment="1">
      <alignment horizontal="center" vertical="top"/>
    </xf>
    <xf numFmtId="3" fontId="2" fillId="0" borderId="18" xfId="0" applyNumberFormat="1" applyFont="1" applyFill="1" applyBorder="1" applyAlignment="1">
      <alignment horizontal="center" vertical="top" wrapText="1"/>
    </xf>
    <xf numFmtId="166" fontId="2" fillId="0" borderId="43" xfId="0" applyNumberFormat="1" applyFont="1" applyBorder="1" applyAlignment="1">
      <alignment horizontal="center" vertical="top"/>
    </xf>
    <xf numFmtId="166" fontId="2" fillId="7" borderId="38" xfId="0" applyNumberFormat="1" applyFont="1" applyFill="1" applyBorder="1" applyAlignment="1">
      <alignment vertical="top"/>
    </xf>
    <xf numFmtId="166" fontId="2" fillId="7" borderId="69" xfId="0" applyNumberFormat="1" applyFont="1" applyFill="1" applyBorder="1" applyAlignment="1">
      <alignment horizontal="center" vertical="top"/>
    </xf>
    <xf numFmtId="166" fontId="2" fillId="0" borderId="11" xfId="0" applyNumberFormat="1" applyFont="1" applyBorder="1" applyAlignment="1">
      <alignment horizontal="center" vertical="top"/>
    </xf>
    <xf numFmtId="166" fontId="2" fillId="0" borderId="0" xfId="0" applyNumberFormat="1" applyFont="1" applyBorder="1" applyAlignment="1">
      <alignment horizontal="center" vertical="top"/>
    </xf>
    <xf numFmtId="166" fontId="2" fillId="3" borderId="13" xfId="0" applyNumberFormat="1" applyFont="1" applyFill="1" applyBorder="1" applyAlignment="1">
      <alignment horizontal="center" vertical="top"/>
    </xf>
    <xf numFmtId="166" fontId="2" fillId="3" borderId="69" xfId="0" applyNumberFormat="1" applyFont="1" applyFill="1" applyBorder="1" applyAlignment="1">
      <alignment horizontal="center" vertical="top"/>
    </xf>
    <xf numFmtId="166" fontId="18" fillId="7" borderId="47" xfId="0" applyNumberFormat="1" applyFont="1" applyFill="1" applyBorder="1" applyAlignment="1">
      <alignment horizontal="center" vertical="top"/>
    </xf>
    <xf numFmtId="166" fontId="18" fillId="7" borderId="93" xfId="0" applyNumberFormat="1" applyFont="1" applyFill="1" applyBorder="1" applyAlignment="1">
      <alignment horizontal="center" vertical="top"/>
    </xf>
    <xf numFmtId="166" fontId="2" fillId="7" borderId="119" xfId="0" applyNumberFormat="1" applyFont="1" applyFill="1" applyBorder="1" applyAlignment="1">
      <alignment horizontal="center" vertical="top"/>
    </xf>
    <xf numFmtId="166" fontId="3" fillId="2" borderId="52" xfId="0" applyNumberFormat="1" applyFont="1" applyFill="1" applyBorder="1" applyAlignment="1">
      <alignment horizontal="center" vertical="top"/>
    </xf>
    <xf numFmtId="166" fontId="18" fillId="7" borderId="80" xfId="0" applyNumberFormat="1" applyFont="1" applyFill="1" applyBorder="1" applyAlignment="1">
      <alignment horizontal="center" vertical="top"/>
    </xf>
    <xf numFmtId="166" fontId="18" fillId="7" borderId="100" xfId="0" applyNumberFormat="1" applyFont="1" applyFill="1" applyBorder="1" applyAlignment="1">
      <alignment horizontal="center" vertical="top"/>
    </xf>
    <xf numFmtId="166" fontId="3" fillId="7" borderId="53" xfId="0" applyNumberFormat="1" applyFont="1" applyFill="1" applyBorder="1" applyAlignment="1">
      <alignment horizontal="center" vertical="top"/>
    </xf>
    <xf numFmtId="166" fontId="2" fillId="7" borderId="35" xfId="0" applyNumberFormat="1" applyFont="1" applyFill="1" applyBorder="1" applyAlignment="1">
      <alignment vertical="top"/>
    </xf>
    <xf numFmtId="166" fontId="2" fillId="0" borderId="92" xfId="0" applyNumberFormat="1" applyFont="1" applyFill="1" applyBorder="1" applyAlignment="1">
      <alignment horizontal="center" vertical="top"/>
    </xf>
    <xf numFmtId="0" fontId="2" fillId="7" borderId="18" xfId="0" applyFont="1" applyFill="1" applyBorder="1" applyAlignment="1">
      <alignment horizontal="right" vertical="center"/>
    </xf>
    <xf numFmtId="0" fontId="22" fillId="0" borderId="5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68" xfId="0" applyFont="1" applyBorder="1" applyAlignment="1">
      <alignment horizontal="center" vertical="center" wrapText="1"/>
    </xf>
    <xf numFmtId="166" fontId="2" fillId="7" borderId="113" xfId="0" applyNumberFormat="1" applyFont="1" applyFill="1" applyBorder="1" applyAlignment="1">
      <alignment horizontal="center" vertical="top"/>
    </xf>
    <xf numFmtId="166" fontId="2" fillId="7" borderId="107" xfId="0" applyNumberFormat="1" applyFont="1" applyFill="1" applyBorder="1" applyAlignment="1">
      <alignment horizontal="center" vertical="top"/>
    </xf>
    <xf numFmtId="3" fontId="2" fillId="7" borderId="90" xfId="0" applyNumberFormat="1" applyFont="1" applyFill="1" applyBorder="1" applyAlignment="1">
      <alignment horizontal="center" vertical="top"/>
    </xf>
    <xf numFmtId="3" fontId="2" fillId="7" borderId="113" xfId="0" applyNumberFormat="1" applyFont="1" applyFill="1" applyBorder="1" applyAlignment="1">
      <alignment vertical="top"/>
    </xf>
    <xf numFmtId="3" fontId="2" fillId="7" borderId="48" xfId="0" applyNumberFormat="1" applyFont="1" applyFill="1" applyBorder="1" applyAlignment="1">
      <alignment vertical="top"/>
    </xf>
    <xf numFmtId="166" fontId="6" fillId="7" borderId="56" xfId="0" applyNumberFormat="1" applyFont="1" applyFill="1" applyBorder="1" applyAlignment="1">
      <alignment horizontal="center" vertical="top" wrapText="1"/>
    </xf>
    <xf numFmtId="166" fontId="2" fillId="7" borderId="53" xfId="0" applyNumberFormat="1" applyFont="1" applyFill="1" applyBorder="1" applyAlignment="1">
      <alignment horizontal="center" vertical="center"/>
    </xf>
    <xf numFmtId="166" fontId="3" fillId="2" borderId="33" xfId="0" applyNumberFormat="1" applyFont="1" applyFill="1" applyBorder="1" applyAlignment="1">
      <alignment horizontal="center" vertical="top"/>
    </xf>
    <xf numFmtId="166" fontId="3" fillId="5" borderId="71" xfId="0" applyNumberFormat="1" applyFont="1" applyFill="1" applyBorder="1" applyAlignment="1">
      <alignment horizontal="center" vertical="top"/>
    </xf>
    <xf numFmtId="166" fontId="2" fillId="7" borderId="64" xfId="0" applyNumberFormat="1" applyFont="1" applyFill="1" applyBorder="1" applyAlignment="1">
      <alignment horizontal="center" vertical="center"/>
    </xf>
    <xf numFmtId="166" fontId="2" fillId="7" borderId="28" xfId="0" applyNumberFormat="1" applyFont="1" applyFill="1" applyBorder="1" applyAlignment="1">
      <alignment horizontal="center" vertical="center"/>
    </xf>
    <xf numFmtId="166" fontId="2" fillId="8" borderId="64" xfId="0" applyNumberFormat="1" applyFont="1" applyFill="1" applyBorder="1" applyAlignment="1">
      <alignment horizontal="center" vertical="top"/>
    </xf>
    <xf numFmtId="166" fontId="3" fillId="4" borderId="72" xfId="0" applyNumberFormat="1" applyFont="1" applyFill="1" applyBorder="1" applyAlignment="1">
      <alignment horizontal="center" vertical="top"/>
    </xf>
    <xf numFmtId="166" fontId="3" fillId="5" borderId="73" xfId="0" applyNumberFormat="1" applyFont="1" applyFill="1" applyBorder="1" applyAlignment="1">
      <alignment horizontal="center" vertical="top" wrapText="1"/>
    </xf>
    <xf numFmtId="166" fontId="3" fillId="8" borderId="62" xfId="0" applyNumberFormat="1" applyFont="1" applyFill="1" applyBorder="1" applyAlignment="1">
      <alignment horizontal="center" vertical="top" wrapText="1"/>
    </xf>
    <xf numFmtId="166" fontId="2" fillId="8" borderId="53" xfId="0" applyNumberFormat="1" applyFont="1" applyFill="1" applyBorder="1" applyAlignment="1">
      <alignment horizontal="center" vertical="top"/>
    </xf>
    <xf numFmtId="166" fontId="2" fillId="0" borderId="62" xfId="0" applyNumberFormat="1" applyFont="1" applyBorder="1" applyAlignment="1">
      <alignment horizontal="center" vertical="top" wrapText="1"/>
    </xf>
    <xf numFmtId="166" fontId="3" fillId="4" borderId="33" xfId="0" applyNumberFormat="1" applyFont="1" applyFill="1" applyBorder="1" applyAlignment="1">
      <alignment horizontal="center" vertical="top"/>
    </xf>
    <xf numFmtId="166" fontId="3" fillId="5" borderId="69" xfId="0" applyNumberFormat="1" applyFont="1" applyFill="1" applyBorder="1" applyAlignment="1">
      <alignment horizontal="center" vertical="top" wrapText="1"/>
    </xf>
    <xf numFmtId="166" fontId="3" fillId="8" borderId="42" xfId="0" applyNumberFormat="1" applyFont="1" applyFill="1" applyBorder="1" applyAlignment="1">
      <alignment horizontal="center" vertical="top" wrapText="1"/>
    </xf>
    <xf numFmtId="166" fontId="2" fillId="0" borderId="42" xfId="0" applyNumberFormat="1" applyFont="1" applyBorder="1" applyAlignment="1">
      <alignment horizontal="center" vertical="top" wrapText="1"/>
    </xf>
    <xf numFmtId="166" fontId="3" fillId="5" borderId="13" xfId="0" applyNumberFormat="1" applyFont="1" applyFill="1" applyBorder="1" applyAlignment="1">
      <alignment horizontal="center" vertical="top" wrapText="1"/>
    </xf>
    <xf numFmtId="166" fontId="2" fillId="8" borderId="28" xfId="0" applyNumberFormat="1" applyFont="1" applyFill="1" applyBorder="1" applyAlignment="1">
      <alignment horizontal="center" vertical="top"/>
    </xf>
    <xf numFmtId="166" fontId="2" fillId="0" borderId="1" xfId="0" applyNumberFormat="1" applyFont="1" applyBorder="1" applyAlignment="1">
      <alignment horizontal="center" vertical="top" wrapText="1"/>
    </xf>
    <xf numFmtId="166" fontId="3" fillId="4" borderId="30" xfId="0" applyNumberFormat="1" applyFont="1" applyFill="1" applyBorder="1" applyAlignment="1">
      <alignment horizontal="center" vertical="top"/>
    </xf>
    <xf numFmtId="166" fontId="2" fillId="7" borderId="101"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49" fontId="2" fillId="7" borderId="86" xfId="0" applyNumberFormat="1" applyFont="1" applyFill="1" applyBorder="1" applyAlignment="1">
      <alignment horizontal="center" vertical="top"/>
    </xf>
    <xf numFmtId="166" fontId="3" fillId="3" borderId="28" xfId="0" applyNumberFormat="1" applyFont="1" applyFill="1" applyBorder="1" applyAlignment="1">
      <alignment horizontal="center" vertical="top" wrapText="1"/>
    </xf>
    <xf numFmtId="166" fontId="2" fillId="7" borderId="34" xfId="0" applyNumberFormat="1" applyFont="1" applyFill="1" applyBorder="1" applyAlignment="1">
      <alignment vertical="top" wrapText="1"/>
    </xf>
    <xf numFmtId="166" fontId="2" fillId="7" borderId="29" xfId="0" applyNumberFormat="1" applyFont="1" applyFill="1" applyBorder="1" applyAlignment="1">
      <alignment horizontal="left" vertical="top" wrapText="1"/>
    </xf>
    <xf numFmtId="166" fontId="2" fillId="7" borderId="79" xfId="0" applyNumberFormat="1" applyFont="1" applyFill="1" applyBorder="1" applyAlignment="1">
      <alignment horizontal="left" vertical="top" wrapText="1"/>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2" fillId="7" borderId="35" xfId="0" applyNumberFormat="1" applyFont="1" applyFill="1" applyBorder="1" applyAlignment="1">
      <alignment vertical="top" wrapText="1"/>
    </xf>
    <xf numFmtId="166" fontId="2" fillId="3" borderId="99" xfId="0" applyNumberFormat="1" applyFont="1" applyFill="1" applyBorder="1" applyAlignment="1">
      <alignment horizontal="center" vertical="top"/>
    </xf>
    <xf numFmtId="166" fontId="2" fillId="3" borderId="64" xfId="0" applyNumberFormat="1" applyFont="1" applyFill="1" applyBorder="1" applyAlignment="1">
      <alignment horizontal="center" vertical="top"/>
    </xf>
    <xf numFmtId="166" fontId="2" fillId="7" borderId="10" xfId="0" applyNumberFormat="1" applyFont="1" applyFill="1" applyBorder="1" applyAlignment="1">
      <alignment vertical="top"/>
    </xf>
    <xf numFmtId="166" fontId="2" fillId="0" borderId="8" xfId="0" applyNumberFormat="1" applyFont="1" applyBorder="1" applyAlignment="1">
      <alignment vertical="top"/>
    </xf>
    <xf numFmtId="166" fontId="13" fillId="7" borderId="7" xfId="0" applyNumberFormat="1" applyFont="1" applyFill="1" applyBorder="1" applyAlignment="1">
      <alignment horizontal="center" vertical="top"/>
    </xf>
    <xf numFmtId="166" fontId="2" fillId="7" borderId="49" xfId="0" applyNumberFormat="1" applyFont="1" applyFill="1" applyBorder="1" applyAlignment="1">
      <alignment vertical="top" wrapText="1"/>
    </xf>
    <xf numFmtId="166" fontId="2" fillId="7" borderId="64" xfId="0" applyNumberFormat="1" applyFont="1" applyFill="1" applyBorder="1" applyAlignment="1">
      <alignment vertical="top" wrapText="1"/>
    </xf>
    <xf numFmtId="166" fontId="2" fillId="7" borderId="17" xfId="0" applyNumberFormat="1" applyFont="1" applyFill="1" applyBorder="1" applyAlignment="1">
      <alignment horizontal="center" vertical="top" wrapText="1"/>
    </xf>
    <xf numFmtId="0" fontId="0" fillId="7" borderId="35" xfId="0" applyFill="1" applyBorder="1" applyAlignment="1">
      <alignment vertical="top" wrapText="1"/>
    </xf>
    <xf numFmtId="166" fontId="13" fillId="7" borderId="0"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117" xfId="0" applyNumberFormat="1" applyFont="1" applyFill="1" applyBorder="1" applyAlignment="1">
      <alignment vertical="top" wrapText="1"/>
    </xf>
    <xf numFmtId="166" fontId="2" fillId="7" borderId="34" xfId="0" applyNumberFormat="1" applyFont="1" applyFill="1" applyBorder="1" applyAlignment="1">
      <alignment vertical="top" wrapText="1"/>
    </xf>
    <xf numFmtId="166" fontId="3" fillId="2"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wrapText="1"/>
    </xf>
    <xf numFmtId="166" fontId="13" fillId="7" borderId="8" xfId="0" applyNumberFormat="1" applyFont="1" applyFill="1" applyBorder="1" applyAlignment="1">
      <alignment horizontal="center" vertical="top" wrapText="1"/>
    </xf>
    <xf numFmtId="166" fontId="13" fillId="7" borderId="59" xfId="0" applyNumberFormat="1" applyFont="1" applyFill="1" applyBorder="1" applyAlignment="1">
      <alignment horizontal="center" vertical="top"/>
    </xf>
    <xf numFmtId="49" fontId="2" fillId="7" borderId="85" xfId="0" applyNumberFormat="1" applyFont="1" applyFill="1" applyBorder="1" applyAlignment="1">
      <alignment horizontal="center" vertical="top" wrapText="1"/>
    </xf>
    <xf numFmtId="49" fontId="2" fillId="7" borderId="94" xfId="0" applyNumberFormat="1" applyFont="1" applyFill="1" applyBorder="1" applyAlignment="1">
      <alignment horizontal="center" vertical="top" wrapText="1"/>
    </xf>
    <xf numFmtId="49" fontId="2" fillId="7" borderId="86" xfId="0" applyNumberFormat="1" applyFont="1" applyFill="1" applyBorder="1" applyAlignment="1">
      <alignment horizontal="center" vertical="top" wrapText="1"/>
    </xf>
    <xf numFmtId="166" fontId="13" fillId="7" borderId="64" xfId="0" applyNumberFormat="1" applyFont="1" applyFill="1" applyBorder="1" applyAlignment="1">
      <alignment horizontal="center" vertical="top" wrapText="1"/>
    </xf>
    <xf numFmtId="166" fontId="13" fillId="7" borderId="102" xfId="0" applyNumberFormat="1" applyFont="1" applyFill="1" applyBorder="1" applyAlignment="1">
      <alignment horizontal="center" vertical="top"/>
    </xf>
    <xf numFmtId="166" fontId="13" fillId="7" borderId="118" xfId="0" applyNumberFormat="1" applyFont="1" applyFill="1" applyBorder="1" applyAlignment="1">
      <alignment horizontal="center" vertical="top"/>
    </xf>
    <xf numFmtId="166" fontId="13" fillId="7" borderId="106" xfId="0" applyNumberFormat="1" applyFont="1" applyFill="1" applyBorder="1" applyAlignment="1">
      <alignment horizontal="center" vertical="top"/>
    </xf>
    <xf numFmtId="166" fontId="2" fillId="7" borderId="9" xfId="0" applyNumberFormat="1" applyFont="1" applyFill="1" applyBorder="1" applyAlignment="1">
      <alignment vertical="top" wrapText="1"/>
    </xf>
    <xf numFmtId="166" fontId="13" fillId="7" borderId="6" xfId="0" applyNumberFormat="1" applyFont="1" applyFill="1" applyBorder="1" applyAlignment="1">
      <alignment horizontal="center" vertical="center"/>
    </xf>
    <xf numFmtId="3" fontId="6" fillId="7" borderId="0" xfId="0" applyNumberFormat="1" applyFont="1" applyFill="1" applyBorder="1" applyAlignment="1">
      <alignment horizontal="center" vertical="top"/>
    </xf>
    <xf numFmtId="3" fontId="13" fillId="7" borderId="48" xfId="0" applyNumberFormat="1" applyFont="1" applyFill="1" applyBorder="1" applyAlignment="1">
      <alignment horizontal="center" vertical="top"/>
    </xf>
    <xf numFmtId="3" fontId="30" fillId="7" borderId="48" xfId="0" applyNumberFormat="1" applyFont="1" applyFill="1" applyBorder="1" applyAlignment="1">
      <alignment horizontal="center" vertical="top"/>
    </xf>
    <xf numFmtId="166" fontId="13" fillId="7" borderId="79" xfId="0" applyNumberFormat="1" applyFont="1" applyFill="1" applyBorder="1" applyAlignment="1">
      <alignment horizontal="center" vertical="top"/>
    </xf>
    <xf numFmtId="166" fontId="13" fillId="7" borderId="101" xfId="0" applyNumberFormat="1" applyFont="1" applyFill="1" applyBorder="1" applyAlignment="1">
      <alignment horizontal="center" vertical="top"/>
    </xf>
    <xf numFmtId="166" fontId="13" fillId="7" borderId="47" xfId="0" applyNumberFormat="1" applyFont="1" applyFill="1" applyBorder="1" applyAlignment="1">
      <alignment horizontal="center" vertical="top"/>
    </xf>
    <xf numFmtId="49" fontId="13" fillId="7" borderId="11" xfId="0" applyNumberFormat="1" applyFont="1" applyFill="1" applyBorder="1" applyAlignment="1">
      <alignment horizontal="center" vertical="top"/>
    </xf>
    <xf numFmtId="166" fontId="2" fillId="7" borderId="46" xfId="0" applyNumberFormat="1" applyFont="1" applyFill="1" applyBorder="1" applyAlignment="1">
      <alignment horizontal="center" vertical="top"/>
    </xf>
    <xf numFmtId="49" fontId="13" fillId="7" borderId="80" xfId="0" applyNumberFormat="1" applyFont="1" applyFill="1" applyBorder="1" applyAlignment="1">
      <alignment horizontal="center" vertical="top"/>
    </xf>
    <xf numFmtId="49" fontId="13" fillId="7" borderId="102" xfId="0" applyNumberFormat="1" applyFont="1" applyFill="1" applyBorder="1" applyAlignment="1">
      <alignment horizontal="center" vertical="top"/>
    </xf>
    <xf numFmtId="166" fontId="13" fillId="7" borderId="103" xfId="0" applyNumberFormat="1" applyFont="1" applyFill="1" applyBorder="1" applyAlignment="1">
      <alignment horizontal="center" vertical="top"/>
    </xf>
    <xf numFmtId="3" fontId="13" fillId="7" borderId="11" xfId="0" applyNumberFormat="1" applyFont="1" applyFill="1" applyBorder="1" applyAlignment="1">
      <alignment horizontal="center" vertical="top" wrapText="1"/>
    </xf>
    <xf numFmtId="3" fontId="13" fillId="7" borderId="18" xfId="0" applyNumberFormat="1" applyFont="1" applyFill="1" applyBorder="1" applyAlignment="1">
      <alignment horizontal="center" vertical="top" wrapText="1"/>
    </xf>
    <xf numFmtId="3" fontId="13" fillId="7" borderId="102" xfId="0" applyNumberFormat="1" applyFont="1" applyFill="1" applyBorder="1" applyAlignment="1">
      <alignment horizontal="center" vertical="top"/>
    </xf>
    <xf numFmtId="0" fontId="22" fillId="7" borderId="88" xfId="0" applyFont="1" applyFill="1" applyBorder="1" applyAlignment="1">
      <alignment vertical="top" wrapText="1"/>
    </xf>
    <xf numFmtId="166" fontId="3" fillId="0" borderId="0" xfId="0" applyNumberFormat="1" applyFont="1" applyFill="1" applyBorder="1" applyAlignment="1">
      <alignment horizontal="center" vertical="top"/>
    </xf>
    <xf numFmtId="166" fontId="3" fillId="0" borderId="0" xfId="0" applyNumberFormat="1" applyFont="1" applyFill="1" applyBorder="1" applyAlignment="1">
      <alignment horizontal="right"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11" xfId="0" applyNumberFormat="1" applyFont="1" applyFill="1" applyBorder="1" applyAlignment="1">
      <alignment vertical="top" wrapText="1"/>
    </xf>
    <xf numFmtId="166" fontId="2" fillId="7" borderId="101" xfId="0" applyNumberFormat="1" applyFont="1" applyFill="1" applyBorder="1" applyAlignment="1">
      <alignment horizontal="left" vertical="top" wrapText="1"/>
    </xf>
    <xf numFmtId="166" fontId="3" fillId="9" borderId="34"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49" fontId="3" fillId="9" borderId="5"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2" borderId="56"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3" fillId="7" borderId="56"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49" fontId="3"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13" fillId="7" borderId="95" xfId="0" applyNumberFormat="1" applyFont="1" applyFill="1" applyBorder="1" applyAlignment="1">
      <alignment horizontal="center" vertical="top"/>
    </xf>
    <xf numFmtId="3" fontId="13" fillId="7" borderId="107" xfId="0" applyNumberFormat="1" applyFont="1" applyFill="1" applyBorder="1" applyAlignment="1">
      <alignment horizontal="center" vertical="top"/>
    </xf>
    <xf numFmtId="166" fontId="13" fillId="0" borderId="11" xfId="0" applyNumberFormat="1" applyFont="1" applyFill="1" applyBorder="1" applyAlignment="1">
      <alignment horizontal="center" vertical="top"/>
    </xf>
    <xf numFmtId="166" fontId="13" fillId="0" borderId="48" xfId="0" applyNumberFormat="1" applyFont="1" applyFill="1" applyBorder="1" applyAlignment="1">
      <alignment horizontal="center" vertical="top"/>
    </xf>
    <xf numFmtId="166" fontId="13" fillId="0" borderId="18" xfId="0" applyNumberFormat="1" applyFont="1" applyFill="1" applyBorder="1" applyAlignment="1">
      <alignment horizontal="center" vertical="top"/>
    </xf>
    <xf numFmtId="166" fontId="2" fillId="7" borderId="96" xfId="0" applyNumberFormat="1" applyFont="1" applyFill="1" applyBorder="1" applyAlignment="1">
      <alignment vertical="top" wrapText="1"/>
    </xf>
    <xf numFmtId="166" fontId="2" fillId="7" borderId="102" xfId="0" applyNumberFormat="1" applyFont="1" applyFill="1" applyBorder="1" applyAlignment="1">
      <alignment vertical="top" wrapText="1"/>
    </xf>
    <xf numFmtId="166" fontId="2" fillId="0" borderId="80" xfId="0" applyNumberFormat="1" applyFont="1" applyFill="1" applyBorder="1" applyAlignment="1">
      <alignment horizontal="center" vertical="top"/>
    </xf>
    <xf numFmtId="166" fontId="2" fillId="0" borderId="96" xfId="0" applyNumberFormat="1" applyFont="1" applyFill="1" applyBorder="1" applyAlignment="1">
      <alignment horizontal="center" vertical="top"/>
    </xf>
    <xf numFmtId="166" fontId="2" fillId="7" borderId="80" xfId="0" applyNumberFormat="1" applyFont="1" applyFill="1" applyBorder="1" applyAlignment="1">
      <alignment horizontal="center" vertical="top"/>
    </xf>
    <xf numFmtId="166" fontId="2" fillId="7" borderId="100" xfId="0" applyNumberFormat="1" applyFont="1" applyFill="1" applyBorder="1" applyAlignment="1">
      <alignment horizontal="center" vertical="top"/>
    </xf>
    <xf numFmtId="166" fontId="2" fillId="7" borderId="93" xfId="0" applyNumberFormat="1" applyFont="1" applyFill="1" applyBorder="1" applyAlignment="1">
      <alignment horizontal="center" vertical="top"/>
    </xf>
    <xf numFmtId="166" fontId="2" fillId="7" borderId="85" xfId="0" applyNumberFormat="1" applyFont="1" applyFill="1" applyBorder="1" applyAlignment="1">
      <alignment horizontal="center" vertical="top"/>
    </xf>
    <xf numFmtId="166" fontId="2" fillId="7" borderId="121" xfId="0" applyNumberFormat="1" applyFont="1" applyFill="1" applyBorder="1" applyAlignment="1">
      <alignment horizontal="center" vertical="top"/>
    </xf>
    <xf numFmtId="166" fontId="2" fillId="7" borderId="122" xfId="0" applyNumberFormat="1" applyFont="1" applyFill="1" applyBorder="1" applyAlignment="1">
      <alignment horizontal="center" vertical="top"/>
    </xf>
    <xf numFmtId="166" fontId="2" fillId="7" borderId="102" xfId="0" applyNumberFormat="1" applyFont="1" applyFill="1" applyBorder="1" applyAlignment="1">
      <alignment horizontal="left" vertical="top" wrapText="1"/>
    </xf>
    <xf numFmtId="166" fontId="2" fillId="8" borderId="33" xfId="0" applyNumberFormat="1" applyFont="1" applyFill="1" applyBorder="1" applyAlignment="1">
      <alignment horizontal="center" vertical="top"/>
    </xf>
    <xf numFmtId="166" fontId="27" fillId="8" borderId="2" xfId="0" applyNumberFormat="1" applyFont="1" applyFill="1" applyBorder="1" applyAlignment="1">
      <alignment horizontal="center" vertical="top"/>
    </xf>
    <xf numFmtId="49" fontId="3" fillId="9" borderId="72" xfId="0" applyNumberFormat="1" applyFont="1" applyFill="1" applyBorder="1" applyAlignment="1">
      <alignment horizontal="center" vertical="top"/>
    </xf>
    <xf numFmtId="49" fontId="3" fillId="7" borderId="56" xfId="0" applyNumberFormat="1" applyFont="1" applyFill="1" applyBorder="1" applyAlignment="1">
      <alignment horizontal="center" vertical="top"/>
    </xf>
    <xf numFmtId="49" fontId="2" fillId="7" borderId="92" xfId="0" applyNumberFormat="1" applyFont="1" applyFill="1" applyBorder="1" applyAlignment="1">
      <alignment horizontal="center" vertical="top" wrapText="1"/>
    </xf>
    <xf numFmtId="3" fontId="13" fillId="7" borderId="0" xfId="0" applyNumberFormat="1" applyFont="1" applyFill="1" applyBorder="1" applyAlignment="1">
      <alignment horizontal="center" vertical="top" wrapText="1"/>
    </xf>
    <xf numFmtId="166" fontId="3" fillId="0" borderId="0" xfId="0" applyNumberFormat="1" applyFont="1" applyAlignment="1">
      <alignment vertical="top"/>
    </xf>
    <xf numFmtId="166" fontId="2" fillId="8" borderId="1"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center" vertical="top"/>
    </xf>
    <xf numFmtId="166" fontId="2" fillId="7" borderId="18" xfId="0" applyNumberFormat="1" applyFont="1" applyFill="1" applyBorder="1" applyAlignment="1">
      <alignment horizontal="center" vertical="center" wrapText="1"/>
    </xf>
    <xf numFmtId="49" fontId="2" fillId="7" borderId="11" xfId="0" applyNumberFormat="1" applyFont="1" applyFill="1" applyBorder="1" applyAlignment="1">
      <alignment horizontal="center" vertical="top" wrapText="1"/>
    </xf>
    <xf numFmtId="0" fontId="13" fillId="7" borderId="7" xfId="0" applyFont="1" applyFill="1" applyBorder="1" applyAlignment="1">
      <alignment vertical="top" wrapText="1"/>
    </xf>
    <xf numFmtId="0" fontId="37" fillId="0" borderId="0" xfId="0" applyFont="1" applyAlignment="1">
      <alignment vertical="center"/>
    </xf>
    <xf numFmtId="49" fontId="2" fillId="0" borderId="27" xfId="0" applyNumberFormat="1" applyFont="1" applyFill="1" applyBorder="1" applyAlignment="1">
      <alignment horizontal="center" vertical="top"/>
    </xf>
    <xf numFmtId="166" fontId="13" fillId="7" borderId="29" xfId="0" applyNumberFormat="1" applyFont="1" applyFill="1" applyBorder="1" applyAlignment="1">
      <alignment horizontal="left" vertical="top" wrapText="1"/>
    </xf>
    <xf numFmtId="49" fontId="13" fillId="7" borderId="28" xfId="0" applyNumberFormat="1" applyFont="1" applyFill="1" applyBorder="1" applyAlignment="1">
      <alignment horizontal="center" vertical="top"/>
    </xf>
    <xf numFmtId="49" fontId="13" fillId="0" borderId="75" xfId="0" applyNumberFormat="1" applyFont="1" applyFill="1" applyBorder="1" applyAlignment="1">
      <alignment horizontal="center" vertical="top"/>
    </xf>
    <xf numFmtId="49" fontId="2" fillId="0" borderId="104" xfId="0" applyNumberFormat="1" applyFont="1" applyFill="1" applyBorder="1" applyAlignment="1">
      <alignment horizontal="center" vertical="top"/>
    </xf>
    <xf numFmtId="49" fontId="2" fillId="0" borderId="96" xfId="0" applyNumberFormat="1" applyFont="1" applyFill="1" applyBorder="1" applyAlignment="1">
      <alignment horizontal="center" vertical="top"/>
    </xf>
    <xf numFmtId="49" fontId="2" fillId="7" borderId="94" xfId="0" applyNumberFormat="1" applyFont="1" applyFill="1" applyBorder="1" applyAlignment="1">
      <alignment horizontal="center" vertical="top"/>
    </xf>
    <xf numFmtId="166" fontId="13" fillId="7" borderId="85" xfId="0" applyNumberFormat="1" applyFont="1" applyFill="1" applyBorder="1" applyAlignment="1">
      <alignment horizontal="center" vertical="top"/>
    </xf>
    <xf numFmtId="166" fontId="13" fillId="7" borderId="122" xfId="0" applyNumberFormat="1" applyFont="1" applyFill="1" applyBorder="1" applyAlignment="1">
      <alignment horizontal="center" vertical="top"/>
    </xf>
    <xf numFmtId="49" fontId="2" fillId="0" borderId="81" xfId="0" applyNumberFormat="1" applyFont="1" applyFill="1" applyBorder="1" applyAlignment="1">
      <alignment horizontal="center" vertical="top"/>
    </xf>
    <xf numFmtId="166" fontId="2" fillId="0" borderId="0" xfId="0" applyNumberFormat="1" applyFont="1" applyFill="1" applyAlignment="1">
      <alignment horizontal="center" vertical="top"/>
    </xf>
    <xf numFmtId="3" fontId="13" fillId="0" borderId="48" xfId="0" applyNumberFormat="1" applyFont="1" applyFill="1" applyBorder="1" applyAlignment="1">
      <alignment horizontal="center" vertical="top"/>
    </xf>
    <xf numFmtId="0" fontId="18" fillId="7" borderId="29" xfId="0" applyFont="1" applyFill="1" applyBorder="1" applyAlignment="1">
      <alignment vertical="top" wrapText="1"/>
    </xf>
    <xf numFmtId="166" fontId="27" fillId="0" borderId="0" xfId="0" applyNumberFormat="1" applyFont="1" applyFill="1" applyBorder="1" applyAlignment="1">
      <alignment horizontal="center" vertical="top"/>
    </xf>
    <xf numFmtId="166" fontId="27" fillId="0" borderId="6" xfId="0" applyNumberFormat="1" applyFont="1" applyFill="1" applyBorder="1" applyAlignment="1">
      <alignment horizontal="center" vertical="top"/>
    </xf>
    <xf numFmtId="166" fontId="2" fillId="0" borderId="34" xfId="0" applyNumberFormat="1" applyFont="1" applyBorder="1" applyAlignment="1">
      <alignment vertical="top"/>
    </xf>
    <xf numFmtId="0" fontId="2" fillId="0" borderId="0" xfId="0" applyFont="1" applyBorder="1" applyAlignment="1">
      <alignment horizontal="right" vertical="top"/>
    </xf>
    <xf numFmtId="166" fontId="2" fillId="0" borderId="0" xfId="0" applyNumberFormat="1" applyFont="1" applyFill="1" applyBorder="1" applyAlignment="1">
      <alignment vertical="top"/>
    </xf>
    <xf numFmtId="166" fontId="2" fillId="8" borderId="24"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0" fontId="2" fillId="7" borderId="101" xfId="0" applyFont="1" applyFill="1" applyBorder="1" applyAlignment="1">
      <alignment vertical="top" wrapText="1"/>
    </xf>
    <xf numFmtId="3" fontId="2" fillId="0"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8" fillId="7" borderId="29" xfId="0" applyNumberFormat="1"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0" fontId="2" fillId="7" borderId="7" xfId="0" applyFont="1" applyFill="1" applyBorder="1" applyAlignment="1">
      <alignment vertical="top" wrapText="1"/>
    </xf>
    <xf numFmtId="49" fontId="13" fillId="7" borderId="18" xfId="0" applyNumberFormat="1" applyFont="1" applyFill="1" applyBorder="1" applyAlignment="1">
      <alignment horizontal="center" vertical="top"/>
    </xf>
    <xf numFmtId="49" fontId="13" fillId="7" borderId="21" xfId="0" applyNumberFormat="1" applyFont="1" applyFill="1" applyBorder="1" applyAlignment="1">
      <alignment horizontal="center" vertical="top"/>
    </xf>
    <xf numFmtId="166" fontId="8" fillId="7" borderId="7" xfId="0" applyNumberFormat="1" applyFont="1" applyFill="1" applyBorder="1" applyAlignment="1">
      <alignment vertical="top" wrapText="1"/>
    </xf>
    <xf numFmtId="3" fontId="2" fillId="0" borderId="20"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0" fontId="2" fillId="7" borderId="36" xfId="0" applyFont="1" applyFill="1" applyBorder="1" applyAlignment="1">
      <alignment vertical="top" wrapText="1"/>
    </xf>
    <xf numFmtId="0" fontId="2" fillId="7" borderId="7" xfId="0" applyFont="1" applyFill="1" applyBorder="1" applyAlignment="1">
      <alignment vertical="top" wrapText="1"/>
    </xf>
    <xf numFmtId="166" fontId="8" fillId="7" borderId="29" xfId="0" applyNumberFormat="1"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0" fontId="38" fillId="7" borderId="7" xfId="0" applyFont="1" applyFill="1" applyBorder="1" applyAlignment="1">
      <alignment vertical="top" wrapText="1"/>
    </xf>
    <xf numFmtId="3" fontId="38" fillId="7" borderId="48" xfId="0" applyNumberFormat="1" applyFont="1" applyFill="1" applyBorder="1" applyAlignment="1">
      <alignment horizontal="center" vertical="top" wrapText="1"/>
    </xf>
    <xf numFmtId="49" fontId="2" fillId="7" borderId="80" xfId="0" applyNumberFormat="1" applyFont="1" applyFill="1" applyBorder="1" applyAlignment="1">
      <alignment horizontal="center" vertical="top" wrapText="1"/>
    </xf>
    <xf numFmtId="49" fontId="38" fillId="7" borderId="102" xfId="0" applyNumberFormat="1" applyFont="1" applyFill="1" applyBorder="1" applyAlignment="1">
      <alignment horizontal="center" vertical="top"/>
    </xf>
    <xf numFmtId="49" fontId="38" fillId="7" borderId="80" xfId="0" applyNumberFormat="1" applyFont="1" applyFill="1" applyBorder="1" applyAlignment="1">
      <alignment horizontal="center" vertical="top"/>
    </xf>
    <xf numFmtId="3" fontId="38" fillId="7" borderId="102" xfId="0" applyNumberFormat="1" applyFont="1" applyFill="1" applyBorder="1" applyAlignment="1">
      <alignment horizontal="center" vertical="top"/>
    </xf>
    <xf numFmtId="3" fontId="38" fillId="7" borderId="107" xfId="0" applyNumberFormat="1" applyFont="1" applyFill="1" applyBorder="1" applyAlignment="1">
      <alignment horizontal="center" vertical="top"/>
    </xf>
    <xf numFmtId="166" fontId="13" fillId="7" borderId="1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166" fontId="18" fillId="7" borderId="20" xfId="0" applyNumberFormat="1" applyFont="1" applyFill="1" applyBorder="1" applyAlignment="1">
      <alignment horizontal="center" vertical="top"/>
    </xf>
    <xf numFmtId="166" fontId="18" fillId="7" borderId="49" xfId="0" applyNumberFormat="1" applyFont="1" applyFill="1" applyBorder="1" applyAlignment="1">
      <alignment horizontal="center" vertical="top"/>
    </xf>
    <xf numFmtId="166" fontId="18" fillId="7" borderId="28" xfId="0" applyNumberFormat="1" applyFont="1" applyFill="1" applyBorder="1" applyAlignment="1">
      <alignment horizontal="center" vertical="top"/>
    </xf>
    <xf numFmtId="166" fontId="18" fillId="7" borderId="64" xfId="0" applyNumberFormat="1" applyFont="1" applyFill="1" applyBorder="1" applyAlignment="1">
      <alignment horizontal="center" vertical="top"/>
    </xf>
    <xf numFmtId="49" fontId="36" fillId="7" borderId="51" xfId="0" applyNumberFormat="1" applyFont="1" applyFill="1" applyBorder="1" applyAlignment="1">
      <alignment horizontal="center" vertical="top"/>
    </xf>
    <xf numFmtId="3" fontId="13" fillId="7" borderId="25" xfId="0" applyNumberFormat="1" applyFont="1" applyFill="1" applyBorder="1" applyAlignment="1">
      <alignment horizontal="center" vertical="top"/>
    </xf>
    <xf numFmtId="49" fontId="13" fillId="7" borderId="48" xfId="0" applyNumberFormat="1" applyFont="1" applyFill="1" applyBorder="1" applyAlignment="1">
      <alignment horizontal="center" vertical="top"/>
    </xf>
    <xf numFmtId="165" fontId="13" fillId="7" borderId="43" xfId="0" applyNumberFormat="1" applyFont="1" applyFill="1" applyBorder="1" applyAlignment="1">
      <alignment horizontal="center" vertical="top"/>
    </xf>
    <xf numFmtId="49" fontId="13" fillId="0" borderId="85" xfId="0" applyNumberFormat="1" applyFont="1" applyFill="1" applyBorder="1" applyAlignment="1">
      <alignment horizontal="center" vertical="top" wrapText="1"/>
    </xf>
    <xf numFmtId="166" fontId="13" fillId="7" borderId="120" xfId="0" applyNumberFormat="1" applyFont="1" applyFill="1" applyBorder="1" applyAlignment="1">
      <alignment horizontal="center" vertical="top"/>
    </xf>
    <xf numFmtId="166" fontId="13" fillId="0" borderId="85" xfId="0" applyNumberFormat="1" applyFont="1" applyFill="1" applyBorder="1" applyAlignment="1">
      <alignment horizontal="center" vertical="top"/>
    </xf>
    <xf numFmtId="166" fontId="13" fillId="7" borderId="45" xfId="0" applyNumberFormat="1" applyFont="1" applyFill="1" applyBorder="1" applyAlignment="1">
      <alignment horizontal="center" vertical="top"/>
    </xf>
    <xf numFmtId="166" fontId="22" fillId="7" borderId="99" xfId="0" applyNumberFormat="1" applyFont="1" applyFill="1" applyBorder="1" applyAlignment="1">
      <alignment horizontal="center" vertical="top"/>
    </xf>
    <xf numFmtId="166" fontId="22" fillId="7" borderId="80" xfId="0" applyNumberFormat="1" applyFont="1" applyFill="1" applyBorder="1" applyAlignment="1">
      <alignment horizontal="center" vertical="top"/>
    </xf>
    <xf numFmtId="166" fontId="13" fillId="7" borderId="100" xfId="0" applyNumberFormat="1" applyFont="1" applyFill="1" applyBorder="1" applyAlignment="1">
      <alignment horizontal="center" vertical="top"/>
    </xf>
    <xf numFmtId="166" fontId="13" fillId="7" borderId="93" xfId="0" applyNumberFormat="1" applyFont="1" applyFill="1" applyBorder="1" applyAlignment="1">
      <alignment horizontal="center" vertical="top"/>
    </xf>
    <xf numFmtId="0" fontId="13" fillId="7" borderId="48" xfId="0" applyNumberFormat="1" applyFont="1" applyFill="1" applyBorder="1" applyAlignment="1">
      <alignment horizontal="center" vertical="top" wrapText="1"/>
    </xf>
    <xf numFmtId="0" fontId="13" fillId="7" borderId="18" xfId="0" applyNumberFormat="1" applyFont="1" applyFill="1" applyBorder="1" applyAlignment="1">
      <alignment horizontal="center" vertical="top" wrapText="1"/>
    </xf>
    <xf numFmtId="49" fontId="3" fillId="7" borderId="4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35" xfId="0" applyNumberFormat="1"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2" fillId="7" borderId="7" xfId="0" applyNumberFormat="1" applyFont="1" applyFill="1" applyBorder="1" applyAlignment="1">
      <alignment horizontal="left" vertical="top" wrapText="1"/>
    </xf>
    <xf numFmtId="166" fontId="2" fillId="7" borderId="11" xfId="0" applyNumberFormat="1" applyFont="1" applyFill="1" applyBorder="1" applyAlignment="1">
      <alignment horizontal="center" vertical="center" textRotation="90" wrapText="1"/>
    </xf>
    <xf numFmtId="166" fontId="2" fillId="7" borderId="36"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3" fillId="7"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0" fontId="0" fillId="7" borderId="28" xfId="0" applyFill="1" applyBorder="1" applyAlignment="1">
      <alignment horizontal="center" vertical="center" textRotation="90" wrapText="1"/>
    </xf>
    <xf numFmtId="0" fontId="8" fillId="7" borderId="7" xfId="0" applyFont="1" applyFill="1" applyBorder="1" applyAlignment="1">
      <alignment horizontal="left" vertical="top" wrapText="1"/>
    </xf>
    <xf numFmtId="0" fontId="2" fillId="7" borderId="36" xfId="0" applyFont="1" applyFill="1" applyBorder="1" applyAlignment="1">
      <alignment vertical="top" wrapText="1"/>
    </xf>
    <xf numFmtId="0" fontId="0" fillId="7" borderId="11" xfId="0" applyFill="1" applyBorder="1" applyAlignment="1">
      <alignment horizontal="left" vertical="top" wrapText="1"/>
    </xf>
    <xf numFmtId="166" fontId="3" fillId="3" borderId="28" xfId="0" applyNumberFormat="1" applyFont="1" applyFill="1" applyBorder="1" applyAlignment="1">
      <alignment horizontal="center" vertical="top" wrapText="1"/>
    </xf>
    <xf numFmtId="0" fontId="2" fillId="7" borderId="36" xfId="0" applyFont="1" applyFill="1" applyBorder="1" applyAlignment="1">
      <alignment horizontal="left" vertical="top" wrapText="1"/>
    </xf>
    <xf numFmtId="166" fontId="3" fillId="7" borderId="11" xfId="0" applyNumberFormat="1" applyFont="1" applyFill="1" applyBorder="1" applyAlignment="1">
      <alignment horizontal="center" vertical="center" textRotation="90" wrapText="1"/>
    </xf>
    <xf numFmtId="166" fontId="8" fillId="7" borderId="18" xfId="0" applyNumberFormat="1" applyFont="1" applyFill="1" applyBorder="1" applyAlignment="1">
      <alignment horizontal="center" vertical="top" wrapText="1"/>
    </xf>
    <xf numFmtId="0" fontId="8" fillId="7" borderId="29" xfId="0" applyFont="1" applyFill="1" applyBorder="1" applyAlignment="1">
      <alignment horizontal="left" vertical="top" wrapText="1"/>
    </xf>
    <xf numFmtId="3" fontId="2" fillId="7" borderId="28" xfId="0" applyNumberFormat="1" applyFont="1" applyFill="1" applyBorder="1" applyAlignment="1">
      <alignment horizontal="center" vertical="top" wrapText="1"/>
    </xf>
    <xf numFmtId="166" fontId="3" fillId="8" borderId="11"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0" fontId="3" fillId="7" borderId="37" xfId="0" applyFont="1" applyFill="1" applyBorder="1" applyAlignment="1">
      <alignment vertical="top" wrapText="1"/>
    </xf>
    <xf numFmtId="49" fontId="21" fillId="0" borderId="0" xfId="0" applyNumberFormat="1" applyFont="1"/>
    <xf numFmtId="49" fontId="2" fillId="0" borderId="32" xfId="0" applyNumberFormat="1" applyFont="1" applyBorder="1" applyAlignment="1">
      <alignment vertical="top"/>
    </xf>
    <xf numFmtId="49" fontId="2" fillId="7" borderId="13" xfId="0" applyNumberFormat="1" applyFont="1" applyFill="1" applyBorder="1" applyAlignment="1">
      <alignment horizontal="center" vertical="top"/>
    </xf>
    <xf numFmtId="49" fontId="2" fillId="0" borderId="0" xfId="0" applyNumberFormat="1" applyFont="1" applyAlignment="1">
      <alignment vertical="top"/>
    </xf>
    <xf numFmtId="166" fontId="3" fillId="7" borderId="11" xfId="0" applyNumberFormat="1" applyFont="1" applyFill="1" applyBorder="1" applyAlignment="1">
      <alignment horizontal="center" vertical="center" wrapText="1"/>
    </xf>
    <xf numFmtId="166" fontId="3" fillId="7" borderId="11" xfId="0" applyNumberFormat="1" applyFont="1" applyFill="1" applyBorder="1" applyAlignment="1">
      <alignment horizontal="center" vertical="top" textRotation="90" wrapText="1"/>
    </xf>
    <xf numFmtId="0" fontId="4" fillId="0" borderId="20" xfId="0" applyFont="1" applyFill="1" applyBorder="1" applyAlignment="1">
      <alignment horizontal="center" vertical="top" wrapText="1"/>
    </xf>
    <xf numFmtId="0" fontId="2" fillId="0" borderId="19" xfId="0" applyFont="1" applyBorder="1" applyAlignment="1">
      <alignment horizontal="left" vertical="top" wrapText="1"/>
    </xf>
    <xf numFmtId="166" fontId="4" fillId="7" borderId="20" xfId="0" applyNumberFormat="1" applyFont="1" applyFill="1" applyBorder="1" applyAlignment="1">
      <alignment horizontal="center" vertical="top" wrapText="1"/>
    </xf>
    <xf numFmtId="0" fontId="7" fillId="7" borderId="35" xfId="0" applyFont="1" applyFill="1" applyBorder="1" applyAlignment="1">
      <alignment vertical="top" wrapText="1"/>
    </xf>
    <xf numFmtId="165" fontId="2" fillId="7" borderId="64" xfId="0" applyNumberFormat="1" applyFont="1" applyFill="1" applyBorder="1" applyAlignment="1">
      <alignment horizontal="center" vertical="top"/>
    </xf>
    <xf numFmtId="165" fontId="2" fillId="7" borderId="53" xfId="0" applyNumberFormat="1" applyFont="1" applyFill="1" applyBorder="1" applyAlignment="1">
      <alignment horizontal="center" vertical="top"/>
    </xf>
    <xf numFmtId="165" fontId="2" fillId="7" borderId="75" xfId="0" applyNumberFormat="1" applyFont="1" applyFill="1" applyBorder="1" applyAlignment="1">
      <alignment horizontal="center" vertical="top"/>
    </xf>
    <xf numFmtId="3" fontId="13" fillId="7" borderId="48" xfId="0" applyNumberFormat="1" applyFont="1" applyFill="1" applyBorder="1" applyAlignment="1">
      <alignment horizontal="center" vertical="top" wrapText="1"/>
    </xf>
    <xf numFmtId="3" fontId="2" fillId="7" borderId="107" xfId="0" applyNumberFormat="1" applyFont="1" applyFill="1" applyBorder="1" applyAlignment="1">
      <alignment horizontal="center" vertical="top" wrapText="1"/>
    </xf>
    <xf numFmtId="166" fontId="2" fillId="7" borderId="122" xfId="0" applyNumberFormat="1" applyFont="1" applyFill="1" applyBorder="1" applyAlignment="1">
      <alignment horizontal="left" vertical="top" wrapText="1"/>
    </xf>
    <xf numFmtId="0" fontId="2" fillId="7" borderId="19" xfId="0" applyFont="1" applyFill="1" applyBorder="1" applyAlignment="1">
      <alignment horizontal="left" vertical="top" wrapText="1"/>
    </xf>
    <xf numFmtId="0" fontId="18" fillId="7" borderId="19" xfId="0" applyFont="1" applyFill="1" applyBorder="1" applyAlignment="1">
      <alignment vertical="top" wrapText="1"/>
    </xf>
    <xf numFmtId="0" fontId="2" fillId="7" borderId="122" xfId="0" applyFont="1" applyFill="1" applyBorder="1" applyAlignment="1">
      <alignment horizontal="left" vertical="top" wrapText="1"/>
    </xf>
    <xf numFmtId="0" fontId="2" fillId="7" borderId="120" xfId="0" applyFont="1" applyFill="1" applyBorder="1" applyAlignment="1">
      <alignment horizontal="left" vertical="top" wrapText="1"/>
    </xf>
    <xf numFmtId="166" fontId="39" fillId="7" borderId="20" xfId="0" applyNumberFormat="1" applyFont="1" applyFill="1" applyBorder="1" applyAlignment="1">
      <alignment horizontal="center" vertical="top"/>
    </xf>
    <xf numFmtId="165" fontId="39" fillId="7" borderId="38" xfId="0" applyNumberFormat="1" applyFont="1" applyFill="1" applyBorder="1" applyAlignment="1">
      <alignment horizontal="center" vertical="top"/>
    </xf>
    <xf numFmtId="166" fontId="18" fillId="7" borderId="34" xfId="0" applyNumberFormat="1" applyFont="1" applyFill="1" applyBorder="1" applyAlignment="1">
      <alignment horizontal="center" vertical="top" wrapText="1"/>
    </xf>
    <xf numFmtId="165" fontId="39" fillId="7" borderId="43" xfId="0" applyNumberFormat="1" applyFont="1" applyFill="1" applyBorder="1" applyAlignment="1">
      <alignment horizontal="center" vertical="top"/>
    </xf>
    <xf numFmtId="165" fontId="39" fillId="7" borderId="53" xfId="0" applyNumberFormat="1" applyFont="1" applyFill="1" applyBorder="1" applyAlignment="1">
      <alignment horizontal="center" vertical="top"/>
    </xf>
    <xf numFmtId="165" fontId="18" fillId="7" borderId="53" xfId="0" applyNumberFormat="1" applyFont="1" applyFill="1" applyBorder="1" applyAlignment="1">
      <alignment horizontal="center" vertical="top"/>
    </xf>
    <xf numFmtId="165" fontId="18" fillId="7" borderId="75" xfId="0" applyNumberFormat="1" applyFont="1" applyFill="1" applyBorder="1" applyAlignment="1">
      <alignment horizontal="center" vertical="top"/>
    </xf>
    <xf numFmtId="165" fontId="18" fillId="7" borderId="59" xfId="0" applyNumberFormat="1" applyFont="1" applyFill="1" applyBorder="1" applyAlignment="1">
      <alignment horizontal="center" vertical="top"/>
    </xf>
    <xf numFmtId="165" fontId="18" fillId="7" borderId="43" xfId="0" applyNumberFormat="1" applyFont="1" applyFill="1" applyBorder="1" applyAlignment="1">
      <alignment horizontal="center" vertical="top"/>
    </xf>
    <xf numFmtId="165" fontId="18" fillId="7" borderId="0" xfId="0" applyNumberFormat="1" applyFont="1" applyFill="1" applyBorder="1" applyAlignment="1">
      <alignment horizontal="center" vertical="top"/>
    </xf>
    <xf numFmtId="0" fontId="2" fillId="7" borderId="43" xfId="0" applyFont="1" applyFill="1" applyBorder="1" applyAlignment="1">
      <alignment vertical="top"/>
    </xf>
    <xf numFmtId="3" fontId="6" fillId="7" borderId="89" xfId="0" applyNumberFormat="1" applyFont="1" applyFill="1" applyBorder="1" applyAlignment="1">
      <alignment horizontal="center" vertical="center" wrapText="1"/>
    </xf>
    <xf numFmtId="3" fontId="6" fillId="7" borderId="20" xfId="0" applyNumberFormat="1" applyFont="1" applyFill="1" applyBorder="1" applyAlignment="1">
      <alignment horizontal="center" vertical="center" wrapText="1"/>
    </xf>
    <xf numFmtId="3" fontId="6" fillId="7" borderId="11" xfId="0" applyNumberFormat="1" applyFont="1" applyFill="1" applyBorder="1" applyAlignment="1">
      <alignment horizontal="center" vertical="center" wrapText="1"/>
    </xf>
    <xf numFmtId="0" fontId="2" fillId="7" borderId="45" xfId="0" applyFont="1" applyFill="1" applyBorder="1" applyAlignment="1">
      <alignment vertical="top" wrapText="1"/>
    </xf>
    <xf numFmtId="0" fontId="2" fillId="7" borderId="19" xfId="0" applyFont="1" applyFill="1" applyBorder="1" applyAlignment="1">
      <alignment vertical="top" wrapText="1"/>
    </xf>
    <xf numFmtId="0" fontId="32" fillId="7" borderId="47" xfId="0" applyFont="1" applyFill="1" applyBorder="1" applyAlignment="1">
      <alignment vertical="top" wrapText="1"/>
    </xf>
    <xf numFmtId="49" fontId="40" fillId="9" borderId="16" xfId="0" applyNumberFormat="1" applyFont="1" applyFill="1" applyBorder="1" applyAlignment="1">
      <alignment horizontal="center" vertical="top"/>
    </xf>
    <xf numFmtId="49" fontId="40" fillId="2" borderId="35" xfId="0" applyNumberFormat="1" applyFont="1" applyFill="1" applyBorder="1" applyAlignment="1">
      <alignment horizontal="center" vertical="top"/>
    </xf>
    <xf numFmtId="0" fontId="41" fillId="0" borderId="0" xfId="0" applyFont="1" applyBorder="1" applyAlignment="1">
      <alignment vertical="top"/>
    </xf>
    <xf numFmtId="49" fontId="40" fillId="9" borderId="7" xfId="0" applyNumberFormat="1" applyFont="1" applyFill="1" applyBorder="1" applyAlignment="1">
      <alignment horizontal="center" vertical="top"/>
    </xf>
    <xf numFmtId="49" fontId="40" fillId="2" borderId="11" xfId="0" applyNumberFormat="1" applyFont="1" applyFill="1" applyBorder="1" applyAlignment="1">
      <alignment horizontal="center" vertical="top"/>
    </xf>
    <xf numFmtId="49" fontId="40" fillId="7" borderId="11" xfId="0" applyNumberFormat="1" applyFont="1" applyFill="1" applyBorder="1" applyAlignment="1">
      <alignment horizontal="center" vertical="top"/>
    </xf>
    <xf numFmtId="49" fontId="40" fillId="7" borderId="48" xfId="0" applyNumberFormat="1" applyFont="1" applyFill="1" applyBorder="1" applyAlignment="1">
      <alignment horizontal="center" vertical="top"/>
    </xf>
    <xf numFmtId="0" fontId="41" fillId="7" borderId="34" xfId="0" applyFont="1" applyFill="1" applyBorder="1" applyAlignment="1">
      <alignment horizontal="center" vertical="top"/>
    </xf>
    <xf numFmtId="165" fontId="41" fillId="7" borderId="34" xfId="0" applyNumberFormat="1" applyFont="1" applyFill="1" applyBorder="1" applyAlignment="1">
      <alignment horizontal="center" vertical="top"/>
    </xf>
    <xf numFmtId="165" fontId="41" fillId="7" borderId="20" xfId="0" applyNumberFormat="1" applyFont="1" applyFill="1" applyBorder="1" applyAlignment="1">
      <alignment horizontal="center" vertical="top"/>
    </xf>
    <xf numFmtId="165" fontId="41" fillId="7" borderId="43" xfId="0" applyNumberFormat="1" applyFont="1" applyFill="1" applyBorder="1" applyAlignment="1">
      <alignment horizontal="center" vertical="top"/>
    </xf>
    <xf numFmtId="165" fontId="44" fillId="7" borderId="43" xfId="0" applyNumberFormat="1" applyFont="1" applyFill="1" applyBorder="1" applyAlignment="1">
      <alignment horizontal="center" vertical="top"/>
    </xf>
    <xf numFmtId="0" fontId="41" fillId="7" borderId="34" xfId="0" applyFont="1" applyFill="1" applyBorder="1" applyAlignment="1">
      <alignment vertical="top"/>
    </xf>
    <xf numFmtId="0" fontId="41" fillId="7" borderId="11" xfId="0" applyFont="1" applyFill="1" applyBorder="1" applyAlignment="1">
      <alignment vertical="top"/>
    </xf>
    <xf numFmtId="0" fontId="41" fillId="7" borderId="0" xfId="0" applyFont="1" applyFill="1" applyBorder="1" applyAlignment="1">
      <alignment vertical="top"/>
    </xf>
    <xf numFmtId="0" fontId="41" fillId="7" borderId="46" xfId="0" applyFont="1" applyFill="1" applyBorder="1" applyAlignment="1">
      <alignment vertical="top"/>
    </xf>
    <xf numFmtId="0" fontId="41" fillId="7" borderId="21" xfId="0" applyFont="1" applyFill="1" applyBorder="1" applyAlignment="1">
      <alignment vertical="top"/>
    </xf>
    <xf numFmtId="165" fontId="41" fillId="7" borderId="11" xfId="0" applyNumberFormat="1" applyFont="1" applyFill="1" applyBorder="1" applyAlignment="1">
      <alignment horizontal="center" vertical="top"/>
    </xf>
    <xf numFmtId="165" fontId="41" fillId="7" borderId="0" xfId="0" applyNumberFormat="1" applyFont="1" applyFill="1" applyBorder="1" applyAlignment="1">
      <alignment horizontal="center" vertical="top"/>
    </xf>
    <xf numFmtId="0" fontId="41" fillId="7" borderId="48" xfId="0" applyFont="1" applyFill="1" applyBorder="1" applyAlignment="1">
      <alignment vertical="top"/>
    </xf>
    <xf numFmtId="0" fontId="41" fillId="7" borderId="18" xfId="0" applyFont="1" applyFill="1" applyBorder="1" applyAlignment="1">
      <alignment vertical="top"/>
    </xf>
    <xf numFmtId="0" fontId="42" fillId="7" borderId="48" xfId="0" applyFont="1" applyFill="1" applyBorder="1" applyAlignment="1">
      <alignment vertical="top" wrapText="1"/>
    </xf>
    <xf numFmtId="166" fontId="45" fillId="7" borderId="20" xfId="0" applyNumberFormat="1" applyFont="1" applyFill="1" applyBorder="1" applyAlignment="1">
      <alignment horizontal="center" vertical="center" wrapText="1"/>
    </xf>
    <xf numFmtId="166" fontId="41" fillId="7" borderId="8" xfId="0" applyNumberFormat="1" applyFont="1" applyFill="1" applyBorder="1" applyAlignment="1">
      <alignment horizontal="center" vertical="top"/>
    </xf>
    <xf numFmtId="166" fontId="41" fillId="7" borderId="49" xfId="0" applyNumberFormat="1" applyFont="1" applyFill="1" applyBorder="1" applyAlignment="1">
      <alignment horizontal="center" vertical="top"/>
    </xf>
    <xf numFmtId="166" fontId="41" fillId="7" borderId="20" xfId="0" applyNumberFormat="1" applyFont="1" applyFill="1" applyBorder="1" applyAlignment="1">
      <alignment horizontal="center" vertical="top"/>
    </xf>
    <xf numFmtId="166" fontId="41" fillId="7" borderId="38" xfId="0" applyNumberFormat="1" applyFont="1" applyFill="1" applyBorder="1" applyAlignment="1">
      <alignment horizontal="center" vertical="top"/>
    </xf>
    <xf numFmtId="166" fontId="41" fillId="7" borderId="59" xfId="0" applyNumberFormat="1" applyFont="1" applyFill="1" applyBorder="1" applyAlignment="1">
      <alignment horizontal="center" vertical="top"/>
    </xf>
    <xf numFmtId="49" fontId="41" fillId="7" borderId="20" xfId="0" applyNumberFormat="1" applyFont="1" applyFill="1" applyBorder="1" applyAlignment="1">
      <alignment horizontal="center" vertical="top"/>
    </xf>
    <xf numFmtId="49" fontId="41" fillId="7" borderId="59" xfId="0" applyNumberFormat="1" applyFont="1" applyFill="1" applyBorder="1" applyAlignment="1">
      <alignment horizontal="center" vertical="top"/>
    </xf>
    <xf numFmtId="49" fontId="41" fillId="7" borderId="46" xfId="0" applyNumberFormat="1" applyFont="1" applyFill="1" applyBorder="1" applyAlignment="1">
      <alignment horizontal="center" vertical="top"/>
    </xf>
    <xf numFmtId="49" fontId="41" fillId="7" borderId="21" xfId="0" applyNumberFormat="1" applyFont="1" applyFill="1" applyBorder="1" applyAlignment="1">
      <alignment horizontal="center" vertical="top"/>
    </xf>
    <xf numFmtId="166" fontId="41" fillId="7" borderId="6" xfId="0" applyNumberFormat="1" applyFont="1" applyFill="1" applyBorder="1" applyAlignment="1">
      <alignment horizontal="center" vertical="top"/>
    </xf>
    <xf numFmtId="166" fontId="41" fillId="7" borderId="34" xfId="0" applyNumberFormat="1" applyFont="1" applyFill="1" applyBorder="1" applyAlignment="1">
      <alignment horizontal="center" vertical="top"/>
    </xf>
    <xf numFmtId="166" fontId="41" fillId="7" borderId="11" xfId="0" applyNumberFormat="1" applyFont="1" applyFill="1" applyBorder="1" applyAlignment="1">
      <alignment horizontal="center" vertical="top"/>
    </xf>
    <xf numFmtId="166" fontId="41" fillId="7" borderId="43" xfId="0" applyNumberFormat="1" applyFont="1" applyFill="1" applyBorder="1" applyAlignment="1">
      <alignment horizontal="center" vertical="top"/>
    </xf>
    <xf numFmtId="166" fontId="41" fillId="7" borderId="0" xfId="0" applyNumberFormat="1" applyFont="1" applyFill="1" applyBorder="1" applyAlignment="1">
      <alignment horizontal="center" vertical="top"/>
    </xf>
    <xf numFmtId="49" fontId="41" fillId="7" borderId="80" xfId="0" applyNumberFormat="1" applyFont="1" applyFill="1" applyBorder="1" applyAlignment="1">
      <alignment horizontal="center" vertical="top"/>
    </xf>
    <xf numFmtId="49" fontId="41" fillId="7" borderId="104" xfId="0" applyNumberFormat="1" applyFont="1" applyFill="1" applyBorder="1" applyAlignment="1">
      <alignment horizontal="center" vertical="top"/>
    </xf>
    <xf numFmtId="49" fontId="41" fillId="7" borderId="96" xfId="0" applyNumberFormat="1" applyFont="1" applyFill="1" applyBorder="1" applyAlignment="1">
      <alignment horizontal="center" vertical="top"/>
    </xf>
    <xf numFmtId="49" fontId="41" fillId="7" borderId="18" xfId="0" applyNumberFormat="1" applyFont="1" applyFill="1" applyBorder="1" applyAlignment="1">
      <alignment horizontal="center" vertical="top"/>
    </xf>
    <xf numFmtId="166" fontId="41" fillId="7" borderId="64" xfId="0" applyNumberFormat="1" applyFont="1" applyFill="1" applyBorder="1" applyAlignment="1">
      <alignment horizontal="center" vertical="top"/>
    </xf>
    <xf numFmtId="166" fontId="41" fillId="7" borderId="28" xfId="0" applyNumberFormat="1" applyFont="1" applyFill="1" applyBorder="1" applyAlignment="1">
      <alignment horizontal="center" vertical="top"/>
    </xf>
    <xf numFmtId="166" fontId="41" fillId="7" borderId="53" xfId="0" applyNumberFormat="1" applyFont="1" applyFill="1" applyBorder="1" applyAlignment="1">
      <alignment horizontal="center" vertical="top"/>
    </xf>
    <xf numFmtId="166" fontId="41" fillId="7" borderId="79" xfId="0" applyNumberFormat="1" applyFont="1" applyFill="1" applyBorder="1" applyAlignment="1">
      <alignment vertical="top" wrapText="1"/>
    </xf>
    <xf numFmtId="166" fontId="40" fillId="7" borderId="1" xfId="0" applyNumberFormat="1" applyFont="1" applyFill="1" applyBorder="1" applyAlignment="1">
      <alignment horizontal="center" vertical="top" wrapText="1"/>
    </xf>
    <xf numFmtId="0" fontId="47" fillId="7" borderId="49" xfId="0" applyFont="1" applyFill="1" applyBorder="1" applyAlignment="1">
      <alignment horizontal="center" vertical="top"/>
    </xf>
    <xf numFmtId="166" fontId="47" fillId="7" borderId="20" xfId="0" applyNumberFormat="1" applyFont="1" applyFill="1" applyBorder="1" applyAlignment="1">
      <alignment horizontal="center" vertical="top" wrapText="1"/>
    </xf>
    <xf numFmtId="166" fontId="47" fillId="7" borderId="38" xfId="0" applyNumberFormat="1" applyFont="1" applyFill="1" applyBorder="1" applyAlignment="1">
      <alignment horizontal="center" vertical="top" wrapText="1"/>
    </xf>
    <xf numFmtId="166" fontId="47" fillId="7" borderId="59" xfId="0" applyNumberFormat="1" applyFont="1" applyFill="1" applyBorder="1" applyAlignment="1">
      <alignment horizontal="center" vertical="top"/>
    </xf>
    <xf numFmtId="166" fontId="47" fillId="7" borderId="20" xfId="0" applyNumberFormat="1" applyFont="1" applyFill="1" applyBorder="1" applyAlignment="1">
      <alignment horizontal="center" vertical="top"/>
    </xf>
    <xf numFmtId="166" fontId="47" fillId="7" borderId="49" xfId="0" applyNumberFormat="1" applyFont="1" applyFill="1" applyBorder="1" applyAlignment="1">
      <alignment horizontal="center" vertical="top"/>
    </xf>
    <xf numFmtId="166" fontId="47" fillId="7" borderId="38" xfId="0" applyNumberFormat="1" applyFont="1" applyFill="1" applyBorder="1" applyAlignment="1">
      <alignment horizontal="center" vertical="top"/>
    </xf>
    <xf numFmtId="0" fontId="47" fillId="7" borderId="99" xfId="0" applyFont="1" applyFill="1" applyBorder="1" applyAlignment="1">
      <alignment horizontal="center" vertical="top"/>
    </xf>
    <xf numFmtId="0" fontId="47" fillId="7" borderId="79" xfId="0" applyFont="1" applyFill="1" applyBorder="1" applyAlignment="1">
      <alignment horizontal="center" vertical="top"/>
    </xf>
    <xf numFmtId="166" fontId="47" fillId="7" borderId="80" xfId="0" applyNumberFormat="1" applyFont="1" applyFill="1" applyBorder="1" applyAlignment="1">
      <alignment horizontal="center" vertical="top" wrapText="1"/>
    </xf>
    <xf numFmtId="166" fontId="47" fillId="7" borderId="100" xfId="0" applyNumberFormat="1" applyFont="1" applyFill="1" applyBorder="1" applyAlignment="1">
      <alignment horizontal="center" vertical="top" wrapText="1"/>
    </xf>
    <xf numFmtId="166" fontId="47" fillId="7" borderId="104" xfId="0" applyNumberFormat="1" applyFont="1" applyFill="1" applyBorder="1" applyAlignment="1">
      <alignment horizontal="center" vertical="top"/>
    </xf>
    <xf numFmtId="166" fontId="47" fillId="7" borderId="80" xfId="0" applyNumberFormat="1" applyFont="1" applyFill="1" applyBorder="1" applyAlignment="1">
      <alignment horizontal="center" vertical="top"/>
    </xf>
    <xf numFmtId="166" fontId="47" fillId="7" borderId="99" xfId="0" applyNumberFormat="1" applyFont="1" applyFill="1" applyBorder="1" applyAlignment="1">
      <alignment horizontal="center" vertical="top"/>
    </xf>
    <xf numFmtId="166" fontId="48" fillId="7" borderId="80" xfId="0" applyNumberFormat="1" applyFont="1" applyFill="1" applyBorder="1" applyAlignment="1">
      <alignment horizontal="center" vertical="top"/>
    </xf>
    <xf numFmtId="166" fontId="48" fillId="7" borderId="100" xfId="0" applyNumberFormat="1" applyFont="1" applyFill="1" applyBorder="1" applyAlignment="1">
      <alignment horizontal="center" vertical="top"/>
    </xf>
    <xf numFmtId="0" fontId="47" fillId="7" borderId="34" xfId="0" applyFont="1" applyFill="1" applyBorder="1" applyAlignment="1">
      <alignment horizontal="center" vertical="top"/>
    </xf>
    <xf numFmtId="166" fontId="47" fillId="7" borderId="11" xfId="0" applyNumberFormat="1" applyFont="1" applyFill="1" applyBorder="1" applyAlignment="1">
      <alignment horizontal="center" vertical="top" wrapText="1"/>
    </xf>
    <xf numFmtId="166" fontId="47" fillId="7" borderId="43" xfId="0" applyNumberFormat="1" applyFont="1" applyFill="1" applyBorder="1" applyAlignment="1">
      <alignment horizontal="center" vertical="top" wrapText="1"/>
    </xf>
    <xf numFmtId="166" fontId="47" fillId="7" borderId="0" xfId="0" applyNumberFormat="1" applyFont="1" applyFill="1" applyBorder="1" applyAlignment="1">
      <alignment horizontal="center" vertical="top"/>
    </xf>
    <xf numFmtId="166" fontId="47" fillId="7" borderId="11" xfId="0" applyNumberFormat="1" applyFont="1" applyFill="1" applyBorder="1" applyAlignment="1">
      <alignment horizontal="center" vertical="top"/>
    </xf>
    <xf numFmtId="166" fontId="47" fillId="7" borderId="34" xfId="0" applyNumberFormat="1" applyFont="1" applyFill="1" applyBorder="1" applyAlignment="1">
      <alignment horizontal="center" vertical="top"/>
    </xf>
    <xf numFmtId="166" fontId="47" fillId="7" borderId="43" xfId="0" applyNumberFormat="1" applyFont="1" applyFill="1" applyBorder="1" applyAlignment="1">
      <alignment horizontal="center" vertical="top"/>
    </xf>
    <xf numFmtId="166" fontId="48" fillId="7" borderId="11" xfId="0" applyNumberFormat="1" applyFont="1" applyFill="1" applyBorder="1" applyAlignment="1">
      <alignment horizontal="center" vertical="top"/>
    </xf>
    <xf numFmtId="166" fontId="48" fillId="7" borderId="43" xfId="0" applyNumberFormat="1" applyFont="1" applyFill="1" applyBorder="1" applyAlignment="1">
      <alignment horizontal="center" vertical="top"/>
    </xf>
    <xf numFmtId="3" fontId="41" fillId="7" borderId="48" xfId="0" applyNumberFormat="1" applyFont="1" applyFill="1" applyBorder="1" applyAlignment="1">
      <alignment horizontal="center" vertical="top"/>
    </xf>
    <xf numFmtId="49" fontId="41" fillId="7" borderId="48" xfId="0" applyNumberFormat="1" applyFont="1" applyFill="1" applyBorder="1" applyAlignment="1">
      <alignment horizontal="center" vertical="top"/>
    </xf>
    <xf numFmtId="3" fontId="41" fillId="7" borderId="35" xfId="0" applyNumberFormat="1" applyFont="1" applyFill="1" applyBorder="1" applyAlignment="1">
      <alignment horizontal="center" vertical="top"/>
    </xf>
    <xf numFmtId="3" fontId="46" fillId="7" borderId="0" xfId="0" applyNumberFormat="1" applyFont="1" applyFill="1" applyBorder="1" applyAlignment="1">
      <alignment horizontal="center" vertical="top" wrapText="1"/>
    </xf>
    <xf numFmtId="3" fontId="46" fillId="7" borderId="46" xfId="0" applyNumberFormat="1" applyFont="1" applyFill="1" applyBorder="1" applyAlignment="1">
      <alignment horizontal="center" vertical="top" wrapText="1"/>
    </xf>
    <xf numFmtId="3" fontId="46" fillId="7" borderId="18" xfId="0" applyNumberFormat="1" applyFont="1" applyFill="1" applyBorder="1" applyAlignment="1">
      <alignment horizontal="center" vertical="top" wrapText="1"/>
    </xf>
    <xf numFmtId="166" fontId="40" fillId="7" borderId="75" xfId="0" applyNumberFormat="1" applyFont="1" applyFill="1" applyBorder="1" applyAlignment="1">
      <alignment horizontal="center" vertical="top" textRotation="90" wrapText="1"/>
    </xf>
    <xf numFmtId="166" fontId="41" fillId="7" borderId="64" xfId="0" applyNumberFormat="1" applyFont="1" applyFill="1" applyBorder="1" applyAlignment="1">
      <alignment horizontal="center" vertical="top" wrapText="1"/>
    </xf>
    <xf numFmtId="166" fontId="41" fillId="7" borderId="75" xfId="0" applyNumberFormat="1" applyFont="1" applyFill="1" applyBorder="1" applyAlignment="1">
      <alignment horizontal="center" vertical="top"/>
    </xf>
    <xf numFmtId="166" fontId="47" fillId="7" borderId="29" xfId="0" applyNumberFormat="1" applyFont="1" applyFill="1" applyBorder="1" applyAlignment="1">
      <alignment horizontal="left" vertical="top" wrapText="1"/>
    </xf>
    <xf numFmtId="3" fontId="46" fillId="7" borderId="75" xfId="0" applyNumberFormat="1" applyFont="1" applyFill="1" applyBorder="1" applyAlignment="1">
      <alignment horizontal="center" vertical="center" wrapText="1"/>
    </xf>
    <xf numFmtId="3" fontId="46" fillId="7" borderId="35" xfId="0" applyNumberFormat="1" applyFont="1" applyFill="1" applyBorder="1" applyAlignment="1">
      <alignment horizontal="center" vertical="center" wrapText="1"/>
    </xf>
    <xf numFmtId="3" fontId="46" fillId="7" borderId="18" xfId="0" applyNumberFormat="1" applyFont="1" applyFill="1" applyBorder="1" applyAlignment="1">
      <alignment horizontal="center" vertical="center" wrapText="1"/>
    </xf>
    <xf numFmtId="166" fontId="40" fillId="7" borderId="48" xfId="0" applyNumberFormat="1" applyFont="1" applyFill="1" applyBorder="1" applyAlignment="1">
      <alignment vertical="top"/>
    </xf>
    <xf numFmtId="166" fontId="40" fillId="7" borderId="0" xfId="0" applyNumberFormat="1" applyFont="1" applyFill="1" applyBorder="1" applyAlignment="1">
      <alignment horizontal="center" vertical="top"/>
    </xf>
    <xf numFmtId="3" fontId="41" fillId="7" borderId="46" xfId="0" applyNumberFormat="1" applyFont="1" applyFill="1" applyBorder="1" applyAlignment="1">
      <alignment horizontal="center" vertical="top"/>
    </xf>
    <xf numFmtId="3" fontId="41" fillId="7" borderId="46" xfId="0" applyNumberFormat="1" applyFont="1" applyFill="1" applyBorder="1" applyAlignment="1">
      <alignment horizontal="center" vertical="top" wrapText="1"/>
    </xf>
    <xf numFmtId="3" fontId="41" fillId="7" borderId="18" xfId="0" applyNumberFormat="1" applyFont="1" applyFill="1" applyBorder="1" applyAlignment="1">
      <alignment horizontal="center" vertical="top" wrapText="1"/>
    </xf>
    <xf numFmtId="3" fontId="41" fillId="7" borderId="48" xfId="0" applyNumberFormat="1" applyFont="1" applyFill="1" applyBorder="1" applyAlignment="1">
      <alignment horizontal="center" vertical="top" wrapText="1"/>
    </xf>
    <xf numFmtId="166" fontId="41" fillId="7" borderId="88" xfId="0" applyNumberFormat="1" applyFont="1" applyFill="1" applyBorder="1" applyAlignment="1">
      <alignment horizontal="left" vertical="top" wrapText="1"/>
    </xf>
    <xf numFmtId="3" fontId="46" fillId="7" borderId="90" xfId="0" applyNumberFormat="1" applyFont="1" applyFill="1" applyBorder="1" applyAlignment="1">
      <alignment horizontal="center" vertical="center" wrapText="1"/>
    </xf>
    <xf numFmtId="166" fontId="43" fillId="7" borderId="11" xfId="0" applyNumberFormat="1" applyFont="1" applyFill="1" applyBorder="1" applyAlignment="1">
      <alignment horizontal="center" vertical="top" wrapText="1"/>
    </xf>
    <xf numFmtId="166" fontId="41" fillId="7" borderId="0" xfId="0" applyNumberFormat="1" applyFont="1" applyFill="1" applyBorder="1" applyAlignment="1">
      <alignment vertical="top"/>
    </xf>
    <xf numFmtId="166" fontId="41" fillId="7" borderId="11" xfId="0" applyNumberFormat="1" applyFont="1" applyFill="1" applyBorder="1" applyAlignment="1">
      <alignment vertical="top"/>
    </xf>
    <xf numFmtId="166" fontId="41" fillId="7" borderId="34" xfId="0" applyNumberFormat="1" applyFont="1" applyFill="1" applyBorder="1" applyAlignment="1">
      <alignment vertical="top"/>
    </xf>
    <xf numFmtId="166" fontId="41" fillId="7" borderId="43" xfId="0" applyNumberFormat="1" applyFont="1" applyFill="1" applyBorder="1" applyAlignment="1">
      <alignment vertical="top"/>
    </xf>
    <xf numFmtId="3" fontId="41" fillId="7" borderId="18" xfId="0" applyNumberFormat="1" applyFont="1" applyFill="1" applyBorder="1" applyAlignment="1">
      <alignment horizontal="center" vertical="top"/>
    </xf>
    <xf numFmtId="166" fontId="40" fillId="7" borderId="11" xfId="0" applyNumberFormat="1" applyFont="1" applyFill="1" applyBorder="1" applyAlignment="1">
      <alignment vertical="top"/>
    </xf>
    <xf numFmtId="166" fontId="43" fillId="7" borderId="28" xfId="0" applyNumberFormat="1" applyFont="1" applyFill="1" applyBorder="1" applyAlignment="1">
      <alignment horizontal="center" vertical="top" wrapText="1"/>
    </xf>
    <xf numFmtId="166" fontId="41" fillId="7" borderId="64" xfId="0" applyNumberFormat="1" applyFont="1" applyFill="1" applyBorder="1" applyAlignment="1">
      <alignment vertical="top"/>
    </xf>
    <xf numFmtId="166" fontId="41" fillId="7" borderId="28" xfId="0" applyNumberFormat="1" applyFont="1" applyFill="1" applyBorder="1" applyAlignment="1">
      <alignment vertical="top"/>
    </xf>
    <xf numFmtId="166" fontId="41" fillId="7" borderId="53" xfId="0" applyNumberFormat="1" applyFont="1" applyFill="1" applyBorder="1" applyAlignment="1">
      <alignment vertical="top"/>
    </xf>
    <xf numFmtId="166" fontId="41" fillId="7" borderId="75" xfId="0" applyNumberFormat="1" applyFont="1" applyFill="1" applyBorder="1" applyAlignment="1">
      <alignment vertical="top"/>
    </xf>
    <xf numFmtId="166" fontId="41" fillId="7" borderId="29" xfId="0" applyNumberFormat="1" applyFont="1" applyFill="1" applyBorder="1" applyAlignment="1">
      <alignment vertical="top" wrapText="1"/>
    </xf>
    <xf numFmtId="3" fontId="46" fillId="7" borderId="46" xfId="0" applyNumberFormat="1" applyFont="1" applyFill="1" applyBorder="1" applyAlignment="1">
      <alignment horizontal="center" vertical="center" wrapText="1"/>
    </xf>
    <xf numFmtId="3" fontId="49" fillId="7" borderId="46" xfId="0" applyNumberFormat="1" applyFont="1" applyFill="1" applyBorder="1" applyAlignment="1">
      <alignment horizontal="center" vertical="center" wrapText="1"/>
    </xf>
    <xf numFmtId="3" fontId="46" fillId="7" borderId="48" xfId="0" applyNumberFormat="1" applyFont="1" applyFill="1" applyBorder="1" applyAlignment="1">
      <alignment horizontal="center" vertical="center" wrapText="1"/>
    </xf>
    <xf numFmtId="166" fontId="41" fillId="7" borderId="64" xfId="0" applyNumberFormat="1" applyFont="1" applyFill="1" applyBorder="1" applyAlignment="1">
      <alignment horizontal="center"/>
    </xf>
    <xf numFmtId="166" fontId="41" fillId="7" borderId="28" xfId="0" applyNumberFormat="1" applyFont="1" applyFill="1" applyBorder="1" applyAlignment="1">
      <alignment horizontal="center"/>
    </xf>
    <xf numFmtId="166" fontId="41" fillId="7" borderId="53" xfId="0" applyNumberFormat="1" applyFont="1" applyFill="1" applyBorder="1" applyAlignment="1">
      <alignment horizontal="center"/>
    </xf>
    <xf numFmtId="166" fontId="41" fillId="7" borderId="75" xfId="0" applyNumberFormat="1" applyFont="1" applyFill="1" applyBorder="1" applyAlignment="1">
      <alignment horizontal="center"/>
    </xf>
    <xf numFmtId="0" fontId="47" fillId="7" borderId="29" xfId="0" applyFont="1" applyFill="1" applyBorder="1" applyAlignment="1">
      <alignment vertical="top" wrapText="1"/>
    </xf>
    <xf numFmtId="3" fontId="41" fillId="7" borderId="35" xfId="0" applyNumberFormat="1" applyFont="1" applyFill="1" applyBorder="1" applyAlignment="1">
      <alignment horizontal="center" vertical="top" wrapText="1"/>
    </xf>
    <xf numFmtId="3" fontId="41" fillId="7" borderId="20" xfId="0" applyNumberFormat="1" applyFont="1" applyFill="1" applyBorder="1" applyAlignment="1">
      <alignment horizontal="center" vertical="top"/>
    </xf>
    <xf numFmtId="3" fontId="41" fillId="7" borderId="59" xfId="0" applyNumberFormat="1" applyFont="1" applyFill="1" applyBorder="1" applyAlignment="1">
      <alignment horizontal="center" vertical="top"/>
    </xf>
    <xf numFmtId="3" fontId="41" fillId="7" borderId="11" xfId="0" applyNumberFormat="1" applyFont="1" applyFill="1" applyBorder="1" applyAlignment="1">
      <alignment horizontal="center" vertical="top"/>
    </xf>
    <xf numFmtId="3" fontId="41" fillId="7" borderId="0" xfId="0" applyNumberFormat="1" applyFont="1" applyFill="1" applyBorder="1" applyAlignment="1">
      <alignment horizontal="center" vertical="top"/>
    </xf>
    <xf numFmtId="166" fontId="40" fillId="9" borderId="72" xfId="0" applyNumberFormat="1" applyFont="1" applyFill="1" applyBorder="1" applyAlignment="1">
      <alignment horizontal="center" vertical="top"/>
    </xf>
    <xf numFmtId="166" fontId="40" fillId="2" borderId="30" xfId="0" applyNumberFormat="1" applyFont="1" applyFill="1" applyBorder="1" applyAlignment="1">
      <alignment horizontal="center" vertical="top"/>
    </xf>
    <xf numFmtId="166" fontId="40" fillId="7" borderId="32" xfId="0" applyNumberFormat="1" applyFont="1" applyFill="1" applyBorder="1" applyAlignment="1">
      <alignment horizontal="center" vertical="top"/>
    </xf>
    <xf numFmtId="166" fontId="41" fillId="7" borderId="30" xfId="0" applyNumberFormat="1" applyFont="1" applyFill="1" applyBorder="1" applyAlignment="1">
      <alignment vertical="top" wrapText="1"/>
    </xf>
    <xf numFmtId="166" fontId="43" fillId="7" borderId="30" xfId="0" applyNumberFormat="1" applyFont="1" applyFill="1" applyBorder="1" applyAlignment="1">
      <alignment horizontal="center" vertical="top" wrapText="1"/>
    </xf>
    <xf numFmtId="166" fontId="40" fillId="8" borderId="57" xfId="0" applyNumberFormat="1" applyFont="1" applyFill="1" applyBorder="1" applyAlignment="1">
      <alignment horizontal="center" vertical="top"/>
    </xf>
    <xf numFmtId="166" fontId="40" fillId="8" borderId="65" xfId="0" applyNumberFormat="1" applyFont="1" applyFill="1" applyBorder="1" applyAlignment="1">
      <alignment horizontal="center" vertical="top"/>
    </xf>
    <xf numFmtId="166" fontId="40" fillId="8" borderId="61" xfId="0" applyNumberFormat="1" applyFont="1" applyFill="1" applyBorder="1" applyAlignment="1">
      <alignment horizontal="center" vertical="top"/>
    </xf>
    <xf numFmtId="166" fontId="40" fillId="8" borderId="2" xfId="0" applyNumberFormat="1" applyFont="1" applyFill="1" applyBorder="1" applyAlignment="1">
      <alignment horizontal="center" vertical="top"/>
    </xf>
    <xf numFmtId="166" fontId="41" fillId="7" borderId="47" xfId="0" applyNumberFormat="1" applyFont="1" applyFill="1" applyBorder="1" applyAlignment="1">
      <alignment vertical="top" wrapText="1"/>
    </xf>
    <xf numFmtId="166" fontId="41" fillId="7" borderId="48" xfId="0" applyNumberFormat="1" applyFont="1" applyFill="1" applyBorder="1" applyAlignment="1">
      <alignment horizontal="center" vertical="top"/>
    </xf>
    <xf numFmtId="166" fontId="41" fillId="7" borderId="18" xfId="0" applyNumberFormat="1" applyFont="1" applyFill="1" applyBorder="1" applyAlignment="1">
      <alignment horizontal="center" vertical="top"/>
    </xf>
    <xf numFmtId="166" fontId="40" fillId="9" borderId="5" xfId="0" applyNumberFormat="1" applyFont="1" applyFill="1" applyBorder="1" applyAlignment="1">
      <alignment horizontal="center" vertical="top"/>
    </xf>
    <xf numFmtId="166" fontId="40" fillId="2" borderId="25" xfId="0" applyNumberFormat="1" applyFont="1" applyFill="1" applyBorder="1" applyAlignment="1">
      <alignment horizontal="center" vertical="top"/>
    </xf>
    <xf numFmtId="166" fontId="40" fillId="7" borderId="25" xfId="0" applyNumberFormat="1" applyFont="1" applyFill="1" applyBorder="1" applyAlignment="1">
      <alignment horizontal="center" vertical="top"/>
    </xf>
    <xf numFmtId="166" fontId="40" fillId="7" borderId="41" xfId="0" applyNumberFormat="1" applyFont="1" applyFill="1" applyBorder="1" applyAlignment="1">
      <alignment horizontal="center" vertical="top"/>
    </xf>
    <xf numFmtId="166" fontId="41" fillId="7" borderId="39" xfId="0" applyNumberFormat="1" applyFont="1" applyFill="1" applyBorder="1" applyAlignment="1">
      <alignment horizontal="center" vertical="top"/>
    </xf>
    <xf numFmtId="166" fontId="41" fillId="7" borderId="44" xfId="0" applyNumberFormat="1" applyFont="1" applyFill="1" applyBorder="1" applyAlignment="1">
      <alignment horizontal="center" vertical="top"/>
    </xf>
    <xf numFmtId="166" fontId="41" fillId="7" borderId="25" xfId="0" applyNumberFormat="1" applyFont="1" applyFill="1" applyBorder="1" applyAlignment="1">
      <alignment horizontal="center" vertical="top"/>
    </xf>
    <xf numFmtId="166" fontId="41" fillId="7" borderId="50" xfId="0" applyNumberFormat="1" applyFont="1" applyFill="1" applyBorder="1" applyAlignment="1">
      <alignment horizontal="center" vertical="top"/>
    </xf>
    <xf numFmtId="166" fontId="41" fillId="7" borderId="5" xfId="0" applyNumberFormat="1" applyFont="1" applyFill="1" applyBorder="1" applyAlignment="1">
      <alignment horizontal="left" vertical="top" wrapText="1"/>
    </xf>
    <xf numFmtId="3" fontId="41" fillId="7" borderId="25" xfId="0" applyNumberFormat="1" applyFont="1" applyFill="1" applyBorder="1" applyAlignment="1">
      <alignment horizontal="center" vertical="top"/>
    </xf>
    <xf numFmtId="3" fontId="41" fillId="7" borderId="51" xfId="0" applyNumberFormat="1" applyFont="1" applyFill="1" applyBorder="1" applyAlignment="1">
      <alignment horizontal="center" vertical="top"/>
    </xf>
    <xf numFmtId="3" fontId="41" fillId="7" borderId="41" xfId="0" applyNumberFormat="1" applyFont="1" applyFill="1" applyBorder="1" applyAlignment="1">
      <alignment horizontal="center" vertical="top"/>
    </xf>
    <xf numFmtId="166" fontId="40" fillId="7" borderId="35" xfId="0" applyNumberFormat="1" applyFont="1" applyFill="1" applyBorder="1" applyAlignment="1">
      <alignment horizontal="center" vertical="top"/>
    </xf>
    <xf numFmtId="166" fontId="41" fillId="7" borderId="23" xfId="0" applyNumberFormat="1" applyFont="1" applyFill="1" applyBorder="1" applyAlignment="1">
      <alignment horizontal="center" vertical="top"/>
    </xf>
    <xf numFmtId="166" fontId="44" fillId="7" borderId="43" xfId="0" applyNumberFormat="1" applyFont="1" applyFill="1" applyBorder="1" applyAlignment="1">
      <alignment horizontal="center" vertical="top"/>
    </xf>
    <xf numFmtId="166" fontId="41" fillId="7" borderId="29" xfId="0" applyNumberFormat="1" applyFont="1" applyFill="1" applyBorder="1" applyAlignment="1">
      <alignment horizontal="left" vertical="top" wrapText="1"/>
    </xf>
    <xf numFmtId="3" fontId="41" fillId="7" borderId="28" xfId="0" applyNumberFormat="1" applyFont="1" applyFill="1" applyBorder="1" applyAlignment="1">
      <alignment horizontal="center" vertical="top"/>
    </xf>
    <xf numFmtId="3" fontId="41" fillId="7" borderId="75" xfId="0" applyNumberFormat="1" applyFont="1" applyFill="1" applyBorder="1" applyAlignment="1">
      <alignment horizontal="center" vertical="top"/>
    </xf>
    <xf numFmtId="3" fontId="41" fillId="7" borderId="0" xfId="0" applyNumberFormat="1" applyFont="1" applyFill="1" applyBorder="1" applyAlignment="1">
      <alignment horizontal="center" vertical="top" wrapText="1"/>
    </xf>
    <xf numFmtId="166" fontId="44" fillId="7" borderId="11" xfId="0" applyNumberFormat="1" applyFont="1" applyFill="1" applyBorder="1" applyAlignment="1">
      <alignment horizontal="center" vertical="top"/>
    </xf>
    <xf numFmtId="3" fontId="41" fillId="7" borderId="80" xfId="0" applyNumberFormat="1" applyFont="1" applyFill="1" applyBorder="1" applyAlignment="1">
      <alignment horizontal="center" vertical="top" wrapText="1"/>
    </xf>
    <xf numFmtId="3" fontId="41" fillId="7" borderId="104" xfId="0" applyNumberFormat="1" applyFont="1" applyFill="1" applyBorder="1" applyAlignment="1">
      <alignment horizontal="center" vertical="top" wrapText="1"/>
    </xf>
    <xf numFmtId="3" fontId="41" fillId="7" borderId="96" xfId="0" applyNumberFormat="1" applyFont="1" applyFill="1" applyBorder="1" applyAlignment="1">
      <alignment horizontal="center" vertical="top" wrapText="1"/>
    </xf>
    <xf numFmtId="0" fontId="41" fillId="7" borderId="84" xfId="0" applyFont="1" applyFill="1" applyBorder="1" applyAlignment="1">
      <alignment horizontal="left" vertical="top" wrapText="1"/>
    </xf>
    <xf numFmtId="3" fontId="41" fillId="7" borderId="85" xfId="0" applyNumberFormat="1" applyFont="1" applyFill="1" applyBorder="1" applyAlignment="1">
      <alignment horizontal="center" vertical="top" wrapText="1"/>
    </xf>
    <xf numFmtId="3" fontId="41" fillId="7" borderId="94" xfId="0" applyNumberFormat="1" applyFont="1" applyFill="1" applyBorder="1" applyAlignment="1">
      <alignment horizontal="center" vertical="top" wrapText="1"/>
    </xf>
    <xf numFmtId="3" fontId="41" fillId="7" borderId="92" xfId="0" applyNumberFormat="1" applyFont="1" applyFill="1" applyBorder="1" applyAlignment="1">
      <alignment horizontal="center" vertical="top" wrapText="1"/>
    </xf>
    <xf numFmtId="0" fontId="41" fillId="0" borderId="34" xfId="0" applyFont="1" applyBorder="1" applyAlignment="1">
      <alignment vertical="top"/>
    </xf>
    <xf numFmtId="49" fontId="41" fillId="7" borderId="85" xfId="0" applyNumberFormat="1" applyFont="1" applyFill="1" applyBorder="1" applyAlignment="1">
      <alignment horizontal="center" vertical="top" wrapText="1"/>
    </xf>
    <xf numFmtId="0" fontId="41" fillId="7" borderId="101" xfId="0" applyFont="1" applyFill="1" applyBorder="1" applyAlignment="1">
      <alignment horizontal="left" vertical="top" wrapText="1"/>
    </xf>
    <xf numFmtId="49" fontId="41" fillId="7" borderId="94" xfId="0" applyNumberFormat="1" applyFont="1" applyFill="1" applyBorder="1" applyAlignment="1">
      <alignment horizontal="center" vertical="top" wrapText="1"/>
    </xf>
    <xf numFmtId="49" fontId="41" fillId="7" borderId="92" xfId="0" applyNumberFormat="1" applyFont="1" applyFill="1" applyBorder="1" applyAlignment="1">
      <alignment horizontal="center" vertical="top" wrapText="1"/>
    </xf>
    <xf numFmtId="3" fontId="41" fillId="7" borderId="59" xfId="0" applyNumberFormat="1" applyFont="1" applyFill="1" applyBorder="1" applyAlignment="1">
      <alignment horizontal="center" vertical="top" wrapText="1"/>
    </xf>
    <xf numFmtId="0" fontId="44" fillId="0" borderId="18" xfId="0" applyFont="1" applyFill="1" applyBorder="1" applyAlignment="1">
      <alignment horizontal="left" vertical="top" wrapText="1"/>
    </xf>
    <xf numFmtId="166" fontId="47" fillId="7" borderId="29" xfId="0" applyNumberFormat="1" applyFont="1" applyFill="1" applyBorder="1" applyAlignment="1">
      <alignment vertical="top" wrapText="1"/>
    </xf>
    <xf numFmtId="3" fontId="41" fillId="7" borderId="28" xfId="0" applyNumberFormat="1" applyFont="1" applyFill="1" applyBorder="1" applyAlignment="1">
      <alignment horizontal="center" vertical="top" wrapText="1"/>
    </xf>
    <xf numFmtId="3" fontId="41" fillId="7" borderId="75" xfId="0" applyNumberFormat="1" applyFont="1" applyFill="1" applyBorder="1" applyAlignment="1">
      <alignment horizontal="center" vertical="top" wrapText="1"/>
    </xf>
    <xf numFmtId="166" fontId="41" fillId="7" borderId="49" xfId="0" applyNumberFormat="1" applyFont="1" applyFill="1" applyBorder="1" applyAlignment="1">
      <alignment horizontal="center" vertical="top" wrapText="1"/>
    </xf>
    <xf numFmtId="166" fontId="41" fillId="7" borderId="20" xfId="0" applyNumberFormat="1" applyFont="1" applyFill="1" applyBorder="1" applyAlignment="1">
      <alignment horizontal="center" vertical="top" wrapText="1"/>
    </xf>
    <xf numFmtId="166" fontId="41" fillId="7" borderId="38" xfId="0" applyNumberFormat="1" applyFont="1" applyFill="1" applyBorder="1" applyAlignment="1">
      <alignment horizontal="center" vertical="top" wrapText="1"/>
    </xf>
    <xf numFmtId="166" fontId="41" fillId="7" borderId="59" xfId="0" applyNumberFormat="1" applyFont="1" applyFill="1" applyBorder="1" applyAlignment="1">
      <alignment horizontal="center" vertical="top" wrapText="1"/>
    </xf>
    <xf numFmtId="3" fontId="50" fillId="7" borderId="20" xfId="0" applyNumberFormat="1" applyFont="1" applyFill="1" applyBorder="1" applyAlignment="1">
      <alignment horizontal="center" vertical="top"/>
    </xf>
    <xf numFmtId="166" fontId="41" fillId="7" borderId="64" xfId="0" applyNumberFormat="1" applyFont="1" applyFill="1" applyBorder="1" applyAlignment="1">
      <alignment horizontal="right" vertical="top" wrapText="1"/>
    </xf>
    <xf numFmtId="166" fontId="41" fillId="7" borderId="28" xfId="0" applyNumberFormat="1" applyFont="1" applyFill="1" applyBorder="1" applyAlignment="1">
      <alignment horizontal="right" vertical="top" wrapText="1"/>
    </xf>
    <xf numFmtId="166" fontId="41" fillId="7" borderId="53" xfId="0" applyNumberFormat="1" applyFont="1" applyFill="1" applyBorder="1" applyAlignment="1">
      <alignment horizontal="right" vertical="top" wrapText="1"/>
    </xf>
    <xf numFmtId="166" fontId="41" fillId="7" borderId="75" xfId="0" applyNumberFormat="1" applyFont="1" applyFill="1" applyBorder="1" applyAlignment="1">
      <alignment horizontal="right" vertical="top" wrapText="1"/>
    </xf>
    <xf numFmtId="0" fontId="41" fillId="7" borderId="29" xfId="0" applyFont="1" applyFill="1" applyBorder="1" applyAlignment="1">
      <alignment vertical="top" wrapText="1"/>
    </xf>
    <xf numFmtId="3" fontId="50" fillId="7" borderId="28" xfId="0" applyNumberFormat="1" applyFont="1" applyFill="1" applyBorder="1" applyAlignment="1">
      <alignment horizontal="center" vertical="top"/>
    </xf>
    <xf numFmtId="166" fontId="41" fillId="7" borderId="34" xfId="0" applyNumberFormat="1" applyFont="1" applyFill="1" applyBorder="1" applyAlignment="1">
      <alignment horizontal="center" vertical="top" wrapText="1"/>
    </xf>
    <xf numFmtId="166" fontId="41" fillId="7" borderId="11" xfId="0" applyNumberFormat="1" applyFont="1" applyFill="1" applyBorder="1" applyAlignment="1">
      <alignment horizontal="center" vertical="top" wrapText="1"/>
    </xf>
    <xf numFmtId="166" fontId="41" fillId="7" borderId="43" xfId="0" applyNumberFormat="1" applyFont="1" applyFill="1" applyBorder="1" applyAlignment="1">
      <alignment horizontal="center" vertical="top" wrapText="1"/>
    </xf>
    <xf numFmtId="166" fontId="41" fillId="7" borderId="0" xfId="0" applyNumberFormat="1" applyFont="1" applyFill="1" applyBorder="1" applyAlignment="1">
      <alignment horizontal="center" vertical="top" wrapText="1"/>
    </xf>
    <xf numFmtId="166" fontId="41" fillId="0" borderId="64" xfId="0" applyNumberFormat="1" applyFont="1" applyFill="1" applyBorder="1" applyAlignment="1">
      <alignment horizontal="center" vertical="top" wrapText="1"/>
    </xf>
    <xf numFmtId="3" fontId="50" fillId="7" borderId="11" xfId="0" applyNumberFormat="1" applyFont="1" applyFill="1" applyBorder="1" applyAlignment="1">
      <alignment horizontal="center" vertical="top"/>
    </xf>
    <xf numFmtId="166" fontId="41" fillId="7" borderId="9" xfId="0" applyNumberFormat="1" applyFont="1" applyFill="1" applyBorder="1" applyAlignment="1">
      <alignment vertical="top" wrapText="1"/>
    </xf>
    <xf numFmtId="166" fontId="41" fillId="7" borderId="30" xfId="0" applyNumberFormat="1" applyFont="1" applyFill="1" applyBorder="1" applyAlignment="1">
      <alignment horizontal="center" vertical="top"/>
    </xf>
    <xf numFmtId="166" fontId="41" fillId="7" borderId="32" xfId="0" applyNumberFormat="1" applyFont="1" applyFill="1" applyBorder="1" applyAlignment="1">
      <alignment horizontal="center" vertical="top"/>
    </xf>
    <xf numFmtId="166" fontId="41" fillId="7" borderId="56" xfId="0" applyNumberFormat="1" applyFont="1" applyFill="1" applyBorder="1" applyAlignment="1">
      <alignment horizontal="center" vertical="top"/>
    </xf>
    <xf numFmtId="166" fontId="41" fillId="7" borderId="31" xfId="0" applyNumberFormat="1" applyFont="1" applyFill="1" applyBorder="1" applyAlignment="1">
      <alignment horizontal="center" vertical="top"/>
    </xf>
    <xf numFmtId="166" fontId="44" fillId="7" borderId="50" xfId="0" applyNumberFormat="1" applyFont="1" applyFill="1" applyBorder="1" applyAlignment="1">
      <alignment horizontal="center" vertical="top"/>
    </xf>
    <xf numFmtId="166" fontId="42" fillId="7" borderId="48" xfId="0" applyNumberFormat="1" applyFont="1" applyFill="1" applyBorder="1" applyAlignment="1">
      <alignment horizontal="left" vertical="top" wrapText="1"/>
    </xf>
    <xf numFmtId="166" fontId="41" fillId="7" borderId="85" xfId="0" applyNumberFormat="1" applyFont="1" applyFill="1" applyBorder="1" applyAlignment="1">
      <alignment horizontal="left" vertical="top" wrapText="1"/>
    </xf>
    <xf numFmtId="166" fontId="41" fillId="7" borderId="117" xfId="0" applyNumberFormat="1" applyFont="1" applyFill="1" applyBorder="1" applyAlignment="1">
      <alignment horizontal="center" vertical="top"/>
    </xf>
    <xf numFmtId="166" fontId="44" fillId="7" borderId="102" xfId="0" applyNumberFormat="1" applyFont="1" applyFill="1" applyBorder="1" applyAlignment="1">
      <alignment horizontal="center" vertical="top"/>
    </xf>
    <xf numFmtId="166" fontId="44" fillId="7" borderId="118" xfId="0" applyNumberFormat="1" applyFont="1" applyFill="1" applyBorder="1" applyAlignment="1">
      <alignment horizontal="center" vertical="top"/>
    </xf>
    <xf numFmtId="166" fontId="41" fillId="7" borderId="106" xfId="0" applyNumberFormat="1" applyFont="1" applyFill="1" applyBorder="1" applyAlignment="1">
      <alignment horizontal="center" vertical="top"/>
    </xf>
    <xf numFmtId="166" fontId="44" fillId="7" borderId="106" xfId="0" applyNumberFormat="1" applyFont="1" applyFill="1" applyBorder="1" applyAlignment="1">
      <alignment horizontal="center" vertical="top"/>
    </xf>
    <xf numFmtId="166" fontId="41" fillId="7" borderId="102" xfId="0" applyNumberFormat="1" applyFont="1" applyFill="1" applyBorder="1" applyAlignment="1">
      <alignment horizontal="center" vertical="top"/>
    </xf>
    <xf numFmtId="166" fontId="41" fillId="7" borderId="118" xfId="0" applyNumberFormat="1" applyFont="1" applyFill="1" applyBorder="1" applyAlignment="1">
      <alignment horizontal="center" vertical="top"/>
    </xf>
    <xf numFmtId="166" fontId="41" fillId="7" borderId="84" xfId="0" applyNumberFormat="1" applyFont="1" applyFill="1" applyBorder="1" applyAlignment="1">
      <alignment horizontal="left" vertical="top" wrapText="1"/>
    </xf>
    <xf numFmtId="3" fontId="41" fillId="7" borderId="92" xfId="0" applyNumberFormat="1" applyFont="1" applyFill="1" applyBorder="1" applyAlignment="1">
      <alignment horizontal="center" vertical="top"/>
    </xf>
    <xf numFmtId="0" fontId="41" fillId="7" borderId="29" xfId="0" applyFont="1" applyFill="1" applyBorder="1" applyAlignment="1">
      <alignment horizontal="left" vertical="top" wrapText="1"/>
    </xf>
    <xf numFmtId="166" fontId="40" fillId="3" borderId="46" xfId="0" applyNumberFormat="1" applyFont="1" applyFill="1" applyBorder="1" applyAlignment="1">
      <alignment horizontal="center" vertical="top" wrapText="1"/>
    </xf>
    <xf numFmtId="3" fontId="50" fillId="7" borderId="59" xfId="0" applyNumberFormat="1" applyFont="1" applyFill="1" applyBorder="1" applyAlignment="1">
      <alignment horizontal="center" vertical="top"/>
    </xf>
    <xf numFmtId="3" fontId="50" fillId="7" borderId="46" xfId="0" applyNumberFormat="1" applyFont="1" applyFill="1" applyBorder="1" applyAlignment="1">
      <alignment horizontal="center" vertical="top"/>
    </xf>
    <xf numFmtId="3" fontId="50" fillId="7" borderId="18" xfId="0" applyNumberFormat="1" applyFont="1" applyFill="1" applyBorder="1" applyAlignment="1">
      <alignment horizontal="center" vertical="top"/>
    </xf>
    <xf numFmtId="166" fontId="40" fillId="3" borderId="48" xfId="0" applyNumberFormat="1" applyFont="1" applyFill="1" applyBorder="1" applyAlignment="1">
      <alignment horizontal="center" vertical="top" wrapText="1"/>
    </xf>
    <xf numFmtId="3" fontId="50" fillId="7" borderId="0" xfId="0" applyNumberFormat="1" applyFont="1" applyFill="1" applyBorder="1" applyAlignment="1">
      <alignment horizontal="center" vertical="top"/>
    </xf>
    <xf numFmtId="3" fontId="50" fillId="7" borderId="48" xfId="0" applyNumberFormat="1" applyFont="1" applyFill="1" applyBorder="1" applyAlignment="1">
      <alignment horizontal="center" vertical="top"/>
    </xf>
    <xf numFmtId="3" fontId="50" fillId="7" borderId="75" xfId="0" applyNumberFormat="1" applyFont="1" applyFill="1" applyBorder="1" applyAlignment="1">
      <alignment horizontal="center" vertical="top"/>
    </xf>
    <xf numFmtId="3" fontId="50" fillId="7" borderId="35" xfId="0" applyNumberFormat="1" applyFont="1" applyFill="1" applyBorder="1" applyAlignment="1">
      <alignment horizontal="center" vertical="top"/>
    </xf>
    <xf numFmtId="3" fontId="50" fillId="7" borderId="27" xfId="0" applyNumberFormat="1" applyFont="1" applyFill="1" applyBorder="1" applyAlignment="1">
      <alignment horizontal="center" vertical="top"/>
    </xf>
    <xf numFmtId="166" fontId="51" fillId="8" borderId="61" xfId="0" applyNumberFormat="1" applyFont="1" applyFill="1" applyBorder="1" applyAlignment="1">
      <alignment horizontal="center" vertical="top"/>
    </xf>
    <xf numFmtId="166" fontId="41" fillId="7" borderId="52" xfId="0" applyNumberFormat="1" applyFont="1" applyFill="1" applyBorder="1" applyAlignment="1">
      <alignment vertical="top" wrapText="1"/>
    </xf>
    <xf numFmtId="166" fontId="40" fillId="2" borderId="41" xfId="0" applyNumberFormat="1" applyFont="1" applyFill="1" applyBorder="1" applyAlignment="1">
      <alignment horizontal="center" vertical="top"/>
    </xf>
    <xf numFmtId="166" fontId="40" fillId="3" borderId="41" xfId="0" applyNumberFormat="1" applyFont="1" applyFill="1" applyBorder="1" applyAlignment="1">
      <alignment horizontal="center" vertical="top"/>
    </xf>
    <xf numFmtId="166" fontId="41" fillId="3" borderId="5" xfId="0" applyNumberFormat="1" applyFont="1" applyFill="1" applyBorder="1" applyAlignment="1">
      <alignment vertical="top" wrapText="1"/>
    </xf>
    <xf numFmtId="3" fontId="41" fillId="0" borderId="25" xfId="0" applyNumberFormat="1" applyFont="1" applyFill="1" applyBorder="1" applyAlignment="1">
      <alignment horizontal="center" vertical="top"/>
    </xf>
    <xf numFmtId="3" fontId="41" fillId="0" borderId="51" xfId="0" applyNumberFormat="1" applyFont="1" applyFill="1" applyBorder="1" applyAlignment="1">
      <alignment horizontal="center" vertical="top"/>
    </xf>
    <xf numFmtId="3" fontId="41" fillId="0" borderId="41" xfId="0" applyNumberFormat="1" applyFont="1" applyFill="1" applyBorder="1" applyAlignment="1">
      <alignment horizontal="center" vertical="top"/>
    </xf>
    <xf numFmtId="3" fontId="41" fillId="0" borderId="26" xfId="0" applyNumberFormat="1" applyFont="1" applyFill="1" applyBorder="1" applyAlignment="1">
      <alignment horizontal="center" vertical="top"/>
    </xf>
    <xf numFmtId="166" fontId="42" fillId="3" borderId="48" xfId="0" applyNumberFormat="1" applyFont="1" applyFill="1" applyBorder="1" applyAlignment="1">
      <alignment horizontal="left" vertical="top" wrapText="1"/>
    </xf>
    <xf numFmtId="166" fontId="44" fillId="7" borderId="20" xfId="0" applyNumberFormat="1" applyFont="1" applyFill="1" applyBorder="1" applyAlignment="1">
      <alignment horizontal="center" vertical="top"/>
    </xf>
    <xf numFmtId="166" fontId="44" fillId="7" borderId="38" xfId="0" applyNumberFormat="1" applyFont="1" applyFill="1" applyBorder="1" applyAlignment="1">
      <alignment horizontal="center" vertical="top"/>
    </xf>
    <xf numFmtId="0" fontId="41" fillId="7" borderId="44" xfId="0" applyFont="1" applyFill="1" applyBorder="1" applyAlignment="1">
      <alignment horizontal="center" vertical="center"/>
    </xf>
    <xf numFmtId="166" fontId="41" fillId="7" borderId="51" xfId="0" applyNumberFormat="1" applyFont="1" applyFill="1" applyBorder="1" applyAlignment="1">
      <alignment horizontal="center" vertical="top"/>
    </xf>
    <xf numFmtId="166" fontId="41" fillId="7" borderId="5" xfId="0" applyNumberFormat="1" applyFont="1" applyFill="1" applyBorder="1" applyAlignment="1">
      <alignment vertical="top" wrapText="1"/>
    </xf>
    <xf numFmtId="3" fontId="41" fillId="7" borderId="25" xfId="0" applyNumberFormat="1" applyFont="1" applyFill="1" applyBorder="1" applyAlignment="1">
      <alignment horizontal="center" vertical="top" wrapText="1"/>
    </xf>
    <xf numFmtId="3" fontId="41" fillId="7" borderId="51" xfId="0" applyNumberFormat="1" applyFont="1" applyFill="1" applyBorder="1" applyAlignment="1">
      <alignment horizontal="center" vertical="top" wrapText="1"/>
    </xf>
    <xf numFmtId="3" fontId="41" fillId="7" borderId="41" xfId="0" applyNumberFormat="1" applyFont="1" applyFill="1" applyBorder="1" applyAlignment="1">
      <alignment horizontal="center" vertical="top" wrapText="1"/>
    </xf>
    <xf numFmtId="3" fontId="41" fillId="7" borderId="26" xfId="0" applyNumberFormat="1" applyFont="1" applyFill="1" applyBorder="1" applyAlignment="1">
      <alignment horizontal="center" vertical="top" wrapText="1"/>
    </xf>
    <xf numFmtId="0" fontId="41" fillId="7" borderId="34" xfId="0" applyFont="1" applyFill="1" applyBorder="1" applyAlignment="1">
      <alignment horizontal="center" vertical="center"/>
    </xf>
    <xf numFmtId="166" fontId="40" fillId="7" borderId="20" xfId="0" applyNumberFormat="1" applyFont="1" applyFill="1" applyBorder="1" applyAlignment="1">
      <alignment horizontal="center" vertical="center" wrapText="1"/>
    </xf>
    <xf numFmtId="166" fontId="44" fillId="7" borderId="0" xfId="0" applyNumberFormat="1" applyFont="1" applyFill="1" applyBorder="1" applyAlignment="1">
      <alignment horizontal="center" vertical="top"/>
    </xf>
    <xf numFmtId="49" fontId="44" fillId="7" borderId="11" xfId="0" applyNumberFormat="1" applyFont="1" applyFill="1" applyBorder="1" applyAlignment="1">
      <alignment horizontal="center" vertical="top" wrapText="1"/>
    </xf>
    <xf numFmtId="166" fontId="52" fillId="7" borderId="11" xfId="0" applyNumberFormat="1" applyFont="1" applyFill="1" applyBorder="1" applyAlignment="1">
      <alignment horizontal="center" vertical="center" textRotation="90" wrapText="1"/>
    </xf>
    <xf numFmtId="0" fontId="41" fillId="10" borderId="64" xfId="0" applyFont="1" applyFill="1" applyBorder="1" applyAlignment="1">
      <alignment horizontal="center" vertical="top" wrapText="1"/>
    </xf>
    <xf numFmtId="0" fontId="41" fillId="10" borderId="64" xfId="0" applyFont="1" applyFill="1" applyBorder="1" applyAlignment="1">
      <alignment horizontal="center" vertical="center"/>
    </xf>
    <xf numFmtId="166" fontId="44" fillId="7" borderId="28" xfId="0" applyNumberFormat="1" applyFont="1" applyFill="1" applyBorder="1" applyAlignment="1">
      <alignment horizontal="center" vertical="top"/>
    </xf>
    <xf numFmtId="166" fontId="44" fillId="7" borderId="53" xfId="0" applyNumberFormat="1" applyFont="1" applyFill="1" applyBorder="1" applyAlignment="1">
      <alignment horizontal="center" vertical="top"/>
    </xf>
    <xf numFmtId="3" fontId="41" fillId="3" borderId="11" xfId="0" applyNumberFormat="1" applyFont="1" applyFill="1" applyBorder="1" applyAlignment="1">
      <alignment horizontal="center" vertical="top" wrapText="1"/>
    </xf>
    <xf numFmtId="3" fontId="41" fillId="3" borderId="59" xfId="0" applyNumberFormat="1" applyFont="1" applyFill="1" applyBorder="1" applyAlignment="1">
      <alignment horizontal="center" vertical="top" wrapText="1"/>
    </xf>
    <xf numFmtId="3" fontId="41" fillId="3" borderId="46" xfId="0" applyNumberFormat="1" applyFont="1" applyFill="1" applyBorder="1" applyAlignment="1">
      <alignment horizontal="center" vertical="top" wrapText="1"/>
    </xf>
    <xf numFmtId="166" fontId="52" fillId="7" borderId="28" xfId="0" applyNumberFormat="1" applyFont="1" applyFill="1" applyBorder="1" applyAlignment="1">
      <alignment horizontal="center" vertical="center" wrapText="1"/>
    </xf>
    <xf numFmtId="3" fontId="41" fillId="3" borderId="20" xfId="0" applyNumberFormat="1" applyFont="1" applyFill="1" applyBorder="1" applyAlignment="1">
      <alignment horizontal="center" vertical="top" wrapText="1"/>
    </xf>
    <xf numFmtId="166" fontId="52" fillId="7" borderId="11" xfId="0" applyNumberFormat="1" applyFont="1" applyFill="1" applyBorder="1" applyAlignment="1">
      <alignment horizontal="center" vertical="center" wrapText="1"/>
    </xf>
    <xf numFmtId="166" fontId="42" fillId="3" borderId="35" xfId="0" applyNumberFormat="1" applyFont="1" applyFill="1" applyBorder="1" applyAlignment="1">
      <alignment horizontal="left" vertical="top" wrapText="1"/>
    </xf>
    <xf numFmtId="166" fontId="43" fillId="3" borderId="35" xfId="0" applyNumberFormat="1" applyFont="1" applyFill="1" applyBorder="1" applyAlignment="1">
      <alignment horizontal="center" vertical="center" textRotation="90" wrapText="1"/>
    </xf>
    <xf numFmtId="166" fontId="40" fillId="0" borderId="48" xfId="0" applyNumberFormat="1" applyFont="1" applyBorder="1" applyAlignment="1">
      <alignment horizontal="center" vertical="top"/>
    </xf>
    <xf numFmtId="166" fontId="40" fillId="3" borderId="10" xfId="0" applyNumberFormat="1" applyFont="1" applyFill="1" applyBorder="1" applyAlignment="1">
      <alignment horizontal="center" vertical="top"/>
    </xf>
    <xf numFmtId="166" fontId="40" fillId="3" borderId="64" xfId="0" applyNumberFormat="1" applyFont="1" applyFill="1" applyBorder="1" applyAlignment="1">
      <alignment horizontal="center" vertical="top"/>
    </xf>
    <xf numFmtId="166" fontId="40" fillId="3" borderId="28" xfId="0" applyNumberFormat="1" applyFont="1" applyFill="1" applyBorder="1" applyAlignment="1">
      <alignment horizontal="center" vertical="top"/>
    </xf>
    <xf numFmtId="166" fontId="40" fillId="3" borderId="53" xfId="0" applyNumberFormat="1" applyFont="1" applyFill="1" applyBorder="1" applyAlignment="1">
      <alignment horizontal="center" vertical="top"/>
    </xf>
    <xf numFmtId="166" fontId="40" fillId="3" borderId="75" xfId="0" applyNumberFormat="1" applyFont="1" applyFill="1" applyBorder="1" applyAlignment="1">
      <alignment horizontal="center" vertical="top"/>
    </xf>
    <xf numFmtId="166" fontId="41" fillId="0" borderId="29" xfId="0" applyNumberFormat="1" applyFont="1" applyFill="1" applyBorder="1" applyAlignment="1">
      <alignment vertical="top" wrapText="1"/>
    </xf>
    <xf numFmtId="3" fontId="41" fillId="0" borderId="35" xfId="0" applyNumberFormat="1" applyFont="1" applyFill="1" applyBorder="1" applyAlignment="1">
      <alignment horizontal="center" vertical="top" wrapText="1"/>
    </xf>
    <xf numFmtId="3" fontId="41" fillId="0" borderId="18" xfId="0" applyNumberFormat="1" applyFont="1" applyFill="1" applyBorder="1" applyAlignment="1">
      <alignment horizontal="center" vertical="top" wrapText="1"/>
    </xf>
    <xf numFmtId="166" fontId="41" fillId="7" borderId="6" xfId="0" applyNumberFormat="1" applyFont="1" applyFill="1" applyBorder="1" applyAlignment="1">
      <alignment horizontal="center" vertical="top" wrapText="1"/>
    </xf>
    <xf numFmtId="166" fontId="41" fillId="7" borderId="45" xfId="0" applyNumberFormat="1" applyFont="1" applyFill="1" applyBorder="1" applyAlignment="1">
      <alignment vertical="top" wrapText="1"/>
    </xf>
    <xf numFmtId="166" fontId="40" fillId="3" borderId="14" xfId="0" applyNumberFormat="1" applyFont="1" applyFill="1" applyBorder="1" applyAlignment="1">
      <alignment vertical="top" wrapText="1"/>
    </xf>
    <xf numFmtId="166" fontId="41" fillId="7" borderId="13" xfId="0" applyNumberFormat="1" applyFont="1" applyFill="1" applyBorder="1" applyAlignment="1">
      <alignment horizontal="center" vertical="center" textRotation="90" wrapText="1"/>
    </xf>
    <xf numFmtId="166" fontId="41" fillId="0" borderId="64" xfId="0" applyNumberFormat="1" applyFont="1" applyFill="1" applyBorder="1" applyAlignment="1">
      <alignment horizontal="center" vertical="top"/>
    </xf>
    <xf numFmtId="166" fontId="41" fillId="0" borderId="68" xfId="0" applyNumberFormat="1" applyFont="1" applyBorder="1" applyAlignment="1">
      <alignment horizontal="center" vertical="top"/>
    </xf>
    <xf numFmtId="166" fontId="41" fillId="0" borderId="13" xfId="0" applyNumberFormat="1" applyFont="1" applyBorder="1" applyAlignment="1">
      <alignment horizontal="center" vertical="top"/>
    </xf>
    <xf numFmtId="166" fontId="41" fillId="0" borderId="69" xfId="0" applyNumberFormat="1" applyFont="1" applyBorder="1" applyAlignment="1">
      <alignment horizontal="center" vertical="top"/>
    </xf>
    <xf numFmtId="166" fontId="41" fillId="0" borderId="75" xfId="0" applyNumberFormat="1" applyFont="1" applyBorder="1" applyAlignment="1">
      <alignment horizontal="center" vertical="top"/>
    </xf>
    <xf numFmtId="166" fontId="41" fillId="0" borderId="28" xfId="0" applyNumberFormat="1" applyFont="1" applyBorder="1" applyAlignment="1">
      <alignment horizontal="center" vertical="top"/>
    </xf>
    <xf numFmtId="166" fontId="41" fillId="0" borderId="64" xfId="0" applyNumberFormat="1" applyFont="1" applyBorder="1" applyAlignment="1">
      <alignment horizontal="center" vertical="top"/>
    </xf>
    <xf numFmtId="166" fontId="41" fillId="0" borderId="53" xfId="0" applyNumberFormat="1" applyFont="1" applyBorder="1" applyAlignment="1">
      <alignment horizontal="center" vertical="top"/>
    </xf>
    <xf numFmtId="166" fontId="41" fillId="0" borderId="16" xfId="0" applyNumberFormat="1" applyFont="1" applyFill="1" applyBorder="1" applyAlignment="1">
      <alignment horizontal="left" vertical="top" wrapText="1"/>
    </xf>
    <xf numFmtId="3" fontId="41" fillId="0" borderId="13" xfId="0" applyNumberFormat="1" applyFont="1" applyFill="1" applyBorder="1" applyAlignment="1">
      <alignment horizontal="center" vertical="top"/>
    </xf>
    <xf numFmtId="3" fontId="41" fillId="0" borderId="62" xfId="0" applyNumberFormat="1" applyFont="1" applyFill="1" applyBorder="1" applyAlignment="1">
      <alignment horizontal="center" vertical="top"/>
    </xf>
    <xf numFmtId="3" fontId="41" fillId="0" borderId="37" xfId="0" applyNumberFormat="1" applyFont="1" applyFill="1" applyBorder="1" applyAlignment="1">
      <alignment horizontal="center" vertical="top"/>
    </xf>
    <xf numFmtId="3" fontId="41" fillId="0" borderId="18" xfId="0" applyNumberFormat="1" applyFont="1" applyFill="1" applyBorder="1" applyAlignment="1">
      <alignment horizontal="center" vertical="top"/>
    </xf>
    <xf numFmtId="166" fontId="41" fillId="3" borderId="48" xfId="0" applyNumberFormat="1" applyFont="1" applyFill="1" applyBorder="1" applyAlignment="1">
      <alignment vertical="top" wrapText="1"/>
    </xf>
    <xf numFmtId="166" fontId="41" fillId="7" borderId="11" xfId="0" applyNumberFormat="1" applyFont="1" applyFill="1" applyBorder="1" applyAlignment="1">
      <alignment horizontal="center" vertical="center" textRotation="90" wrapText="1"/>
    </xf>
    <xf numFmtId="166" fontId="41" fillId="3" borderId="35" xfId="0" applyNumberFormat="1" applyFont="1" applyFill="1" applyBorder="1" applyAlignment="1">
      <alignment vertical="top" wrapText="1"/>
    </xf>
    <xf numFmtId="166" fontId="41" fillId="7" borderId="28" xfId="0" applyNumberFormat="1" applyFont="1" applyFill="1" applyBorder="1" applyAlignment="1">
      <alignment horizontal="center" vertical="center" textRotation="90" wrapText="1"/>
    </xf>
    <xf numFmtId="166" fontId="41" fillId="3" borderId="11" xfId="0" applyNumberFormat="1" applyFont="1" applyFill="1" applyBorder="1" applyAlignment="1">
      <alignment horizontal="left" vertical="top" wrapText="1"/>
    </xf>
    <xf numFmtId="166" fontId="41" fillId="3" borderId="11" xfId="0" applyNumberFormat="1" applyFont="1" applyFill="1" applyBorder="1" applyAlignment="1">
      <alignment horizontal="center" vertical="center" textRotation="90" wrapText="1"/>
    </xf>
    <xf numFmtId="166" fontId="41" fillId="0" borderId="64" xfId="1" applyNumberFormat="1" applyFont="1" applyFill="1" applyBorder="1" applyAlignment="1">
      <alignment horizontal="center" vertical="top" wrapText="1"/>
    </xf>
    <xf numFmtId="166" fontId="41" fillId="7" borderId="64" xfId="1" applyNumberFormat="1" applyFont="1" applyFill="1" applyBorder="1" applyAlignment="1">
      <alignment horizontal="center" vertical="top"/>
    </xf>
    <xf numFmtId="166" fontId="41" fillId="7" borderId="28" xfId="1" applyNumberFormat="1" applyFont="1" applyFill="1" applyBorder="1" applyAlignment="1">
      <alignment horizontal="center" vertical="top"/>
    </xf>
    <xf numFmtId="166" fontId="41" fillId="7" borderId="53" xfId="1" applyNumberFormat="1" applyFont="1" applyFill="1" applyBorder="1" applyAlignment="1">
      <alignment horizontal="center" vertical="top"/>
    </xf>
    <xf numFmtId="166" fontId="41" fillId="7" borderId="75" xfId="1" applyNumberFormat="1" applyFont="1" applyFill="1" applyBorder="1" applyAlignment="1">
      <alignment horizontal="center" vertical="top"/>
    </xf>
    <xf numFmtId="3" fontId="50" fillId="7" borderId="11" xfId="1" applyNumberFormat="1" applyFont="1" applyFill="1" applyBorder="1" applyAlignment="1">
      <alignment horizontal="center" vertical="top" wrapText="1"/>
    </xf>
    <xf numFmtId="3" fontId="50" fillId="7" borderId="0" xfId="1" applyNumberFormat="1" applyFont="1" applyFill="1" applyBorder="1" applyAlignment="1">
      <alignment horizontal="center" vertical="top" wrapText="1"/>
    </xf>
    <xf numFmtId="3" fontId="50" fillId="7" borderId="48" xfId="1" applyNumberFormat="1" applyFont="1" applyFill="1" applyBorder="1" applyAlignment="1">
      <alignment horizontal="center" vertical="top" wrapText="1"/>
    </xf>
    <xf numFmtId="3" fontId="50" fillId="7" borderId="18" xfId="1" applyNumberFormat="1" applyFont="1" applyFill="1" applyBorder="1" applyAlignment="1">
      <alignment horizontal="center" vertical="top" wrapText="1"/>
    </xf>
    <xf numFmtId="164" fontId="41" fillId="0" borderId="0" xfId="1" applyFont="1" applyBorder="1" applyAlignment="1">
      <alignment vertical="top"/>
    </xf>
    <xf numFmtId="166" fontId="53" fillId="2" borderId="55" xfId="0" applyNumberFormat="1" applyFont="1" applyFill="1" applyBorder="1" applyAlignment="1">
      <alignment horizontal="center" vertical="top"/>
    </xf>
    <xf numFmtId="166" fontId="53" fillId="2" borderId="4" xfId="0" applyNumberFormat="1" applyFont="1" applyFill="1" applyBorder="1" applyAlignment="1">
      <alignment horizontal="center" vertical="top"/>
    </xf>
    <xf numFmtId="166" fontId="53" fillId="2" borderId="7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0" fontId="4" fillId="7" borderId="11" xfId="0" applyFont="1" applyFill="1" applyBorder="1" applyAlignment="1">
      <alignment horizontal="center" vertical="center" textRotation="90" wrapText="1"/>
    </xf>
    <xf numFmtId="166" fontId="2" fillId="7" borderId="7" xfId="0" applyNumberFormat="1" applyFont="1" applyFill="1" applyBorder="1" applyAlignment="1">
      <alignment horizontal="left" vertical="top" wrapText="1"/>
    </xf>
    <xf numFmtId="166" fontId="2" fillId="7" borderId="36"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3" fillId="7" borderId="48"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166" fontId="8" fillId="7" borderId="11" xfId="0" applyNumberFormat="1" applyFont="1" applyFill="1" applyBorder="1" applyAlignment="1">
      <alignment horizontal="center" vertical="center" textRotation="90" wrapText="1"/>
    </xf>
    <xf numFmtId="166" fontId="2" fillId="7" borderId="7" xfId="0" applyNumberFormat="1" applyFont="1" applyFill="1" applyBorder="1" applyAlignment="1">
      <alignment vertical="top" wrapText="1"/>
    </xf>
    <xf numFmtId="166" fontId="3" fillId="7" borderId="11"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wrapText="1"/>
    </xf>
    <xf numFmtId="0" fontId="2" fillId="7" borderId="36" xfId="0" applyFont="1" applyFill="1" applyBorder="1" applyAlignment="1">
      <alignment vertical="top" wrapText="1"/>
    </xf>
    <xf numFmtId="166" fontId="3" fillId="9" borderId="34" xfId="0" applyNumberFormat="1" applyFont="1" applyFill="1" applyBorder="1" applyAlignment="1">
      <alignment horizontal="center" vertical="top"/>
    </xf>
    <xf numFmtId="3" fontId="2" fillId="7" borderId="28"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0" fontId="18" fillId="7" borderId="34" xfId="0" applyFont="1" applyFill="1" applyBorder="1" applyAlignment="1">
      <alignment horizontal="center" vertical="top"/>
    </xf>
    <xf numFmtId="166" fontId="18" fillId="7" borderId="23" xfId="0" applyNumberFormat="1" applyFont="1" applyFill="1" applyBorder="1" applyAlignment="1">
      <alignment horizontal="center" vertical="top"/>
    </xf>
    <xf numFmtId="166" fontId="18" fillId="7" borderId="64" xfId="0" applyNumberFormat="1" applyFont="1" applyFill="1" applyBorder="1" applyAlignment="1">
      <alignment horizontal="center" vertical="top" wrapText="1"/>
    </xf>
    <xf numFmtId="166" fontId="18" fillId="7" borderId="49" xfId="0" applyNumberFormat="1" applyFont="1" applyFill="1" applyBorder="1" applyAlignment="1">
      <alignment horizontal="center" vertical="top" wrapText="1"/>
    </xf>
    <xf numFmtId="166" fontId="18" fillId="7" borderId="64" xfId="0" applyNumberFormat="1" applyFont="1" applyFill="1" applyBorder="1" applyAlignment="1">
      <alignment horizontal="right" vertical="top" wrapText="1"/>
    </xf>
    <xf numFmtId="166" fontId="18" fillId="7" borderId="34" xfId="0" applyNumberFormat="1" applyFont="1" applyFill="1" applyBorder="1" applyAlignment="1">
      <alignment vertical="top"/>
    </xf>
    <xf numFmtId="166" fontId="18" fillId="7" borderId="11" xfId="0" applyNumberFormat="1" applyFont="1" applyFill="1" applyBorder="1" applyAlignment="1">
      <alignment vertical="top"/>
    </xf>
    <xf numFmtId="166" fontId="18" fillId="7" borderId="64" xfId="0" applyNumberFormat="1" applyFont="1" applyFill="1" applyBorder="1" applyAlignment="1">
      <alignment horizontal="center"/>
    </xf>
    <xf numFmtId="166" fontId="18" fillId="0" borderId="64" xfId="0" applyNumberFormat="1" applyFont="1" applyFill="1" applyBorder="1" applyAlignment="1">
      <alignment horizontal="center" vertical="top" wrapText="1"/>
    </xf>
    <xf numFmtId="165" fontId="2" fillId="7" borderId="20" xfId="0" applyNumberFormat="1" applyFont="1" applyFill="1" applyBorder="1" applyAlignment="1">
      <alignment horizontal="center" vertical="top"/>
    </xf>
    <xf numFmtId="3" fontId="2" fillId="7" borderId="102" xfId="0" applyNumberFormat="1" applyFont="1" applyFill="1" applyBorder="1" applyAlignment="1">
      <alignment horizontal="center" vertical="top" wrapText="1"/>
    </xf>
    <xf numFmtId="165" fontId="2" fillId="7" borderId="23" xfId="0" applyNumberFormat="1" applyFont="1" applyFill="1" applyBorder="1" applyAlignment="1">
      <alignment horizontal="center" vertical="top"/>
    </xf>
    <xf numFmtId="166" fontId="39" fillId="7" borderId="49" xfId="0" applyNumberFormat="1" applyFont="1" applyFill="1" applyBorder="1" applyAlignment="1">
      <alignment horizontal="center" vertical="top"/>
    </xf>
    <xf numFmtId="0" fontId="2" fillId="7" borderId="72" xfId="0" applyFont="1" applyFill="1" applyBorder="1" applyAlignment="1">
      <alignment vertical="top"/>
    </xf>
    <xf numFmtId="0" fontId="2" fillId="7" borderId="30" xfId="0" applyFont="1" applyFill="1" applyBorder="1" applyAlignment="1">
      <alignment vertical="top"/>
    </xf>
    <xf numFmtId="0" fontId="2" fillId="7" borderId="31" xfId="0" applyFont="1" applyFill="1" applyBorder="1" applyAlignment="1">
      <alignment vertical="top"/>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2" fillId="7" borderId="28" xfId="0" applyNumberFormat="1" applyFont="1" applyFill="1" applyBorder="1" applyAlignment="1">
      <alignment vertical="top" wrapText="1"/>
    </xf>
    <xf numFmtId="166" fontId="2" fillId="7" borderId="35" xfId="0" applyNumberFormat="1" applyFont="1" applyFill="1" applyBorder="1" applyAlignment="1">
      <alignment horizontal="left" vertical="top" wrapText="1"/>
    </xf>
    <xf numFmtId="166" fontId="3" fillId="3" borderId="28" xfId="0" applyNumberFormat="1" applyFont="1" applyFill="1" applyBorder="1" applyAlignment="1">
      <alignment horizontal="center" vertical="top" wrapText="1"/>
    </xf>
    <xf numFmtId="0" fontId="8" fillId="7" borderId="47" xfId="0" applyFont="1" applyFill="1" applyBorder="1" applyAlignment="1">
      <alignment horizontal="left" vertical="top" wrapText="1"/>
    </xf>
    <xf numFmtId="166" fontId="2" fillId="7" borderId="47" xfId="0" applyNumberFormat="1" applyFont="1" applyFill="1" applyBorder="1" applyAlignment="1">
      <alignment horizontal="left" vertical="top" wrapText="1"/>
    </xf>
    <xf numFmtId="0" fontId="2" fillId="7" borderId="47" xfId="0" applyFont="1" applyFill="1" applyBorder="1" applyAlignment="1">
      <alignment horizontal="left" vertical="top" wrapText="1"/>
    </xf>
    <xf numFmtId="166" fontId="2" fillId="7" borderId="47" xfId="0" applyNumberFormat="1" applyFont="1" applyFill="1" applyBorder="1" applyAlignment="1">
      <alignment vertical="top" wrapText="1"/>
    </xf>
    <xf numFmtId="0" fontId="8" fillId="7" borderId="19" xfId="0" applyFont="1" applyFill="1" applyBorder="1" applyAlignment="1">
      <alignment horizontal="left" vertical="top" wrapText="1"/>
    </xf>
    <xf numFmtId="166" fontId="3" fillId="3" borderId="11" xfId="0" applyNumberFormat="1" applyFont="1" applyFill="1" applyBorder="1" applyAlignment="1">
      <alignment horizontal="center" vertical="top" wrapText="1"/>
    </xf>
    <xf numFmtId="166" fontId="2" fillId="7" borderId="20" xfId="0" applyNumberFormat="1" applyFont="1" applyFill="1" applyBorder="1" applyAlignment="1">
      <alignment horizontal="left" vertical="top" wrapText="1"/>
    </xf>
    <xf numFmtId="166" fontId="2" fillId="7" borderId="11" xfId="0" applyNumberFormat="1" applyFont="1" applyFill="1" applyBorder="1" applyAlignment="1">
      <alignment vertical="top" wrapText="1"/>
    </xf>
    <xf numFmtId="166" fontId="2" fillId="7" borderId="11" xfId="0" applyNumberFormat="1" applyFont="1" applyFill="1" applyBorder="1" applyAlignment="1">
      <alignment horizontal="left" vertical="top" wrapText="1"/>
    </xf>
    <xf numFmtId="166" fontId="2" fillId="7" borderId="28" xfId="0" applyNumberFormat="1" applyFont="1" applyFill="1" applyBorder="1" applyAlignment="1">
      <alignment horizontal="left" vertical="top" wrapText="1"/>
    </xf>
    <xf numFmtId="166" fontId="3" fillId="7" borderId="48"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wrapText="1"/>
    </xf>
    <xf numFmtId="166" fontId="3" fillId="7" borderId="21"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49" fontId="3" fillId="7" borderId="4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49" fontId="3" fillId="9" borderId="7"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166" fontId="3" fillId="9" borderId="5"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48" xfId="0" applyNumberFormat="1" applyFont="1" applyFill="1" applyBorder="1" applyAlignment="1">
      <alignment vertical="top" wrapText="1"/>
    </xf>
    <xf numFmtId="166" fontId="2" fillId="7" borderId="20" xfId="0" applyNumberFormat="1" applyFont="1" applyFill="1" applyBorder="1" applyAlignment="1">
      <alignment horizontal="center" vertical="center" textRotation="90" wrapText="1"/>
    </xf>
    <xf numFmtId="166" fontId="2" fillId="7" borderId="7" xfId="0" applyNumberFormat="1" applyFont="1" applyFill="1" applyBorder="1" applyAlignment="1">
      <alignment horizontal="left" vertical="top" wrapText="1"/>
    </xf>
    <xf numFmtId="166" fontId="2" fillId="7" borderId="36"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0" fontId="0" fillId="7" borderId="11" xfId="0" applyFill="1" applyBorder="1" applyAlignment="1">
      <alignment vertical="top" wrapText="1"/>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xf>
    <xf numFmtId="166" fontId="2" fillId="7" borderId="46" xfId="0" applyNumberFormat="1" applyFont="1" applyFill="1" applyBorder="1" applyAlignment="1">
      <alignment vertical="top" wrapText="1"/>
    </xf>
    <xf numFmtId="166" fontId="2" fillId="7" borderId="7" xfId="0" applyNumberFormat="1" applyFont="1" applyFill="1" applyBorder="1" applyAlignment="1">
      <alignment vertical="top" wrapText="1"/>
    </xf>
    <xf numFmtId="166" fontId="8" fillId="7" borderId="7" xfId="0" applyNumberFormat="1" applyFont="1" applyFill="1" applyBorder="1" applyAlignment="1">
      <alignment vertical="top" wrapText="1"/>
    </xf>
    <xf numFmtId="0" fontId="0" fillId="0" borderId="11" xfId="0" applyBorder="1" applyAlignment="1">
      <alignment wrapText="1"/>
    </xf>
    <xf numFmtId="49" fontId="3" fillId="2" borderId="48"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2" fillId="7" borderId="101" xfId="0" applyNumberFormat="1" applyFont="1" applyFill="1" applyBorder="1" applyAlignment="1">
      <alignment horizontal="left" vertical="top" wrapText="1"/>
    </xf>
    <xf numFmtId="3" fontId="2" fillId="0" borderId="20" xfId="0" applyNumberFormat="1" applyFont="1" applyFill="1" applyBorder="1" applyAlignment="1">
      <alignment horizontal="center" vertical="top"/>
    </xf>
    <xf numFmtId="3" fontId="2" fillId="0" borderId="46" xfId="0" applyNumberFormat="1" applyFont="1" applyFill="1" applyBorder="1" applyAlignment="1">
      <alignment horizontal="center" vertical="top"/>
    </xf>
    <xf numFmtId="166" fontId="2" fillId="7" borderId="117" xfId="0" applyNumberFormat="1" applyFont="1" applyFill="1" applyBorder="1" applyAlignment="1">
      <alignment vertical="top" wrapText="1"/>
    </xf>
    <xf numFmtId="0" fontId="2" fillId="7" borderId="28" xfId="0" applyFont="1" applyFill="1" applyBorder="1" applyAlignment="1">
      <alignment horizontal="left" vertical="top" wrapText="1"/>
    </xf>
    <xf numFmtId="166" fontId="8" fillId="7" borderId="11" xfId="0" applyNumberFormat="1" applyFont="1" applyFill="1" applyBorder="1" applyAlignment="1">
      <alignment horizontal="center" vertical="center" textRotation="90" wrapText="1"/>
    </xf>
    <xf numFmtId="166" fontId="2" fillId="7" borderId="36" xfId="0" applyNumberFormat="1" applyFont="1" applyFill="1" applyBorder="1" applyAlignment="1">
      <alignment vertical="top" wrapText="1"/>
    </xf>
    <xf numFmtId="166" fontId="2" fillId="2" borderId="32" xfId="0" applyNumberFormat="1" applyFont="1" applyFill="1" applyBorder="1" applyAlignment="1">
      <alignment horizontal="center" vertical="top" wrapText="1"/>
    </xf>
    <xf numFmtId="166" fontId="41" fillId="7" borderId="35" xfId="0" applyNumberFormat="1" applyFont="1" applyFill="1" applyBorder="1" applyAlignment="1">
      <alignment horizontal="left" vertical="top" wrapText="1"/>
    </xf>
    <xf numFmtId="166" fontId="41" fillId="7" borderId="36" xfId="0" applyNumberFormat="1" applyFont="1" applyFill="1" applyBorder="1" applyAlignment="1">
      <alignment horizontal="left" vertical="top" wrapText="1"/>
    </xf>
    <xf numFmtId="3" fontId="41" fillId="7" borderId="20" xfId="0" applyNumberFormat="1" applyFont="1" applyFill="1" applyBorder="1" applyAlignment="1">
      <alignment horizontal="center" vertical="top" wrapText="1"/>
    </xf>
    <xf numFmtId="3" fontId="41" fillId="7" borderId="11" xfId="0" applyNumberFormat="1" applyFont="1" applyFill="1" applyBorder="1" applyAlignment="1">
      <alignment horizontal="center" vertical="top" wrapText="1"/>
    </xf>
    <xf numFmtId="166" fontId="41" fillId="7" borderId="7" xfId="0" applyNumberFormat="1" applyFont="1" applyFill="1" applyBorder="1" applyAlignment="1">
      <alignment vertical="top" wrapText="1"/>
    </xf>
    <xf numFmtId="0" fontId="41" fillId="7" borderId="7" xfId="0" applyFont="1" applyFill="1" applyBorder="1" applyAlignment="1">
      <alignment vertical="top" wrapText="1"/>
    </xf>
    <xf numFmtId="166" fontId="40" fillId="9" borderId="7" xfId="0" applyNumberFormat="1" applyFont="1" applyFill="1" applyBorder="1" applyAlignment="1">
      <alignment horizontal="center" vertical="top"/>
    </xf>
    <xf numFmtId="166" fontId="40" fillId="2" borderId="48" xfId="0" applyNumberFormat="1" applyFont="1" applyFill="1" applyBorder="1" applyAlignment="1">
      <alignment horizontal="center" vertical="top"/>
    </xf>
    <xf numFmtId="166" fontId="40" fillId="7" borderId="11" xfId="0" applyNumberFormat="1" applyFont="1" applyFill="1" applyBorder="1" applyAlignment="1">
      <alignment horizontal="center" vertical="top"/>
    </xf>
    <xf numFmtId="166" fontId="40" fillId="3" borderId="48" xfId="0" applyNumberFormat="1" applyFont="1" applyFill="1" applyBorder="1" applyAlignment="1">
      <alignment horizontal="center" vertical="top"/>
    </xf>
    <xf numFmtId="166" fontId="40" fillId="3" borderId="28" xfId="0" applyNumberFormat="1" applyFont="1" applyFill="1" applyBorder="1" applyAlignment="1">
      <alignment horizontal="center" vertical="top" wrapText="1"/>
    </xf>
    <xf numFmtId="166" fontId="40" fillId="7" borderId="20" xfId="0" applyNumberFormat="1" applyFont="1" applyFill="1" applyBorder="1" applyAlignment="1">
      <alignment horizontal="center" vertical="top" wrapText="1"/>
    </xf>
    <xf numFmtId="166" fontId="40" fillId="7" borderId="11" xfId="0" applyNumberFormat="1" applyFont="1" applyFill="1" applyBorder="1" applyAlignment="1">
      <alignment horizontal="center" vertical="top" wrapText="1"/>
    </xf>
    <xf numFmtId="166" fontId="40" fillId="7" borderId="28" xfId="0" applyNumberFormat="1" applyFont="1" applyFill="1" applyBorder="1" applyAlignment="1">
      <alignment horizontal="center" vertical="top" wrapText="1"/>
    </xf>
    <xf numFmtId="166" fontId="40" fillId="7" borderId="20" xfId="0" applyNumberFormat="1" applyFont="1" applyFill="1" applyBorder="1" applyAlignment="1">
      <alignment horizontal="center" vertical="top"/>
    </xf>
    <xf numFmtId="166" fontId="40" fillId="7" borderId="28" xfId="0" applyNumberFormat="1" applyFont="1" applyFill="1" applyBorder="1" applyAlignment="1">
      <alignment horizontal="center" vertical="top"/>
    </xf>
    <xf numFmtId="166" fontId="41" fillId="7" borderId="7" xfId="0" applyNumberFormat="1" applyFont="1" applyFill="1" applyBorder="1" applyAlignment="1">
      <alignment horizontal="left" vertical="top" wrapText="1"/>
    </xf>
    <xf numFmtId="166" fontId="40" fillId="2" borderId="11" xfId="0" applyNumberFormat="1" applyFont="1" applyFill="1" applyBorder="1" applyAlignment="1">
      <alignment horizontal="center" vertical="top"/>
    </xf>
    <xf numFmtId="166" fontId="40" fillId="7" borderId="48" xfId="0" applyNumberFormat="1" applyFont="1" applyFill="1" applyBorder="1" applyAlignment="1">
      <alignment horizontal="center" vertical="top"/>
    </xf>
    <xf numFmtId="0" fontId="41" fillId="0" borderId="7" xfId="0" applyFont="1" applyBorder="1" applyAlignment="1">
      <alignment horizontal="left" vertical="top" wrapText="1"/>
    </xf>
    <xf numFmtId="0" fontId="43" fillId="7" borderId="11" xfId="0" applyFont="1" applyFill="1" applyBorder="1" applyAlignment="1">
      <alignment horizontal="center" vertical="center" textRotation="90" wrapText="1"/>
    </xf>
    <xf numFmtId="166" fontId="41" fillId="7" borderId="36" xfId="0" applyNumberFormat="1" applyFont="1" applyFill="1" applyBorder="1" applyAlignment="1">
      <alignment vertical="top" wrapText="1"/>
    </xf>
    <xf numFmtId="166" fontId="40" fillId="9" borderId="34" xfId="0" applyNumberFormat="1" applyFont="1" applyFill="1" applyBorder="1" applyAlignment="1">
      <alignment horizontal="center" vertical="top"/>
    </xf>
    <xf numFmtId="0" fontId="2" fillId="7" borderId="7" xfId="0" applyFont="1" applyFill="1" applyBorder="1" applyAlignment="1">
      <alignment vertical="top" wrapText="1"/>
    </xf>
    <xf numFmtId="3" fontId="2" fillId="0" borderId="18" xfId="0" applyNumberFormat="1" applyFont="1" applyFill="1" applyBorder="1" applyAlignment="1">
      <alignment horizontal="center" vertical="top"/>
    </xf>
    <xf numFmtId="49" fontId="3" fillId="9" borderId="5" xfId="0" applyNumberFormat="1" applyFont="1" applyFill="1" applyBorder="1" applyAlignment="1">
      <alignment horizontal="center" vertical="top"/>
    </xf>
    <xf numFmtId="49" fontId="3" fillId="2" borderId="41" xfId="0" applyNumberFormat="1" applyFont="1" applyFill="1" applyBorder="1" applyAlignment="1">
      <alignment horizontal="center" vertical="top"/>
    </xf>
    <xf numFmtId="0" fontId="41" fillId="7" borderId="36" xfId="0" applyFont="1" applyFill="1" applyBorder="1" applyAlignment="1">
      <alignment vertical="top" wrapText="1"/>
    </xf>
    <xf numFmtId="49" fontId="3" fillId="7" borderId="28" xfId="0" applyNumberFormat="1" applyFont="1" applyFill="1" applyBorder="1" applyAlignment="1">
      <alignment horizontal="center" vertical="top"/>
    </xf>
    <xf numFmtId="0" fontId="2" fillId="7" borderId="36" xfId="0" applyFont="1" applyFill="1" applyBorder="1" applyAlignment="1">
      <alignment vertical="top" wrapText="1"/>
    </xf>
    <xf numFmtId="166" fontId="3" fillId="9" borderId="34" xfId="0" applyNumberFormat="1" applyFont="1" applyFill="1" applyBorder="1" applyAlignment="1">
      <alignment horizontal="center" vertical="top"/>
    </xf>
    <xf numFmtId="166" fontId="2" fillId="7" borderId="49" xfId="0" applyNumberFormat="1" applyFont="1" applyFill="1" applyBorder="1" applyAlignment="1">
      <alignment vertical="top" wrapText="1"/>
    </xf>
    <xf numFmtId="0" fontId="0" fillId="7" borderId="28" xfId="0" applyFill="1" applyBorder="1" applyAlignment="1">
      <alignment vertical="top" wrapText="1"/>
    </xf>
    <xf numFmtId="166" fontId="2" fillId="7" borderId="19" xfId="0" applyNumberFormat="1" applyFont="1" applyFill="1" applyBorder="1" applyAlignment="1">
      <alignment horizontal="left" vertical="top" wrapText="1"/>
    </xf>
    <xf numFmtId="166" fontId="2" fillId="7" borderId="28" xfId="0" applyNumberFormat="1" applyFont="1" applyFill="1" applyBorder="1" applyAlignment="1">
      <alignment horizontal="center" vertical="center" textRotation="90" wrapText="1"/>
    </xf>
    <xf numFmtId="166" fontId="8" fillId="7" borderId="29" xfId="0" applyNumberFormat="1" applyFont="1" applyFill="1" applyBorder="1" applyAlignment="1">
      <alignment vertical="top"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166" fontId="2" fillId="7" borderId="101" xfId="0" applyNumberFormat="1" applyFont="1" applyFill="1" applyBorder="1" applyAlignment="1">
      <alignment vertical="top" wrapText="1"/>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5" fontId="2" fillId="7" borderId="59" xfId="0" applyNumberFormat="1" applyFont="1" applyFill="1" applyBorder="1" applyAlignment="1">
      <alignment horizontal="center" vertical="top"/>
    </xf>
    <xf numFmtId="165" fontId="2" fillId="7" borderId="38" xfId="0" applyNumberFormat="1" applyFont="1" applyFill="1" applyBorder="1" applyAlignment="1">
      <alignment horizontal="center" vertical="top"/>
    </xf>
    <xf numFmtId="165" fontId="13" fillId="7" borderId="38" xfId="0" applyNumberFormat="1" applyFont="1" applyFill="1" applyBorder="1" applyAlignment="1">
      <alignment horizontal="center" vertical="top"/>
    </xf>
    <xf numFmtId="165" fontId="2" fillId="7" borderId="18" xfId="0" applyNumberFormat="1" applyFont="1" applyFill="1" applyBorder="1" applyAlignment="1">
      <alignment horizontal="center" vertical="top"/>
    </xf>
    <xf numFmtId="165" fontId="2" fillId="7" borderId="86" xfId="0" applyNumberFormat="1" applyFont="1" applyFill="1" applyBorder="1" applyAlignment="1">
      <alignment horizontal="center" vertical="top"/>
    </xf>
    <xf numFmtId="165" fontId="2" fillId="7" borderId="92" xfId="0" applyNumberFormat="1" applyFont="1" applyFill="1" applyBorder="1" applyAlignment="1">
      <alignment horizontal="center" vertical="top"/>
    </xf>
    <xf numFmtId="165" fontId="2" fillId="7" borderId="27" xfId="0" applyNumberFormat="1" applyFont="1" applyFill="1" applyBorder="1" applyAlignment="1">
      <alignment horizontal="center" vertical="top"/>
    </xf>
    <xf numFmtId="165" fontId="2" fillId="7" borderId="35" xfId="0" applyNumberFormat="1" applyFont="1" applyFill="1" applyBorder="1" applyAlignment="1">
      <alignment horizontal="center" vertical="top"/>
    </xf>
    <xf numFmtId="165" fontId="2" fillId="7" borderId="48" xfId="0" applyNumberFormat="1" applyFont="1" applyFill="1" applyBorder="1" applyAlignment="1">
      <alignment horizontal="center" vertical="top"/>
    </xf>
    <xf numFmtId="166" fontId="13" fillId="7" borderId="34" xfId="0" applyNumberFormat="1" applyFont="1" applyFill="1" applyBorder="1" applyAlignment="1">
      <alignment horizontal="center" vertical="center"/>
    </xf>
    <xf numFmtId="166" fontId="13" fillId="7" borderId="11" xfId="0" applyNumberFormat="1" applyFont="1" applyFill="1" applyBorder="1" applyAlignment="1">
      <alignment horizontal="center" vertical="center"/>
    </xf>
    <xf numFmtId="165" fontId="13" fillId="7" borderId="18" xfId="0" applyNumberFormat="1" applyFont="1" applyFill="1" applyBorder="1" applyAlignment="1">
      <alignment horizontal="center" vertical="top"/>
    </xf>
    <xf numFmtId="3" fontId="6" fillId="7" borderId="59" xfId="0" applyNumberFormat="1" applyFont="1" applyFill="1" applyBorder="1" applyAlignment="1">
      <alignment horizontal="center" vertical="top" wrapText="1"/>
    </xf>
    <xf numFmtId="165" fontId="2" fillId="7" borderId="46" xfId="0" applyNumberFormat="1" applyFont="1" applyFill="1" applyBorder="1" applyAlignment="1">
      <alignment horizontal="center" vertical="top"/>
    </xf>
    <xf numFmtId="0" fontId="2" fillId="7" borderId="64" xfId="0" applyFont="1" applyFill="1" applyBorder="1" applyAlignment="1">
      <alignment horizontal="center" vertical="center"/>
    </xf>
    <xf numFmtId="166" fontId="2" fillId="10" borderId="64" xfId="0" applyNumberFormat="1" applyFont="1" applyFill="1" applyBorder="1" applyAlignment="1">
      <alignment horizontal="center" vertical="center"/>
    </xf>
    <xf numFmtId="166" fontId="2" fillId="10" borderId="28" xfId="0" applyNumberFormat="1" applyFont="1" applyFill="1" applyBorder="1" applyAlignment="1">
      <alignment horizontal="center" vertical="center"/>
    </xf>
    <xf numFmtId="49" fontId="13" fillId="7" borderId="85" xfId="0" applyNumberFormat="1" applyFont="1" applyFill="1" applyBorder="1" applyAlignment="1">
      <alignment horizontal="center" vertical="top" wrapText="1"/>
    </xf>
    <xf numFmtId="166" fontId="13" fillId="7" borderId="49" xfId="0" applyNumberFormat="1" applyFont="1" applyFill="1" applyBorder="1" applyAlignment="1">
      <alignment horizontal="center" vertical="top" wrapText="1"/>
    </xf>
    <xf numFmtId="166" fontId="13" fillId="7" borderId="20" xfId="0" applyNumberFormat="1" applyFont="1" applyFill="1" applyBorder="1" applyAlignment="1">
      <alignment horizontal="center" vertical="top" wrapText="1"/>
    </xf>
    <xf numFmtId="166" fontId="2" fillId="7" borderId="7" xfId="0" applyNumberFormat="1" applyFont="1" applyFill="1" applyBorder="1" applyAlignment="1">
      <alignment horizontal="center" vertical="top" wrapText="1"/>
    </xf>
    <xf numFmtId="165" fontId="13" fillId="7" borderId="121" xfId="0" applyNumberFormat="1" applyFont="1" applyFill="1" applyBorder="1" applyAlignment="1">
      <alignment horizontal="center" vertical="top"/>
    </xf>
    <xf numFmtId="165" fontId="13" fillId="7" borderId="53" xfId="0" applyNumberFormat="1" applyFont="1" applyFill="1" applyBorder="1" applyAlignment="1">
      <alignment horizontal="center" vertical="top"/>
    </xf>
    <xf numFmtId="166" fontId="13" fillId="7" borderId="11" xfId="0" applyNumberFormat="1" applyFont="1" applyFill="1" applyBorder="1" applyAlignment="1">
      <alignment horizontal="center" vertical="top" wrapText="1"/>
    </xf>
    <xf numFmtId="165" fontId="13" fillId="7" borderId="0" xfId="0" applyNumberFormat="1" applyFont="1" applyFill="1" applyBorder="1" applyAlignment="1">
      <alignment horizontal="center" vertical="top"/>
    </xf>
    <xf numFmtId="166" fontId="13" fillId="7" borderId="0" xfId="0" applyNumberFormat="1" applyFont="1" applyFill="1" applyBorder="1" applyAlignment="1">
      <alignment horizontal="center" vertical="top" wrapText="1"/>
    </xf>
    <xf numFmtId="166" fontId="13" fillId="7" borderId="75" xfId="0" applyNumberFormat="1" applyFont="1" applyFill="1" applyBorder="1" applyAlignment="1">
      <alignment horizontal="center" vertical="top"/>
    </xf>
    <xf numFmtId="166" fontId="13" fillId="7" borderId="2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3" borderId="48" xfId="0" applyNumberFormat="1" applyFont="1" applyFill="1" applyBorder="1" applyAlignment="1">
      <alignment horizontal="center" vertical="top"/>
    </xf>
    <xf numFmtId="166" fontId="8" fillId="7" borderId="18" xfId="0" applyNumberFormat="1" applyFont="1" applyFill="1" applyBorder="1" applyAlignment="1">
      <alignment horizontal="center" vertical="center" wrapText="1"/>
    </xf>
    <xf numFmtId="165" fontId="13" fillId="7" borderId="59" xfId="0" applyNumberFormat="1" applyFont="1" applyFill="1" applyBorder="1" applyAlignment="1">
      <alignment horizontal="center" vertical="top"/>
    </xf>
    <xf numFmtId="0" fontId="3" fillId="0" borderId="0" xfId="0" applyFont="1" applyAlignment="1">
      <alignment vertical="top"/>
    </xf>
    <xf numFmtId="0" fontId="54" fillId="0" borderId="0" xfId="0" applyFont="1" applyFill="1"/>
    <xf numFmtId="0" fontId="3" fillId="7" borderId="32" xfId="0" applyFont="1" applyFill="1" applyBorder="1" applyAlignment="1">
      <alignment vertical="top"/>
    </xf>
    <xf numFmtId="0" fontId="55" fillId="0" borderId="51" xfId="0" applyFont="1" applyFill="1" applyBorder="1" applyAlignment="1">
      <alignment horizontal="left" vertical="top" wrapText="1"/>
    </xf>
    <xf numFmtId="0" fontId="55" fillId="0" borderId="0" xfId="0" applyFont="1" applyFill="1" applyAlignment="1">
      <alignment horizontal="left" vertical="top" wrapText="1"/>
    </xf>
    <xf numFmtId="0" fontId="3" fillId="0" borderId="0" xfId="0" applyFont="1" applyBorder="1" applyAlignment="1">
      <alignment vertical="top"/>
    </xf>
    <xf numFmtId="3" fontId="57" fillId="7" borderId="11" xfId="0" applyNumberFormat="1" applyFont="1" applyFill="1" applyBorder="1" applyAlignment="1">
      <alignment horizontal="center" vertical="top"/>
    </xf>
    <xf numFmtId="3" fontId="57" fillId="7" borderId="0" xfId="0" applyNumberFormat="1" applyFont="1" applyFill="1" applyBorder="1" applyAlignment="1">
      <alignment horizontal="center" vertical="top"/>
    </xf>
    <xf numFmtId="0" fontId="13" fillId="7" borderId="47" xfId="0" applyFont="1" applyFill="1" applyBorder="1" applyAlignment="1">
      <alignment vertical="top" wrapText="1"/>
    </xf>
    <xf numFmtId="166" fontId="13" fillId="0" borderId="64" xfId="0" applyNumberFormat="1" applyFont="1" applyFill="1" applyBorder="1" applyAlignment="1">
      <alignment horizontal="center" vertical="top" wrapText="1"/>
    </xf>
    <xf numFmtId="165" fontId="13" fillId="7" borderId="75" xfId="0" applyNumberFormat="1" applyFont="1" applyFill="1" applyBorder="1" applyAlignment="1">
      <alignment horizontal="center" vertical="top"/>
    </xf>
    <xf numFmtId="166" fontId="13" fillId="7" borderId="126" xfId="3" applyNumberFormat="1" applyFont="1" applyFill="1" applyBorder="1" applyAlignment="1">
      <alignment vertical="top" wrapText="1"/>
    </xf>
    <xf numFmtId="49" fontId="13" fillId="7" borderId="127" xfId="3" applyNumberFormat="1" applyFont="1" applyFill="1" applyBorder="1" applyAlignment="1">
      <alignment horizontal="center" vertical="top"/>
    </xf>
    <xf numFmtId="49" fontId="13" fillId="7" borderId="128" xfId="3" applyNumberFormat="1" applyFont="1" applyFill="1" applyBorder="1" applyAlignment="1">
      <alignment horizontal="center" vertical="top"/>
    </xf>
    <xf numFmtId="49" fontId="2" fillId="7" borderId="124" xfId="3" applyNumberFormat="1" applyFont="1" applyFill="1" applyBorder="1" applyAlignment="1">
      <alignment horizontal="center" vertical="top"/>
    </xf>
    <xf numFmtId="49" fontId="2" fillId="7" borderId="125" xfId="3" applyNumberFormat="1" applyFont="1" applyFill="1" applyBorder="1" applyAlignment="1">
      <alignment horizontal="center" vertical="top"/>
    </xf>
    <xf numFmtId="166" fontId="2" fillId="7" borderId="34" xfId="1" applyNumberFormat="1" applyFont="1" applyFill="1" applyBorder="1" applyAlignment="1">
      <alignment horizontal="center" vertical="top"/>
    </xf>
    <xf numFmtId="166" fontId="2" fillId="7" borderId="11" xfId="1" applyNumberFormat="1" applyFont="1" applyFill="1" applyBorder="1" applyAlignment="1">
      <alignment horizontal="center" vertical="top"/>
    </xf>
    <xf numFmtId="166" fontId="18" fillId="7" borderId="11" xfId="0" applyNumberFormat="1" applyFont="1" applyFill="1" applyBorder="1" applyAlignment="1">
      <alignment horizontal="center" vertical="top" wrapText="1"/>
    </xf>
    <xf numFmtId="166" fontId="2" fillId="7" borderId="129" xfId="3" applyNumberFormat="1" applyFont="1" applyFill="1" applyBorder="1" applyAlignment="1">
      <alignment vertical="top" wrapText="1"/>
    </xf>
    <xf numFmtId="0" fontId="13" fillId="7" borderId="45" xfId="0" applyFont="1" applyFill="1" applyBorder="1" applyAlignment="1">
      <alignment vertical="top" wrapText="1"/>
    </xf>
    <xf numFmtId="3" fontId="38" fillId="7" borderId="48" xfId="0" applyNumberFormat="1" applyFont="1" applyFill="1" applyBorder="1" applyAlignment="1">
      <alignment horizontal="center" vertical="top"/>
    </xf>
    <xf numFmtId="49" fontId="38" fillId="7" borderId="48" xfId="0" applyNumberFormat="1" applyFont="1" applyFill="1" applyBorder="1" applyAlignment="1">
      <alignment horizontal="center" vertical="top"/>
    </xf>
    <xf numFmtId="49" fontId="38" fillId="0" borderId="48" xfId="0" applyNumberFormat="1" applyFont="1" applyFill="1" applyBorder="1" applyAlignment="1">
      <alignment horizontal="center" vertical="top"/>
    </xf>
    <xf numFmtId="49" fontId="2" fillId="7" borderId="7" xfId="0" applyNumberFormat="1" applyFont="1" applyFill="1" applyBorder="1" applyAlignment="1">
      <alignment vertical="top" wrapText="1"/>
    </xf>
    <xf numFmtId="166" fontId="3" fillId="2" borderId="11" xfId="0" applyNumberFormat="1" applyFont="1" applyFill="1" applyBorder="1" applyAlignment="1">
      <alignment horizontal="center" vertical="top"/>
    </xf>
    <xf numFmtId="166" fontId="3" fillId="7" borderId="48"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2" fillId="7" borderId="7" xfId="0" applyNumberFormat="1" applyFont="1" applyFill="1" applyBorder="1" applyAlignment="1">
      <alignment horizontal="left" vertical="top" wrapText="1"/>
    </xf>
    <xf numFmtId="166" fontId="2" fillId="7" borderId="18" xfId="0" applyNumberFormat="1" applyFont="1" applyFill="1" applyBorder="1" applyAlignment="1">
      <alignment horizontal="center" vertical="top" wrapText="1"/>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3" fillId="9" borderId="34" xfId="0" applyNumberFormat="1" applyFont="1" applyFill="1" applyBorder="1" applyAlignment="1">
      <alignment horizontal="center" vertical="top"/>
    </xf>
    <xf numFmtId="166" fontId="2" fillId="7" borderId="30" xfId="0" applyNumberFormat="1" applyFont="1" applyFill="1" applyBorder="1" applyAlignment="1">
      <alignment vertical="top" wrapText="1"/>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13" fillId="7" borderId="121" xfId="0" applyNumberFormat="1" applyFont="1" applyFill="1" applyBorder="1" applyAlignment="1">
      <alignment horizontal="center" vertical="top"/>
    </xf>
    <xf numFmtId="49" fontId="2" fillId="7" borderId="131" xfId="3" applyNumberFormat="1" applyFont="1" applyFill="1" applyBorder="1" applyAlignment="1">
      <alignment horizontal="center" vertical="top"/>
    </xf>
    <xf numFmtId="49" fontId="2" fillId="7" borderId="127" xfId="3" applyNumberFormat="1" applyFont="1" applyFill="1" applyBorder="1" applyAlignment="1">
      <alignment horizontal="center" vertical="top"/>
    </xf>
    <xf numFmtId="49" fontId="2" fillId="7" borderId="130" xfId="3" applyNumberFormat="1" applyFont="1" applyFill="1" applyBorder="1" applyAlignment="1">
      <alignment horizontal="center" vertical="top"/>
    </xf>
    <xf numFmtId="3" fontId="2" fillId="0" borderId="44" xfId="0" applyNumberFormat="1" applyFont="1" applyFill="1" applyBorder="1" applyAlignment="1">
      <alignment horizontal="center" vertical="top" wrapText="1"/>
    </xf>
    <xf numFmtId="166" fontId="13" fillId="7" borderId="25" xfId="0" applyNumberFormat="1" applyFont="1" applyFill="1" applyBorder="1" applyAlignment="1">
      <alignment horizontal="center" vertical="top"/>
    </xf>
    <xf numFmtId="3" fontId="2" fillId="7" borderId="64" xfId="0" applyNumberFormat="1" applyFont="1" applyFill="1" applyBorder="1" applyAlignment="1">
      <alignment horizontal="center" vertical="top" wrapText="1"/>
    </xf>
    <xf numFmtId="3" fontId="3" fillId="8" borderId="72" xfId="0" applyNumberFormat="1" applyFont="1" applyFill="1" applyBorder="1" applyAlignment="1">
      <alignment horizontal="right" vertical="top" wrapText="1"/>
    </xf>
    <xf numFmtId="166" fontId="13" fillId="7" borderId="50" xfId="0" applyNumberFormat="1" applyFont="1" applyFill="1" applyBorder="1" applyAlignment="1">
      <alignment horizontal="center" vertical="top"/>
    </xf>
    <xf numFmtId="3" fontId="2" fillId="7" borderId="25" xfId="0" applyNumberFormat="1" applyFont="1" applyFill="1" applyBorder="1" applyAlignment="1">
      <alignment horizontal="center" vertical="top"/>
    </xf>
    <xf numFmtId="3" fontId="13" fillId="7" borderId="11" xfId="0" applyNumberFormat="1" applyFont="1" applyFill="1" applyBorder="1" applyAlignment="1">
      <alignment horizontal="center" vertical="top"/>
    </xf>
    <xf numFmtId="3" fontId="13" fillId="7" borderId="30" xfId="0" applyNumberFormat="1" applyFont="1" applyFill="1" applyBorder="1" applyAlignment="1">
      <alignment horizontal="center" vertical="top"/>
    </xf>
    <xf numFmtId="0" fontId="28" fillId="0" borderId="0" xfId="0" applyFont="1"/>
    <xf numFmtId="3" fontId="3" fillId="0" borderId="41" xfId="0" applyNumberFormat="1" applyFont="1" applyBorder="1" applyAlignment="1">
      <alignment horizontal="center" vertical="top"/>
    </xf>
    <xf numFmtId="3" fontId="6" fillId="0" borderId="11" xfId="0" applyNumberFormat="1" applyFont="1" applyFill="1" applyBorder="1" applyAlignment="1">
      <alignment horizontal="center" vertical="top" wrapText="1"/>
    </xf>
    <xf numFmtId="3" fontId="3" fillId="0" borderId="48" xfId="0" applyNumberFormat="1" applyFont="1" applyBorder="1" applyAlignment="1">
      <alignment horizontal="center" vertical="top"/>
    </xf>
    <xf numFmtId="3" fontId="6" fillId="0" borderId="30" xfId="0" applyNumberFormat="1" applyFont="1" applyFill="1" applyBorder="1" applyAlignment="1">
      <alignment horizontal="center" vertical="top" wrapText="1"/>
    </xf>
    <xf numFmtId="3" fontId="3" fillId="0" borderId="56" xfId="0" applyNumberFormat="1" applyFont="1" applyBorder="1" applyAlignment="1">
      <alignment horizontal="center" vertical="top"/>
    </xf>
    <xf numFmtId="49" fontId="3" fillId="9" borderId="7"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6" fontId="2" fillId="7" borderId="47" xfId="0" applyNumberFormat="1" applyFont="1" applyFill="1" applyBorder="1" applyAlignment="1">
      <alignment horizontal="left" vertical="top" wrapText="1"/>
    </xf>
    <xf numFmtId="166" fontId="2" fillId="7" borderId="47" xfId="0" applyNumberFormat="1" applyFont="1" applyFill="1" applyBorder="1" applyAlignment="1">
      <alignment vertical="top" wrapText="1"/>
    </xf>
    <xf numFmtId="166" fontId="3" fillId="7" borderId="48"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2" fillId="7" borderId="7"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166" fontId="3" fillId="7" borderId="20"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3" fontId="2" fillId="7" borderId="46"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3" borderId="48" xfId="0" applyNumberFormat="1" applyFont="1" applyFill="1" applyBorder="1" applyAlignment="1">
      <alignment horizontal="center" vertical="top" wrapText="1"/>
    </xf>
    <xf numFmtId="49" fontId="2" fillId="7" borderId="102" xfId="0" applyNumberFormat="1" applyFont="1" applyFill="1" applyBorder="1" applyAlignment="1">
      <alignment horizontal="center" vertical="top" wrapText="1"/>
    </xf>
    <xf numFmtId="49" fontId="2" fillId="7" borderId="106" xfId="0" applyNumberFormat="1" applyFont="1" applyFill="1" applyBorder="1" applyAlignment="1">
      <alignment horizontal="center" vertical="top" wrapText="1"/>
    </xf>
    <xf numFmtId="49" fontId="2" fillId="7" borderId="107" xfId="0" applyNumberFormat="1" applyFont="1" applyFill="1" applyBorder="1" applyAlignment="1">
      <alignment horizontal="center" vertical="top" wrapText="1"/>
    </xf>
    <xf numFmtId="165" fontId="18" fillId="7" borderId="38" xfId="0" applyNumberFormat="1" applyFont="1" applyFill="1" applyBorder="1" applyAlignment="1">
      <alignment horizontal="center" vertical="top"/>
    </xf>
    <xf numFmtId="166" fontId="18" fillId="7" borderId="28" xfId="0" applyNumberFormat="1" applyFont="1" applyFill="1" applyBorder="1" applyAlignment="1">
      <alignment horizontal="center"/>
    </xf>
    <xf numFmtId="166" fontId="2" fillId="7" borderId="132" xfId="3" applyNumberFormat="1" applyFont="1" applyFill="1" applyBorder="1" applyAlignment="1">
      <alignment vertical="top" wrapText="1"/>
    </xf>
    <xf numFmtId="166" fontId="18" fillId="7" borderId="20" xfId="0" applyNumberFormat="1" applyFont="1" applyFill="1" applyBorder="1" applyAlignment="1">
      <alignment horizontal="center" vertical="top" wrapText="1"/>
    </xf>
    <xf numFmtId="166" fontId="18" fillId="7" borderId="28" xfId="0" applyNumberFormat="1" applyFont="1" applyFill="1" applyBorder="1" applyAlignment="1">
      <alignment horizontal="right" vertical="top" wrapText="1"/>
    </xf>
    <xf numFmtId="166" fontId="18" fillId="7" borderId="64" xfId="0" applyNumberFormat="1" applyFont="1" applyFill="1" applyBorder="1" applyAlignment="1">
      <alignment vertical="top"/>
    </xf>
    <xf numFmtId="166" fontId="18" fillId="7" borderId="28" xfId="0" applyNumberFormat="1" applyFont="1" applyFill="1" applyBorder="1" applyAlignment="1">
      <alignment vertical="top"/>
    </xf>
    <xf numFmtId="49" fontId="3" fillId="9" borderId="7"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3" fillId="3" borderId="28"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0" fontId="0" fillId="7" borderId="29" xfId="0" applyFill="1" applyBorder="1" applyAlignment="1">
      <alignment vertical="top" wrapText="1"/>
    </xf>
    <xf numFmtId="49" fontId="3" fillId="2" borderId="11"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3" fillId="8" borderId="11" xfId="0" applyNumberFormat="1" applyFont="1" applyFill="1" applyBorder="1" applyAlignment="1">
      <alignment horizontal="center" vertical="top"/>
    </xf>
    <xf numFmtId="166" fontId="3" fillId="3" borderId="48" xfId="0" applyNumberFormat="1" applyFont="1" applyFill="1" applyBorder="1" applyAlignment="1">
      <alignment horizontal="center" vertical="top"/>
    </xf>
    <xf numFmtId="166" fontId="8" fillId="7" borderId="18" xfId="0" applyNumberFormat="1" applyFont="1" applyFill="1" applyBorder="1" applyAlignment="1">
      <alignment horizontal="center" vertical="center"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6" fontId="13" fillId="7" borderId="129" xfId="3" applyNumberFormat="1" applyFont="1" applyFill="1" applyBorder="1" applyAlignment="1">
      <alignment vertical="top" wrapText="1"/>
    </xf>
    <xf numFmtId="49" fontId="2" fillId="7" borderId="1" xfId="0" applyNumberFormat="1" applyFont="1" applyFill="1" applyBorder="1" applyAlignment="1">
      <alignment vertical="top"/>
    </xf>
    <xf numFmtId="49" fontId="2" fillId="8" borderId="58" xfId="0" applyNumberFormat="1" applyFont="1" applyFill="1" applyBorder="1" applyAlignment="1">
      <alignment horizontal="center" vertical="top"/>
    </xf>
    <xf numFmtId="49" fontId="2" fillId="8" borderId="59" xfId="0" applyNumberFormat="1" applyFont="1" applyFill="1" applyBorder="1" applyAlignment="1">
      <alignment horizontal="center" vertical="top"/>
    </xf>
    <xf numFmtId="49" fontId="2" fillId="7" borderId="25" xfId="0" applyNumberFormat="1" applyFont="1" applyFill="1" applyBorder="1" applyAlignment="1">
      <alignment horizontal="center" vertical="top"/>
    </xf>
    <xf numFmtId="49" fontId="2" fillId="8" borderId="32" xfId="0" applyNumberFormat="1" applyFont="1" applyFill="1" applyBorder="1" applyAlignment="1">
      <alignment horizontal="center" vertical="top"/>
    </xf>
    <xf numFmtId="49" fontId="2" fillId="7" borderId="1" xfId="0" applyNumberFormat="1" applyFont="1" applyFill="1" applyBorder="1" applyAlignment="1">
      <alignment horizontal="center" vertical="top"/>
    </xf>
    <xf numFmtId="49" fontId="2" fillId="7" borderId="28" xfId="0" applyNumberFormat="1" applyFont="1" applyFill="1" applyBorder="1" applyAlignment="1">
      <alignment horizontal="center" vertical="center" textRotation="90"/>
    </xf>
    <xf numFmtId="49" fontId="2" fillId="7" borderId="20" xfId="0" applyNumberFormat="1" applyFont="1" applyFill="1" applyBorder="1" applyAlignment="1">
      <alignment vertical="top"/>
    </xf>
    <xf numFmtId="49" fontId="2" fillId="7" borderId="11" xfId="0" applyNumberFormat="1" applyFont="1" applyFill="1" applyBorder="1" applyAlignment="1">
      <alignment vertical="top"/>
    </xf>
    <xf numFmtId="49" fontId="2" fillId="7" borderId="28" xfId="0" applyNumberFormat="1" applyFont="1" applyFill="1" applyBorder="1" applyAlignment="1">
      <alignment vertical="top"/>
    </xf>
    <xf numFmtId="49" fontId="2" fillId="7" borderId="30" xfId="0" applyNumberFormat="1" applyFont="1" applyFill="1" applyBorder="1" applyAlignment="1">
      <alignment vertical="top"/>
    </xf>
    <xf numFmtId="49" fontId="2" fillId="0" borderId="0" xfId="0" applyNumberFormat="1" applyFont="1" applyFill="1" applyBorder="1" applyAlignment="1">
      <alignment horizontal="right" vertical="top"/>
    </xf>
    <xf numFmtId="49" fontId="8" fillId="0" borderId="0" xfId="0" applyNumberFormat="1" applyFont="1" applyFill="1" applyAlignment="1">
      <alignment horizontal="left" vertical="top" wrapText="1"/>
    </xf>
    <xf numFmtId="49" fontId="3" fillId="9" borderId="7"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2" fillId="7" borderId="35"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top" wrapText="1"/>
    </xf>
    <xf numFmtId="166" fontId="2" fillId="7" borderId="47" xfId="0" applyNumberFormat="1" applyFont="1" applyFill="1" applyBorder="1" applyAlignment="1">
      <alignment vertical="top" wrapText="1"/>
    </xf>
    <xf numFmtId="166" fontId="3" fillId="7" borderId="48"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49" fontId="3" fillId="7" borderId="4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3" fillId="9" borderId="7"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2" fillId="7" borderId="11" xfId="0" applyNumberFormat="1" applyFont="1" applyFill="1" applyBorder="1" applyAlignment="1">
      <alignment horizontal="center" vertical="center" textRotation="90" wrapText="1"/>
    </xf>
    <xf numFmtId="166" fontId="3" fillId="9" borderId="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2" fillId="7" borderId="20" xfId="0" applyNumberFormat="1" applyFont="1" applyFill="1" applyBorder="1" applyAlignment="1">
      <alignment horizontal="center" vertical="center" textRotation="90" wrapText="1"/>
    </xf>
    <xf numFmtId="166" fontId="2" fillId="7" borderId="7" xfId="0" applyNumberFormat="1" applyFont="1" applyFill="1" applyBorder="1" applyAlignment="1">
      <alignment horizontal="left" vertical="top" wrapText="1"/>
    </xf>
    <xf numFmtId="166" fontId="2" fillId="7" borderId="36"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166" fontId="3" fillId="7" borderId="28" xfId="0" applyNumberFormat="1" applyFont="1" applyFill="1" applyBorder="1" applyAlignment="1">
      <alignment horizontal="center" vertical="top" wrapText="1"/>
    </xf>
    <xf numFmtId="166" fontId="3" fillId="2" borderId="48" xfId="0" applyNumberFormat="1" applyFont="1" applyFill="1" applyBorder="1" applyAlignment="1">
      <alignment horizontal="center" vertical="top"/>
    </xf>
    <xf numFmtId="166" fontId="2" fillId="2" borderId="32" xfId="0" applyNumberFormat="1" applyFont="1" applyFill="1" applyBorder="1" applyAlignment="1">
      <alignment horizontal="center" vertical="top" wrapText="1"/>
    </xf>
    <xf numFmtId="166" fontId="2" fillId="2" borderId="33" xfId="0" applyNumberFormat="1" applyFont="1" applyFill="1" applyBorder="1" applyAlignment="1">
      <alignment horizontal="center" vertical="top" wrapText="1"/>
    </xf>
    <xf numFmtId="0" fontId="4" fillId="7" borderId="11" xfId="0" applyFont="1" applyFill="1" applyBorder="1" applyAlignment="1">
      <alignment horizontal="center" vertical="center" textRotation="90" wrapText="1"/>
    </xf>
    <xf numFmtId="0" fontId="0" fillId="7" borderId="11" xfId="0" applyFill="1" applyBorder="1" applyAlignment="1">
      <alignment horizontal="left" vertical="top" wrapText="1"/>
    </xf>
    <xf numFmtId="0" fontId="8" fillId="7" borderId="7" xfId="0" applyFont="1" applyFill="1" applyBorder="1" applyAlignment="1">
      <alignment horizontal="left" vertical="top" wrapText="1"/>
    </xf>
    <xf numFmtId="0" fontId="8" fillId="7" borderId="28" xfId="0"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0" fontId="2" fillId="7" borderId="101" xfId="0" applyFont="1" applyFill="1" applyBorder="1" applyAlignment="1">
      <alignment horizontal="left" vertical="top" wrapText="1"/>
    </xf>
    <xf numFmtId="166" fontId="2" fillId="7" borderId="30" xfId="0" applyNumberFormat="1" applyFont="1" applyFill="1" applyBorder="1" applyAlignment="1">
      <alignment vertical="top" wrapText="1"/>
    </xf>
    <xf numFmtId="0" fontId="8" fillId="7" borderId="29" xfId="0" applyFont="1" applyFill="1" applyBorder="1" applyAlignment="1">
      <alignment horizontal="left" vertical="top" wrapText="1"/>
    </xf>
    <xf numFmtId="0" fontId="8" fillId="7" borderId="29" xfId="0" applyFont="1" applyFill="1" applyBorder="1" applyAlignment="1">
      <alignment vertical="top" wrapText="1"/>
    </xf>
    <xf numFmtId="0" fontId="4" fillId="7" borderId="28" xfId="0" applyFont="1" applyFill="1" applyBorder="1" applyAlignment="1">
      <alignment horizontal="center" vertical="center" textRotation="90" wrapText="1"/>
    </xf>
    <xf numFmtId="0" fontId="2" fillId="7" borderId="36" xfId="0" applyFont="1" applyFill="1" applyBorder="1" applyAlignment="1">
      <alignment vertical="top" wrapText="1"/>
    </xf>
    <xf numFmtId="0" fontId="2" fillId="7" borderId="36" xfId="0" applyFont="1" applyFill="1" applyBorder="1" applyAlignment="1">
      <alignment horizontal="left" vertical="top" wrapText="1"/>
    </xf>
    <xf numFmtId="49" fontId="2" fillId="7" borderId="20" xfId="0" applyNumberFormat="1" applyFont="1" applyFill="1" applyBorder="1" applyAlignment="1">
      <alignment horizontal="center" vertical="top"/>
    </xf>
    <xf numFmtId="49" fontId="2" fillId="7" borderId="46"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0" fontId="2" fillId="7" borderId="6" xfId="0" applyFont="1" applyFill="1" applyBorder="1" applyAlignment="1">
      <alignment horizontal="center" vertical="center"/>
    </xf>
    <xf numFmtId="0" fontId="2" fillId="7" borderId="6" xfId="0" applyFont="1" applyFill="1" applyBorder="1" applyAlignment="1">
      <alignment horizontal="center" vertical="top"/>
    </xf>
    <xf numFmtId="3" fontId="32" fillId="7" borderId="11" xfId="0" applyNumberFormat="1" applyFont="1" applyFill="1" applyBorder="1" applyAlignment="1">
      <alignment horizontal="center" vertical="top"/>
    </xf>
    <xf numFmtId="3" fontId="32" fillId="7" borderId="0" xfId="0" applyNumberFormat="1" applyFont="1" applyFill="1" applyBorder="1" applyAlignment="1">
      <alignment horizontal="center" vertical="top"/>
    </xf>
    <xf numFmtId="166" fontId="3" fillId="7" borderId="46" xfId="0" applyNumberFormat="1" applyFont="1" applyFill="1" applyBorder="1" applyAlignment="1">
      <alignment horizontal="center" vertical="top" wrapText="1"/>
    </xf>
    <xf numFmtId="0" fontId="2" fillId="7" borderId="88" xfId="0" applyFont="1" applyFill="1" applyBorder="1" applyAlignment="1">
      <alignment horizontal="left" vertical="top" wrapText="1"/>
    </xf>
    <xf numFmtId="49" fontId="2" fillId="7" borderId="89" xfId="0" applyNumberFormat="1" applyFont="1" applyFill="1" applyBorder="1" applyAlignment="1">
      <alignment horizontal="center" vertical="top" wrapText="1"/>
    </xf>
    <xf numFmtId="49" fontId="2" fillId="7" borderId="111" xfId="0" applyNumberFormat="1" applyFont="1" applyFill="1" applyBorder="1" applyAlignment="1">
      <alignment horizontal="center" vertical="top" wrapText="1"/>
    </xf>
    <xf numFmtId="49" fontId="2" fillId="7" borderId="97" xfId="0" applyNumberFormat="1" applyFont="1" applyFill="1" applyBorder="1" applyAlignment="1">
      <alignment horizontal="center" vertical="top" wrapText="1"/>
    </xf>
    <xf numFmtId="0" fontId="2" fillId="7" borderId="6" xfId="0" applyFont="1" applyFill="1" applyBorder="1" applyAlignment="1">
      <alignment vertical="top"/>
    </xf>
    <xf numFmtId="3" fontId="2" fillId="7" borderId="28" xfId="1" applyNumberFormat="1" applyFont="1" applyFill="1" applyBorder="1" applyAlignment="1">
      <alignment horizontal="center" vertical="top" wrapText="1"/>
    </xf>
    <xf numFmtId="3" fontId="2" fillId="7" borderId="75" xfId="1" applyNumberFormat="1" applyFont="1" applyFill="1" applyBorder="1" applyAlignment="1">
      <alignment horizontal="center" vertical="top" wrapText="1"/>
    </xf>
    <xf numFmtId="3" fontId="2" fillId="7" borderId="27" xfId="1" applyNumberFormat="1" applyFont="1" applyFill="1" applyBorder="1" applyAlignment="1">
      <alignment horizontal="center" vertical="top" wrapText="1"/>
    </xf>
    <xf numFmtId="0" fontId="2" fillId="10" borderId="6" xfId="0" applyFont="1" applyFill="1" applyBorder="1" applyAlignment="1">
      <alignment horizontal="center" vertical="center" wrapText="1"/>
    </xf>
    <xf numFmtId="0" fontId="2" fillId="10" borderId="6" xfId="0" applyFont="1" applyFill="1" applyBorder="1" applyAlignment="1">
      <alignment horizontal="center" vertical="center"/>
    </xf>
    <xf numFmtId="166" fontId="2" fillId="7" borderId="6" xfId="0" applyNumberFormat="1" applyFont="1" applyFill="1" applyBorder="1" applyAlignment="1">
      <alignment horizontal="center"/>
    </xf>
    <xf numFmtId="166" fontId="2" fillId="7" borderId="0" xfId="0" applyNumberFormat="1" applyFont="1" applyFill="1" applyBorder="1" applyAlignment="1">
      <alignment horizontal="center"/>
    </xf>
    <xf numFmtId="166" fontId="13" fillId="7" borderId="34" xfId="0" applyNumberFormat="1" applyFont="1" applyFill="1" applyBorder="1" applyAlignment="1">
      <alignment horizontal="center" vertical="top" wrapText="1"/>
    </xf>
    <xf numFmtId="166" fontId="2" fillId="7" borderId="6" xfId="0" applyNumberFormat="1" applyFont="1" applyFill="1" applyBorder="1" applyAlignment="1">
      <alignment horizontal="right" vertical="top" wrapText="1"/>
    </xf>
    <xf numFmtId="166" fontId="2" fillId="0" borderId="34" xfId="0" applyNumberFormat="1" applyFont="1" applyFill="1" applyBorder="1" applyAlignment="1">
      <alignment horizontal="center" vertical="top" wrapText="1"/>
    </xf>
    <xf numFmtId="166" fontId="2" fillId="7" borderId="34" xfId="0" applyNumberFormat="1" applyFont="1" applyFill="1" applyBorder="1" applyAlignment="1">
      <alignment horizontal="right" vertical="top" wrapText="1"/>
    </xf>
    <xf numFmtId="166" fontId="2" fillId="7" borderId="7" xfId="0" applyNumberFormat="1" applyFont="1" applyFill="1" applyBorder="1" applyAlignment="1">
      <alignment horizontal="left" vertical="top" wrapText="1"/>
    </xf>
    <xf numFmtId="166" fontId="3"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166" fontId="2" fillId="7" borderId="101" xfId="0" applyNumberFormat="1" applyFont="1" applyFill="1" applyBorder="1" applyAlignment="1">
      <alignment horizontal="left" vertical="top" wrapText="1"/>
    </xf>
    <xf numFmtId="166" fontId="2" fillId="7" borderId="36" xfId="0" applyNumberFormat="1" applyFont="1" applyFill="1" applyBorder="1" applyAlignment="1">
      <alignment vertical="top" wrapText="1"/>
    </xf>
    <xf numFmtId="49" fontId="3" fillId="7" borderId="11"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166" fontId="2" fillId="7" borderId="48" xfId="0" applyNumberFormat="1" applyFont="1" applyFill="1" applyBorder="1" applyAlignment="1">
      <alignment vertical="top" wrapText="1"/>
    </xf>
    <xf numFmtId="49" fontId="3" fillId="2" borderId="11" xfId="0" applyNumberFormat="1" applyFont="1" applyFill="1" applyBorder="1" applyAlignment="1">
      <alignment horizontal="center" vertical="top"/>
    </xf>
    <xf numFmtId="0" fontId="2" fillId="7" borderId="7" xfId="0" applyFont="1" applyFill="1" applyBorder="1" applyAlignment="1">
      <alignment horizontal="left" vertical="top" wrapText="1"/>
    </xf>
    <xf numFmtId="0" fontId="4" fillId="7" borderId="11" xfId="0" applyFont="1" applyFill="1" applyBorder="1" applyAlignment="1">
      <alignment horizontal="center" vertical="center" textRotation="90" wrapText="1"/>
    </xf>
    <xf numFmtId="3" fontId="13" fillId="7" borderId="0" xfId="0" applyNumberFormat="1" applyFont="1" applyFill="1" applyBorder="1" applyAlignment="1">
      <alignment horizontal="center" vertical="top"/>
    </xf>
    <xf numFmtId="3" fontId="13" fillId="7" borderId="48" xfId="0" applyNumberFormat="1" applyFont="1" applyFill="1" applyBorder="1" applyAlignment="1">
      <alignment horizontal="center" vertical="top"/>
    </xf>
    <xf numFmtId="0" fontId="8" fillId="7" borderId="29" xfId="0" applyFont="1" applyFill="1" applyBorder="1" applyAlignment="1">
      <alignment vertical="top" wrapText="1"/>
    </xf>
    <xf numFmtId="49" fontId="2" fillId="7" borderId="20" xfId="0" applyNumberFormat="1" applyFont="1" applyFill="1" applyBorder="1" applyAlignment="1">
      <alignment horizontal="center" vertical="top"/>
    </xf>
    <xf numFmtId="49" fontId="2" fillId="7" borderId="11" xfId="0" applyNumberFormat="1" applyFont="1" applyFill="1" applyBorder="1" applyAlignment="1">
      <alignment horizontal="center" vertical="top"/>
    </xf>
    <xf numFmtId="166" fontId="13" fillId="7" borderId="7" xfId="0" applyNumberFormat="1" applyFont="1" applyFill="1" applyBorder="1" applyAlignment="1">
      <alignment horizontal="left" vertical="top" wrapText="1"/>
    </xf>
    <xf numFmtId="49" fontId="3" fillId="7" borderId="46" xfId="0" applyNumberFormat="1" applyFont="1" applyFill="1" applyBorder="1" applyAlignment="1">
      <alignment horizontal="center" vertical="top"/>
    </xf>
    <xf numFmtId="49" fontId="2" fillId="7" borderId="46" xfId="0" applyNumberFormat="1" applyFont="1" applyFill="1" applyBorder="1" applyAlignment="1">
      <alignment horizontal="center" vertical="top"/>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165" fontId="13" fillId="7" borderId="20" xfId="0" applyNumberFormat="1" applyFont="1" applyFill="1" applyBorder="1" applyAlignment="1">
      <alignment horizontal="center" vertical="top"/>
    </xf>
    <xf numFmtId="165" fontId="13" fillId="7" borderId="11" xfId="0" applyNumberFormat="1" applyFont="1" applyFill="1" applyBorder="1" applyAlignment="1">
      <alignment horizontal="center" vertical="top"/>
    </xf>
    <xf numFmtId="166" fontId="2" fillId="7" borderId="79" xfId="0" applyNumberFormat="1" applyFont="1" applyFill="1" applyBorder="1" applyAlignment="1">
      <alignment vertical="top" wrapText="1"/>
    </xf>
    <xf numFmtId="165" fontId="2" fillId="7" borderId="49" xfId="0" applyNumberFormat="1" applyFont="1" applyFill="1" applyBorder="1" applyAlignment="1">
      <alignment horizontal="center" vertical="top"/>
    </xf>
    <xf numFmtId="0" fontId="2" fillId="7" borderId="59" xfId="0" applyFont="1" applyFill="1" applyBorder="1" applyAlignment="1">
      <alignment vertical="top"/>
    </xf>
    <xf numFmtId="0" fontId="2" fillId="7" borderId="20" xfId="0" applyFont="1" applyFill="1" applyBorder="1" applyAlignment="1">
      <alignment vertical="top"/>
    </xf>
    <xf numFmtId="0" fontId="2" fillId="7" borderId="46" xfId="0" applyFont="1" applyFill="1" applyBorder="1" applyAlignment="1">
      <alignment vertical="top"/>
    </xf>
    <xf numFmtId="0" fontId="2" fillId="0" borderId="97" xfId="0" applyFont="1" applyBorder="1" applyAlignment="1">
      <alignment vertical="top" wrapText="1"/>
    </xf>
    <xf numFmtId="3" fontId="2" fillId="7" borderId="27" xfId="0" applyNumberFormat="1" applyFont="1" applyFill="1" applyBorder="1" applyAlignment="1">
      <alignment horizontal="left" vertical="top" wrapText="1"/>
    </xf>
    <xf numFmtId="166" fontId="2" fillId="7" borderId="86" xfId="0" applyNumberFormat="1" applyFont="1" applyFill="1" applyBorder="1" applyAlignment="1">
      <alignment horizontal="left" vertical="top" wrapText="1"/>
    </xf>
    <xf numFmtId="49" fontId="3" fillId="7" borderId="11" xfId="0" applyNumberFormat="1" applyFont="1" applyFill="1" applyBorder="1" applyAlignment="1">
      <alignment horizontal="center" vertical="top"/>
    </xf>
    <xf numFmtId="166" fontId="13" fillId="7" borderId="39" xfId="0" applyNumberFormat="1" applyFont="1" applyFill="1" applyBorder="1" applyAlignment="1">
      <alignment horizontal="center" vertical="top"/>
    </xf>
    <xf numFmtId="0" fontId="2" fillId="7" borderId="20" xfId="0" applyFont="1" applyFill="1" applyBorder="1" applyAlignment="1">
      <alignment horizontal="center" vertical="top"/>
    </xf>
    <xf numFmtId="0" fontId="2" fillId="7" borderId="46" xfId="0" applyFont="1" applyFill="1" applyBorder="1" applyAlignment="1">
      <alignment horizontal="center" vertical="center"/>
    </xf>
    <xf numFmtId="49" fontId="38" fillId="7" borderId="18" xfId="0" applyNumberFormat="1" applyFont="1" applyFill="1" applyBorder="1" applyAlignment="1">
      <alignment horizontal="center" vertical="top"/>
    </xf>
    <xf numFmtId="0" fontId="41" fillId="7" borderId="36" xfId="0" applyFont="1" applyFill="1" applyBorder="1" applyAlignment="1">
      <alignment horizontal="left" vertical="top" wrapText="1"/>
    </xf>
    <xf numFmtId="0" fontId="41" fillId="7" borderId="79" xfId="0" applyFont="1" applyFill="1" applyBorder="1" applyAlignment="1">
      <alignment horizontal="left" vertical="top" wrapText="1"/>
    </xf>
    <xf numFmtId="166" fontId="41" fillId="7" borderId="7" xfId="0" applyNumberFormat="1" applyFont="1" applyFill="1" applyBorder="1" applyAlignment="1">
      <alignment horizontal="left" vertical="top" wrapText="1"/>
    </xf>
    <xf numFmtId="3" fontId="41" fillId="7" borderId="96" xfId="0" applyNumberFormat="1" applyFont="1" applyFill="1" applyBorder="1" applyAlignment="1">
      <alignment horizontal="center" vertical="top"/>
    </xf>
    <xf numFmtId="0" fontId="2" fillId="7" borderId="101" xfId="0" applyFont="1" applyFill="1" applyBorder="1" applyAlignment="1">
      <alignment vertical="top" wrapText="1"/>
    </xf>
    <xf numFmtId="166" fontId="2" fillId="7" borderId="36" xfId="0" applyNumberFormat="1" applyFont="1" applyFill="1" applyBorder="1" applyAlignment="1">
      <alignment horizontal="left" vertical="top" wrapText="1"/>
    </xf>
    <xf numFmtId="166" fontId="2" fillId="7" borderId="29"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0" fontId="2" fillId="7" borderId="7" xfId="0" applyFont="1" applyFill="1" applyBorder="1" applyAlignment="1">
      <alignment vertical="top" wrapText="1"/>
    </xf>
    <xf numFmtId="49" fontId="2" fillId="7" borderId="18" xfId="0" applyNumberFormat="1" applyFont="1" applyFill="1" applyBorder="1" applyAlignment="1">
      <alignment horizontal="left" vertical="top" wrapText="1"/>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49" fontId="2" fillId="7" borderId="28" xfId="0" applyNumberFormat="1" applyFont="1" applyFill="1" applyBorder="1" applyAlignment="1">
      <alignment horizontal="center" vertical="top"/>
    </xf>
    <xf numFmtId="166" fontId="2" fillId="7" borderId="20" xfId="0" applyNumberFormat="1" applyFont="1" applyFill="1" applyBorder="1" applyAlignment="1">
      <alignment vertical="top" wrapText="1"/>
    </xf>
    <xf numFmtId="0" fontId="8" fillId="7" borderId="11" xfId="0" applyFont="1" applyFill="1" applyBorder="1" applyAlignment="1">
      <alignment vertical="top" wrapText="1"/>
    </xf>
    <xf numFmtId="0" fontId="8" fillId="7" borderId="28" xfId="0" applyFont="1" applyFill="1" applyBorder="1" applyAlignment="1">
      <alignment vertical="top" wrapText="1"/>
    </xf>
    <xf numFmtId="166" fontId="2" fillId="7" borderId="36" xfId="0" applyNumberFormat="1" applyFont="1" applyFill="1" applyBorder="1" applyAlignment="1">
      <alignment horizontal="left" vertical="top" wrapText="1"/>
    </xf>
    <xf numFmtId="166" fontId="2" fillId="7" borderId="7" xfId="0" applyNumberFormat="1" applyFont="1" applyFill="1" applyBorder="1" applyAlignment="1">
      <alignment horizontal="left" vertical="top" wrapText="1"/>
    </xf>
    <xf numFmtId="166" fontId="8" fillId="7" borderId="29" xfId="0" applyNumberFormat="1" applyFont="1" applyFill="1" applyBorder="1" applyAlignment="1">
      <alignment horizontal="left" vertical="top" wrapText="1"/>
    </xf>
    <xf numFmtId="166" fontId="2" fillId="7" borderId="20" xfId="0" applyNumberFormat="1" applyFont="1" applyFill="1" applyBorder="1" applyAlignment="1">
      <alignment horizontal="left" vertical="top" wrapText="1"/>
    </xf>
    <xf numFmtId="0" fontId="0" fillId="7" borderId="11" xfId="0" applyFill="1" applyBorder="1" applyAlignment="1">
      <alignment horizontal="left" vertical="top" wrapText="1"/>
    </xf>
    <xf numFmtId="0" fontId="8" fillId="7" borderId="7" xfId="0" applyFont="1" applyFill="1" applyBorder="1" applyAlignment="1">
      <alignment horizontal="left" vertical="top" wrapText="1"/>
    </xf>
    <xf numFmtId="0" fontId="2" fillId="7" borderId="36" xfId="0" applyFont="1" applyFill="1" applyBorder="1" applyAlignment="1">
      <alignment vertical="top" wrapText="1"/>
    </xf>
    <xf numFmtId="0" fontId="2" fillId="7" borderId="7" xfId="0" applyFont="1" applyFill="1" applyBorder="1" applyAlignment="1">
      <alignment vertical="top" wrapText="1"/>
    </xf>
    <xf numFmtId="0" fontId="2" fillId="7" borderId="36" xfId="0" applyFont="1" applyFill="1" applyBorder="1" applyAlignment="1">
      <alignment horizontal="left" vertical="top" wrapText="1"/>
    </xf>
    <xf numFmtId="0" fontId="8" fillId="0" borderId="79" xfId="0" applyFont="1" applyBorder="1" applyAlignment="1">
      <alignment horizontal="left" vertical="top" wrapText="1"/>
    </xf>
    <xf numFmtId="166" fontId="2" fillId="7" borderId="46" xfId="0" applyNumberFormat="1" applyFont="1" applyFill="1" applyBorder="1" applyAlignment="1">
      <alignment horizontal="left" vertical="top" wrapText="1"/>
    </xf>
    <xf numFmtId="166" fontId="2" fillId="7" borderId="48"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top" wrapText="1"/>
    </xf>
    <xf numFmtId="0" fontId="8" fillId="7" borderId="11" xfId="0" applyFont="1" applyFill="1" applyBorder="1" applyAlignment="1">
      <alignment horizontal="center" vertical="top" wrapText="1"/>
    </xf>
    <xf numFmtId="166" fontId="2" fillId="7" borderId="7" xfId="0" applyNumberFormat="1" applyFont="1" applyFill="1" applyBorder="1" applyAlignment="1">
      <alignment vertical="top" wrapText="1"/>
    </xf>
    <xf numFmtId="0" fontId="8" fillId="7" borderId="7" xfId="0" applyFont="1" applyFill="1" applyBorder="1" applyAlignment="1">
      <alignment vertical="top" wrapText="1"/>
    </xf>
    <xf numFmtId="166" fontId="3" fillId="7" borderId="20" xfId="0" applyNumberFormat="1" applyFont="1" applyFill="1" applyBorder="1" applyAlignment="1">
      <alignment horizontal="center" vertical="center" textRotation="90" wrapText="1"/>
    </xf>
    <xf numFmtId="0" fontId="8" fillId="7" borderId="11" xfId="0" applyFont="1" applyFill="1" applyBorder="1" applyAlignment="1">
      <alignment horizontal="center" vertical="center" textRotation="90" wrapText="1"/>
    </xf>
    <xf numFmtId="166" fontId="8" fillId="7" borderId="28" xfId="0" applyNumberFormat="1" applyFont="1" applyFill="1" applyBorder="1" applyAlignment="1">
      <alignment horizontal="left" vertical="top" wrapText="1"/>
    </xf>
    <xf numFmtId="166" fontId="8" fillId="7" borderId="35" xfId="0" applyNumberFormat="1" applyFont="1" applyFill="1" applyBorder="1" applyAlignment="1">
      <alignment horizontal="left" vertical="top" wrapText="1"/>
    </xf>
    <xf numFmtId="0" fontId="0" fillId="7" borderId="11" xfId="0" applyFill="1" applyBorder="1" applyAlignment="1">
      <alignment horizontal="center" vertical="top" wrapText="1"/>
    </xf>
    <xf numFmtId="0" fontId="0" fillId="7" borderId="28" xfId="0" applyFill="1" applyBorder="1" applyAlignment="1">
      <alignment horizontal="center" vertical="top" wrapText="1"/>
    </xf>
    <xf numFmtId="166" fontId="2" fillId="7" borderId="35"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0" fontId="8" fillId="0" borderId="29" xfId="0" applyFont="1" applyBorder="1" applyAlignment="1">
      <alignment horizontal="left" vertical="top" wrapText="1"/>
    </xf>
    <xf numFmtId="3" fontId="2" fillId="7" borderId="20" xfId="0" applyNumberFormat="1" applyFont="1" applyFill="1" applyBorder="1" applyAlignment="1">
      <alignment horizontal="center" vertical="top" wrapText="1"/>
    </xf>
    <xf numFmtId="3" fontId="2" fillId="7" borderId="28" xfId="0" applyNumberFormat="1" applyFont="1" applyFill="1" applyBorder="1" applyAlignment="1">
      <alignment horizontal="center" vertical="top" wrapText="1"/>
    </xf>
    <xf numFmtId="166" fontId="2" fillId="7" borderId="11" xfId="0" applyNumberFormat="1" applyFont="1" applyFill="1" applyBorder="1" applyAlignment="1">
      <alignment vertical="top" wrapText="1"/>
    </xf>
    <xf numFmtId="166" fontId="2" fillId="7" borderId="28" xfId="0" applyNumberFormat="1" applyFont="1" applyFill="1" applyBorder="1" applyAlignment="1">
      <alignment vertical="top" wrapText="1"/>
    </xf>
    <xf numFmtId="166" fontId="2" fillId="7" borderId="28" xfId="0" applyNumberFormat="1" applyFont="1" applyFill="1" applyBorder="1" applyAlignment="1">
      <alignment horizontal="left" vertical="top" wrapText="1"/>
    </xf>
    <xf numFmtId="166" fontId="3" fillId="9" borderId="7" xfId="0" applyNumberFormat="1" applyFont="1" applyFill="1" applyBorder="1" applyAlignment="1">
      <alignment horizontal="center" vertical="top"/>
    </xf>
    <xf numFmtId="166" fontId="3" fillId="2" borderId="48"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49" fontId="3" fillId="7" borderId="48" xfId="0" applyNumberFormat="1" applyFont="1" applyFill="1" applyBorder="1" applyAlignment="1">
      <alignment horizontal="center" vertical="top"/>
    </xf>
    <xf numFmtId="49" fontId="2" fillId="7" borderId="7" xfId="0" applyNumberFormat="1" applyFont="1" applyFill="1" applyBorder="1" applyAlignment="1">
      <alignment horizontal="left" vertical="top" wrapText="1"/>
    </xf>
    <xf numFmtId="0" fontId="8" fillId="7" borderId="29" xfId="0" applyFont="1" applyFill="1" applyBorder="1" applyAlignment="1">
      <alignment horizontal="left" vertical="top" wrapText="1"/>
    </xf>
    <xf numFmtId="0" fontId="0" fillId="0" borderId="29" xfId="0" applyBorder="1" applyAlignment="1">
      <alignment horizontal="left" vertical="top" wrapText="1"/>
    </xf>
    <xf numFmtId="166" fontId="3" fillId="9" borderId="34" xfId="0" applyNumberFormat="1" applyFont="1" applyFill="1" applyBorder="1" applyAlignment="1">
      <alignment horizontal="center" vertical="top"/>
    </xf>
    <xf numFmtId="166" fontId="3" fillId="2" borderId="11" xfId="0" applyNumberFormat="1" applyFont="1" applyFill="1" applyBorder="1" applyAlignment="1">
      <alignment horizontal="center" vertical="top"/>
    </xf>
    <xf numFmtId="166" fontId="2" fillId="7" borderId="11" xfId="0" applyNumberFormat="1" applyFont="1" applyFill="1" applyBorder="1" applyAlignment="1">
      <alignment horizontal="left" vertical="top" wrapText="1"/>
    </xf>
    <xf numFmtId="0" fontId="8" fillId="7" borderId="11" xfId="0" applyFont="1" applyFill="1" applyBorder="1" applyAlignment="1">
      <alignment horizontal="left" vertical="top" wrapText="1"/>
    </xf>
    <xf numFmtId="166" fontId="2" fillId="7" borderId="20" xfId="0" applyNumberFormat="1" applyFont="1" applyFill="1" applyBorder="1" applyAlignment="1">
      <alignment horizontal="center" vertical="center" textRotation="90" wrapText="1"/>
    </xf>
    <xf numFmtId="166" fontId="2" fillId="7" borderId="11" xfId="0" applyNumberFormat="1" applyFont="1" applyFill="1" applyBorder="1" applyAlignment="1">
      <alignment horizontal="center" vertical="center" textRotation="90" wrapText="1"/>
    </xf>
    <xf numFmtId="0" fontId="8" fillId="7" borderId="11" xfId="0" applyFont="1" applyFill="1" applyBorder="1" applyAlignment="1">
      <alignment vertical="center" textRotation="90" wrapText="1"/>
    </xf>
    <xf numFmtId="0" fontId="8" fillId="7" borderId="28" xfId="0" applyFont="1" applyFill="1" applyBorder="1" applyAlignment="1">
      <alignment vertical="center" textRotation="90" wrapText="1"/>
    </xf>
    <xf numFmtId="0" fontId="2" fillId="7" borderId="20" xfId="0" applyFont="1" applyFill="1" applyBorder="1" applyAlignment="1">
      <alignment horizontal="left" vertical="top" wrapText="1"/>
    </xf>
    <xf numFmtId="0" fontId="2" fillId="7" borderId="11" xfId="0" applyFont="1" applyFill="1" applyBorder="1" applyAlignment="1">
      <alignment horizontal="left" vertical="top" wrapText="1"/>
    </xf>
    <xf numFmtId="166" fontId="2" fillId="7" borderId="101" xfId="0" applyNumberFormat="1" applyFont="1" applyFill="1" applyBorder="1" applyAlignment="1">
      <alignment horizontal="left" vertical="top" wrapText="1"/>
    </xf>
    <xf numFmtId="0" fontId="0" fillId="7" borderId="11" xfId="0" applyFill="1" applyBorder="1" applyAlignment="1">
      <alignment horizontal="center" vertical="center" textRotation="90" wrapText="1"/>
    </xf>
    <xf numFmtId="0" fontId="0" fillId="7" borderId="28" xfId="0" applyFill="1" applyBorder="1" applyAlignment="1">
      <alignment horizontal="center" vertical="center" textRotation="90" wrapText="1"/>
    </xf>
    <xf numFmtId="0" fontId="0" fillId="0" borderId="7" xfId="0" applyBorder="1" applyAlignment="1">
      <alignment horizontal="left" vertical="top" wrapText="1"/>
    </xf>
    <xf numFmtId="49" fontId="2" fillId="7" borderId="20" xfId="0" applyNumberFormat="1" applyFont="1" applyFill="1" applyBorder="1" applyAlignment="1">
      <alignment horizontal="center" vertical="center" textRotation="90" wrapText="1"/>
    </xf>
    <xf numFmtId="0" fontId="8" fillId="7" borderId="28" xfId="0" applyFont="1" applyFill="1" applyBorder="1" applyAlignment="1">
      <alignment horizontal="center" vertical="center" textRotation="90" wrapText="1"/>
    </xf>
    <xf numFmtId="166" fontId="2" fillId="7" borderId="36" xfId="0" applyNumberFormat="1" applyFont="1" applyFill="1" applyBorder="1" applyAlignment="1">
      <alignment vertical="top" wrapText="1"/>
    </xf>
    <xf numFmtId="0" fontId="8" fillId="0" borderId="79" xfId="0" applyFont="1" applyBorder="1" applyAlignment="1">
      <alignment vertical="top" wrapText="1"/>
    </xf>
    <xf numFmtId="166" fontId="6" fillId="7" borderId="20" xfId="0" applyNumberFormat="1" applyFont="1" applyFill="1" applyBorder="1" applyAlignment="1">
      <alignment horizontal="center" vertical="center" textRotation="90" wrapText="1"/>
    </xf>
    <xf numFmtId="0" fontId="8" fillId="7" borderId="11" xfId="0" applyFont="1" applyFill="1" applyBorder="1" applyAlignment="1">
      <alignment textRotation="90" wrapText="1"/>
    </xf>
    <xf numFmtId="49" fontId="3" fillId="7" borderId="11" xfId="0" applyNumberFormat="1" applyFont="1" applyFill="1" applyBorder="1" applyAlignment="1">
      <alignment horizontal="center" vertical="top"/>
    </xf>
    <xf numFmtId="49" fontId="3" fillId="7" borderId="30" xfId="0" applyNumberFormat="1" applyFont="1" applyFill="1" applyBorder="1" applyAlignment="1">
      <alignment horizontal="center" vertical="top"/>
    </xf>
    <xf numFmtId="3" fontId="2" fillId="7" borderId="5" xfId="0" applyNumberFormat="1" applyFont="1" applyFill="1" applyBorder="1" applyAlignment="1">
      <alignment horizontal="left" vertical="top" wrapText="1"/>
    </xf>
    <xf numFmtId="3" fontId="2" fillId="7" borderId="7" xfId="0" applyNumberFormat="1" applyFont="1" applyFill="1" applyBorder="1" applyAlignment="1">
      <alignment horizontal="left" vertical="top" wrapText="1"/>
    </xf>
    <xf numFmtId="49" fontId="3" fillId="9" borderId="7" xfId="0" applyNumberFormat="1" applyFont="1" applyFill="1" applyBorder="1" applyAlignment="1">
      <alignment horizontal="center" vertical="top"/>
    </xf>
    <xf numFmtId="49" fontId="3" fillId="9" borderId="9"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2" borderId="56"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166" fontId="14" fillId="7" borderId="11" xfId="0" applyNumberFormat="1" applyFont="1" applyFill="1" applyBorder="1" applyAlignment="1">
      <alignment horizontal="center" vertical="center" textRotation="90" wrapText="1"/>
    </xf>
    <xf numFmtId="0" fontId="0" fillId="7" borderId="11" xfId="0" applyFill="1" applyBorder="1" applyAlignment="1">
      <alignment vertical="top" wrapText="1"/>
    </xf>
    <xf numFmtId="166" fontId="2" fillId="0" borderId="67" xfId="0" applyNumberFormat="1" applyFont="1" applyBorder="1" applyAlignment="1">
      <alignment horizontal="left" vertical="top" wrapText="1"/>
    </xf>
    <xf numFmtId="166" fontId="2" fillId="0" borderId="62" xfId="0" applyNumberFormat="1" applyFont="1" applyBorder="1" applyAlignment="1">
      <alignment horizontal="left" vertical="top" wrapText="1"/>
    </xf>
    <xf numFmtId="166" fontId="2" fillId="0" borderId="42" xfId="0" applyNumberFormat="1" applyFont="1" applyBorder="1" applyAlignment="1">
      <alignment horizontal="left" vertical="top" wrapText="1"/>
    </xf>
    <xf numFmtId="166" fontId="3" fillId="8" borderId="67" xfId="0" applyNumberFormat="1" applyFont="1" applyFill="1" applyBorder="1" applyAlignment="1">
      <alignment horizontal="right" vertical="top" wrapText="1"/>
    </xf>
    <xf numFmtId="166" fontId="8" fillId="8" borderId="62" xfId="0" applyNumberFormat="1" applyFont="1" applyFill="1" applyBorder="1" applyAlignment="1">
      <alignment horizontal="right" vertical="top" wrapText="1"/>
    </xf>
    <xf numFmtId="166" fontId="8" fillId="8" borderId="42" xfId="0" applyNumberFormat="1" applyFont="1" applyFill="1" applyBorder="1" applyAlignment="1">
      <alignment horizontal="right" vertical="top" wrapText="1"/>
    </xf>
    <xf numFmtId="166" fontId="2" fillId="7" borderId="64" xfId="0" applyNumberFormat="1" applyFont="1" applyFill="1" applyBorder="1" applyAlignment="1">
      <alignment horizontal="left" vertical="top" wrapText="1"/>
    </xf>
    <xf numFmtId="166" fontId="2" fillId="7" borderId="75" xfId="0" applyNumberFormat="1" applyFont="1" applyFill="1" applyBorder="1" applyAlignment="1">
      <alignment horizontal="left" vertical="top" wrapText="1"/>
    </xf>
    <xf numFmtId="166" fontId="2" fillId="7" borderId="53" xfId="0" applyNumberFormat="1" applyFont="1" applyFill="1" applyBorder="1" applyAlignment="1">
      <alignment horizontal="left" vertical="top" wrapText="1"/>
    </xf>
    <xf numFmtId="0" fontId="4" fillId="7" borderId="47" xfId="0" applyFont="1" applyFill="1" applyBorder="1" applyAlignment="1">
      <alignment horizontal="center" vertical="center" textRotation="90" wrapText="1"/>
    </xf>
    <xf numFmtId="0" fontId="4" fillId="7" borderId="19" xfId="0" applyFont="1" applyFill="1" applyBorder="1" applyAlignment="1">
      <alignment horizontal="center" vertical="center" textRotation="90" wrapText="1"/>
    </xf>
    <xf numFmtId="49" fontId="3" fillId="7" borderId="35" xfId="0" applyNumberFormat="1" applyFont="1" applyFill="1" applyBorder="1" applyAlignment="1">
      <alignment horizontal="center" vertical="top"/>
    </xf>
    <xf numFmtId="166" fontId="2" fillId="7" borderId="67" xfId="0" applyNumberFormat="1" applyFont="1" applyFill="1" applyBorder="1" applyAlignment="1">
      <alignment horizontal="left" vertical="top" wrapText="1"/>
    </xf>
    <xf numFmtId="166" fontId="2" fillId="7" borderId="62" xfId="0" applyNumberFormat="1" applyFont="1" applyFill="1" applyBorder="1" applyAlignment="1">
      <alignment horizontal="left" vertical="top" wrapText="1"/>
    </xf>
    <xf numFmtId="166" fontId="2" fillId="7" borderId="42" xfId="0" applyNumberFormat="1" applyFont="1" applyFill="1" applyBorder="1" applyAlignment="1">
      <alignment horizontal="left" vertical="top" wrapText="1"/>
    </xf>
    <xf numFmtId="166" fontId="2" fillId="8" borderId="67" xfId="0" applyNumberFormat="1" applyFont="1" applyFill="1" applyBorder="1" applyAlignment="1">
      <alignment horizontal="left" vertical="top" wrapText="1"/>
    </xf>
    <xf numFmtId="166" fontId="2" fillId="8" borderId="62" xfId="0" applyNumberFormat="1" applyFont="1" applyFill="1" applyBorder="1" applyAlignment="1">
      <alignment horizontal="left" vertical="top" wrapText="1"/>
    </xf>
    <xf numFmtId="166" fontId="2" fillId="8" borderId="42" xfId="0" applyNumberFormat="1" applyFont="1" applyFill="1" applyBorder="1" applyAlignment="1">
      <alignment horizontal="left" vertical="top" wrapText="1"/>
    </xf>
    <xf numFmtId="166" fontId="3" fillId="8" borderId="67" xfId="0" applyNumberFormat="1" applyFont="1" applyFill="1" applyBorder="1" applyAlignment="1">
      <alignment horizontal="left" vertical="top" wrapText="1"/>
    </xf>
    <xf numFmtId="166" fontId="3" fillId="8" borderId="62" xfId="0" applyNumberFormat="1" applyFont="1" applyFill="1" applyBorder="1" applyAlignment="1">
      <alignment horizontal="left" vertical="top" wrapText="1"/>
    </xf>
    <xf numFmtId="166" fontId="3" fillId="8" borderId="42" xfId="0" applyNumberFormat="1" applyFont="1" applyFill="1" applyBorder="1" applyAlignment="1">
      <alignment horizontal="left" vertical="top" wrapText="1"/>
    </xf>
    <xf numFmtId="166" fontId="3" fillId="0" borderId="32" xfId="0" applyNumberFormat="1" applyFont="1" applyFill="1" applyBorder="1" applyAlignment="1">
      <alignment horizontal="center" vertical="top" wrapText="1"/>
    </xf>
    <xf numFmtId="3" fontId="3" fillId="0" borderId="55" xfId="0" applyNumberFormat="1" applyFont="1" applyBorder="1" applyAlignment="1">
      <alignment horizontal="center" vertical="center" wrapText="1"/>
    </xf>
    <xf numFmtId="3" fontId="3" fillId="0" borderId="70" xfId="0" applyNumberFormat="1" applyFont="1" applyBorder="1" applyAlignment="1">
      <alignment horizontal="center" vertical="center" wrapText="1"/>
    </xf>
    <xf numFmtId="3" fontId="3" fillId="0" borderId="71" xfId="0" applyNumberFormat="1" applyFont="1" applyBorder="1" applyAlignment="1">
      <alignment horizontal="center" vertical="center" wrapText="1"/>
    </xf>
    <xf numFmtId="166" fontId="3" fillId="5" borderId="68" xfId="0" applyNumberFormat="1" applyFont="1" applyFill="1" applyBorder="1" applyAlignment="1">
      <alignment horizontal="right" vertical="top" wrapText="1"/>
    </xf>
    <xf numFmtId="166" fontId="3" fillId="5" borderId="73" xfId="0" applyNumberFormat="1" applyFont="1" applyFill="1" applyBorder="1" applyAlignment="1">
      <alignment horizontal="right" vertical="top" wrapText="1"/>
    </xf>
    <xf numFmtId="166" fontId="3" fillId="5" borderId="69" xfId="0" applyNumberFormat="1" applyFont="1" applyFill="1" applyBorder="1" applyAlignment="1">
      <alignment horizontal="right" vertical="top" wrapText="1"/>
    </xf>
    <xf numFmtId="166" fontId="3" fillId="5" borderId="74" xfId="0" applyNumberFormat="1" applyFont="1" applyFill="1" applyBorder="1" applyAlignment="1">
      <alignment horizontal="right" vertical="top"/>
    </xf>
    <xf numFmtId="166" fontId="3" fillId="5" borderId="70" xfId="0" applyNumberFormat="1" applyFont="1" applyFill="1" applyBorder="1" applyAlignment="1">
      <alignment horizontal="right" vertical="top"/>
    </xf>
    <xf numFmtId="166" fontId="3" fillId="5" borderId="71" xfId="0" applyNumberFormat="1" applyFont="1" applyFill="1" applyBorder="1" applyAlignment="1">
      <alignment horizontal="right" vertical="top"/>
    </xf>
    <xf numFmtId="49" fontId="3" fillId="7" borderId="18"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xf>
    <xf numFmtId="166" fontId="3" fillId="7" borderId="102" xfId="0" applyNumberFormat="1" applyFont="1" applyFill="1" applyBorder="1" applyAlignment="1">
      <alignment horizontal="center" vertical="center" textRotation="90"/>
    </xf>
    <xf numFmtId="166" fontId="3" fillId="7" borderId="28" xfId="0" applyNumberFormat="1" applyFont="1" applyFill="1" applyBorder="1" applyAlignment="1">
      <alignment horizontal="center" vertical="center" textRotation="90"/>
    </xf>
    <xf numFmtId="166" fontId="3" fillId="9" borderId="5" xfId="0" applyNumberFormat="1" applyFont="1" applyFill="1" applyBorder="1" applyAlignment="1">
      <alignment horizontal="center" vertical="top"/>
    </xf>
    <xf numFmtId="166" fontId="3" fillId="9" borderId="9" xfId="0" applyNumberFormat="1" applyFont="1" applyFill="1" applyBorder="1" applyAlignment="1">
      <alignment horizontal="center" vertical="top"/>
    </xf>
    <xf numFmtId="166" fontId="3" fillId="2" borderId="25" xfId="0" applyNumberFormat="1" applyFont="1" applyFill="1" applyBorder="1" applyAlignment="1">
      <alignment horizontal="center" vertical="top"/>
    </xf>
    <xf numFmtId="166" fontId="3" fillId="2" borderId="30" xfId="0" applyNumberFormat="1" applyFont="1" applyFill="1" applyBorder="1" applyAlignment="1">
      <alignment horizontal="center" vertical="top"/>
    </xf>
    <xf numFmtId="49" fontId="3" fillId="7" borderId="25" xfId="0" applyNumberFormat="1" applyFont="1" applyFill="1" applyBorder="1" applyAlignment="1">
      <alignment horizontal="center" vertical="top"/>
    </xf>
    <xf numFmtId="166" fontId="2" fillId="7" borderId="41" xfId="0" applyNumberFormat="1" applyFont="1" applyFill="1" applyBorder="1" applyAlignment="1">
      <alignment vertical="top" wrapText="1"/>
    </xf>
    <xf numFmtId="166" fontId="2" fillId="7" borderId="48" xfId="0" applyNumberFormat="1" applyFont="1" applyFill="1" applyBorder="1" applyAlignment="1">
      <alignment vertical="top" wrapText="1"/>
    </xf>
    <xf numFmtId="166" fontId="2" fillId="7" borderId="56" xfId="0" applyNumberFormat="1" applyFont="1" applyFill="1" applyBorder="1" applyAlignment="1">
      <alignment vertical="top" wrapText="1"/>
    </xf>
    <xf numFmtId="166" fontId="4" fillId="0" borderId="25"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0" borderId="30" xfId="0" applyNumberFormat="1" applyFont="1" applyFill="1" applyBorder="1" applyAlignment="1">
      <alignment horizontal="center" vertical="top" wrapText="1"/>
    </xf>
    <xf numFmtId="0" fontId="8" fillId="7" borderId="11" xfId="0" applyFont="1" applyFill="1" applyBorder="1" applyAlignment="1">
      <alignment horizontal="center" vertical="center" wrapText="1"/>
    </xf>
    <xf numFmtId="0" fontId="8" fillId="7" borderId="28"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28" xfId="0" applyBorder="1" applyAlignment="1">
      <alignment horizontal="center" vertical="center" wrapText="1"/>
    </xf>
    <xf numFmtId="166" fontId="2" fillId="5" borderId="70" xfId="0" applyNumberFormat="1" applyFont="1" applyFill="1" applyBorder="1" applyAlignment="1">
      <alignment horizontal="center" vertical="top"/>
    </xf>
    <xf numFmtId="166" fontId="2" fillId="5" borderId="71" xfId="0" applyNumberFormat="1" applyFont="1" applyFill="1" applyBorder="1" applyAlignment="1">
      <alignment horizontal="center" vertical="top"/>
    </xf>
    <xf numFmtId="0" fontId="0" fillId="0" borderId="30" xfId="0" applyFont="1" applyBorder="1" applyAlignment="1">
      <alignment vertical="top"/>
    </xf>
    <xf numFmtId="166" fontId="3" fillId="0" borderId="11" xfId="0" applyNumberFormat="1" applyFont="1" applyFill="1" applyBorder="1" applyAlignment="1">
      <alignment horizontal="center" vertical="top" wrapText="1"/>
    </xf>
    <xf numFmtId="166" fontId="3" fillId="0" borderId="30" xfId="0" applyNumberFormat="1" applyFont="1" applyFill="1" applyBorder="1" applyAlignment="1">
      <alignment horizontal="center" vertical="top" wrapText="1"/>
    </xf>
    <xf numFmtId="166" fontId="3" fillId="0" borderId="35" xfId="0" applyNumberFormat="1" applyFont="1" applyBorder="1" applyAlignment="1">
      <alignment horizontal="center" vertical="top"/>
    </xf>
    <xf numFmtId="166" fontId="3" fillId="0" borderId="48" xfId="0" applyNumberFormat="1" applyFont="1" applyBorder="1" applyAlignment="1">
      <alignment horizontal="center" vertical="top"/>
    </xf>
    <xf numFmtId="166" fontId="3" fillId="0" borderId="63" xfId="0" applyNumberFormat="1" applyFont="1" applyBorder="1" applyAlignment="1">
      <alignment horizontal="center" vertical="top"/>
    </xf>
    <xf numFmtId="166" fontId="3" fillId="2" borderId="32" xfId="0" applyNumberFormat="1" applyFont="1" applyFill="1" applyBorder="1" applyAlignment="1">
      <alignment horizontal="right" vertical="top"/>
    </xf>
    <xf numFmtId="166" fontId="3" fillId="2" borderId="33" xfId="0" applyNumberFormat="1" applyFont="1" applyFill="1" applyBorder="1" applyAlignment="1">
      <alignment horizontal="right" vertical="top"/>
    </xf>
    <xf numFmtId="0" fontId="2" fillId="3" borderId="64" xfId="0" applyFont="1" applyFill="1" applyBorder="1" applyAlignment="1">
      <alignment horizontal="left" vertical="top" wrapText="1"/>
    </xf>
    <xf numFmtId="0" fontId="2" fillId="3" borderId="75" xfId="0" applyFont="1" applyFill="1" applyBorder="1" applyAlignment="1">
      <alignment horizontal="left" vertical="top" wrapText="1"/>
    </xf>
    <xf numFmtId="0" fontId="2" fillId="3" borderId="53" xfId="0" applyFont="1" applyFill="1" applyBorder="1" applyAlignment="1">
      <alignment horizontal="left" vertical="top" wrapText="1"/>
    </xf>
    <xf numFmtId="166" fontId="3" fillId="4" borderId="72" xfId="0" applyNumberFormat="1" applyFont="1" applyFill="1" applyBorder="1" applyAlignment="1">
      <alignment horizontal="right" vertical="top" wrapText="1"/>
    </xf>
    <xf numFmtId="166" fontId="3" fillId="4" borderId="32" xfId="0" applyNumberFormat="1" applyFont="1" applyFill="1" applyBorder="1" applyAlignment="1">
      <alignment horizontal="right" vertical="top" wrapText="1"/>
    </xf>
    <xf numFmtId="166" fontId="3" fillId="4" borderId="33" xfId="0" applyNumberFormat="1" applyFont="1" applyFill="1" applyBorder="1" applyAlignment="1">
      <alignment horizontal="right" vertical="top" wrapText="1"/>
    </xf>
    <xf numFmtId="3" fontId="28" fillId="7" borderId="0" xfId="0" applyNumberFormat="1" applyFont="1" applyFill="1" applyAlignment="1">
      <alignment horizontal="left" vertical="top" wrapText="1"/>
    </xf>
    <xf numFmtId="3" fontId="19" fillId="0" borderId="0" xfId="0" applyNumberFormat="1" applyFont="1" applyAlignment="1">
      <alignment horizontal="center" vertical="top" wrapText="1"/>
    </xf>
    <xf numFmtId="0" fontId="20" fillId="0" borderId="0" xfId="0" applyFont="1" applyBorder="1" applyAlignment="1">
      <alignment horizontal="center" vertical="top" wrapText="1"/>
    </xf>
    <xf numFmtId="0" fontId="19" fillId="0" borderId="0" xfId="0" applyFont="1" applyBorder="1" applyAlignment="1">
      <alignment horizontal="center" vertical="top"/>
    </xf>
    <xf numFmtId="0" fontId="2" fillId="0" borderId="32" xfId="0" applyFont="1" applyBorder="1" applyAlignment="1">
      <alignment horizontal="right" vertical="top"/>
    </xf>
    <xf numFmtId="0" fontId="0" fillId="0" borderId="32" xfId="0" applyFont="1" applyBorder="1" applyAlignment="1">
      <alignment vertical="top"/>
    </xf>
    <xf numFmtId="166" fontId="2" fillId="8" borderId="67" xfId="0" applyNumberFormat="1" applyFont="1" applyFill="1" applyBorder="1" applyAlignment="1">
      <alignment vertical="top" wrapText="1"/>
    </xf>
    <xf numFmtId="166" fontId="8" fillId="8" borderId="62" xfId="0" applyNumberFormat="1" applyFont="1" applyFill="1" applyBorder="1" applyAlignment="1">
      <alignment vertical="top" wrapText="1"/>
    </xf>
    <xf numFmtId="166" fontId="8" fillId="8" borderId="42" xfId="0" applyNumberFormat="1" applyFont="1" applyFill="1" applyBorder="1" applyAlignment="1">
      <alignment vertical="top" wrapText="1"/>
    </xf>
    <xf numFmtId="166" fontId="3" fillId="5" borderId="67" xfId="0" applyNumberFormat="1" applyFont="1" applyFill="1" applyBorder="1" applyAlignment="1">
      <alignment horizontal="right" vertical="top" wrapText="1"/>
    </xf>
    <xf numFmtId="166" fontId="3" fillId="5" borderId="62" xfId="0" applyNumberFormat="1" applyFont="1" applyFill="1" applyBorder="1" applyAlignment="1">
      <alignment horizontal="right" vertical="top" wrapText="1"/>
    </xf>
    <xf numFmtId="166" fontId="3" fillId="5" borderId="42" xfId="0" applyNumberFormat="1" applyFont="1" applyFill="1" applyBorder="1" applyAlignment="1">
      <alignment horizontal="right" vertical="top" wrapText="1"/>
    </xf>
    <xf numFmtId="166" fontId="2" fillId="3" borderId="64" xfId="0" applyNumberFormat="1" applyFont="1" applyFill="1" applyBorder="1" applyAlignment="1">
      <alignment horizontal="left" vertical="top" wrapText="1"/>
    </xf>
    <xf numFmtId="166" fontId="2" fillId="3" borderId="75" xfId="0" applyNumberFormat="1" applyFont="1" applyFill="1" applyBorder="1" applyAlignment="1">
      <alignment horizontal="left" vertical="top" wrapText="1"/>
    </xf>
    <xf numFmtId="166" fontId="2" fillId="3" borderId="53" xfId="0" applyNumberFormat="1" applyFont="1" applyFill="1" applyBorder="1" applyAlignment="1">
      <alignment horizontal="left" vertical="top" wrapText="1"/>
    </xf>
    <xf numFmtId="166" fontId="2" fillId="3" borderId="67" xfId="0" applyNumberFormat="1" applyFont="1" applyFill="1" applyBorder="1" applyAlignment="1">
      <alignment horizontal="left" vertical="top" wrapText="1"/>
    </xf>
    <xf numFmtId="166" fontId="2" fillId="3" borderId="62" xfId="0" applyNumberFormat="1" applyFont="1" applyFill="1" applyBorder="1" applyAlignment="1">
      <alignment horizontal="left" vertical="top" wrapText="1"/>
    </xf>
    <xf numFmtId="166" fontId="2" fillId="3" borderId="42" xfId="0" applyNumberFormat="1" applyFont="1" applyFill="1" applyBorder="1" applyAlignment="1">
      <alignment horizontal="left" vertical="top" wrapText="1"/>
    </xf>
    <xf numFmtId="166" fontId="8" fillId="7" borderId="28" xfId="0" applyNumberFormat="1" applyFont="1" applyFill="1" applyBorder="1" applyAlignment="1">
      <alignment vertical="top" wrapText="1"/>
    </xf>
    <xf numFmtId="166" fontId="3" fillId="9" borderId="74" xfId="0" applyNumberFormat="1" applyFont="1" applyFill="1" applyBorder="1" applyAlignment="1">
      <alignment horizontal="right" vertical="top"/>
    </xf>
    <xf numFmtId="166" fontId="3" fillId="9" borderId="70" xfId="0" applyNumberFormat="1" applyFont="1" applyFill="1" applyBorder="1" applyAlignment="1">
      <alignment horizontal="right" vertical="top"/>
    </xf>
    <xf numFmtId="166" fontId="3" fillId="9" borderId="71" xfId="0" applyNumberFormat="1" applyFont="1" applyFill="1" applyBorder="1" applyAlignment="1">
      <alignment horizontal="right" vertical="top"/>
    </xf>
    <xf numFmtId="166" fontId="2" fillId="9" borderId="70" xfId="0" applyNumberFormat="1" applyFont="1" applyFill="1" applyBorder="1" applyAlignment="1">
      <alignment horizontal="center" vertical="top"/>
    </xf>
    <xf numFmtId="166" fontId="2" fillId="9" borderId="71" xfId="0" applyNumberFormat="1" applyFont="1" applyFill="1" applyBorder="1" applyAlignment="1">
      <alignment horizontal="center" vertical="top"/>
    </xf>
    <xf numFmtId="166" fontId="2" fillId="7" borderId="29" xfId="0" applyNumberFormat="1" applyFont="1" applyFill="1" applyBorder="1" applyAlignment="1">
      <alignment horizontal="left" vertical="top" wrapText="1"/>
    </xf>
    <xf numFmtId="166" fontId="3" fillId="2" borderId="70" xfId="0" applyNumberFormat="1" applyFont="1" applyFill="1" applyBorder="1" applyAlignment="1">
      <alignment horizontal="right" vertical="top"/>
    </xf>
    <xf numFmtId="166" fontId="3" fillId="2" borderId="71" xfId="0" applyNumberFormat="1" applyFont="1" applyFill="1" applyBorder="1" applyAlignment="1">
      <alignment horizontal="right" vertical="top"/>
    </xf>
    <xf numFmtId="166" fontId="2" fillId="2" borderId="70" xfId="0" applyNumberFormat="1" applyFont="1" applyFill="1" applyBorder="1" applyAlignment="1">
      <alignment horizontal="center" vertical="top" wrapText="1"/>
    </xf>
    <xf numFmtId="166" fontId="2" fillId="2" borderId="71" xfId="0" applyNumberFormat="1" applyFont="1" applyFill="1" applyBorder="1" applyAlignment="1">
      <alignment horizontal="center" vertical="top" wrapText="1"/>
    </xf>
    <xf numFmtId="166" fontId="3" fillId="2" borderId="74" xfId="0" applyNumberFormat="1" applyFont="1" applyFill="1" applyBorder="1" applyAlignment="1">
      <alignment horizontal="left" vertical="top"/>
    </xf>
    <xf numFmtId="166" fontId="3" fillId="2" borderId="70" xfId="0" applyNumberFormat="1" applyFont="1" applyFill="1" applyBorder="1" applyAlignment="1">
      <alignment horizontal="left" vertical="top"/>
    </xf>
    <xf numFmtId="166" fontId="3" fillId="2" borderId="71" xfId="0" applyNumberFormat="1" applyFont="1" applyFill="1" applyBorder="1" applyAlignment="1">
      <alignment horizontal="left" vertical="top"/>
    </xf>
    <xf numFmtId="0" fontId="2" fillId="7" borderId="101" xfId="0" applyFont="1" applyFill="1" applyBorder="1" applyAlignment="1">
      <alignment vertical="top" wrapText="1"/>
    </xf>
    <xf numFmtId="0" fontId="0" fillId="7" borderId="29" xfId="0" applyFill="1" applyBorder="1" applyAlignment="1">
      <alignment vertical="top" wrapText="1"/>
    </xf>
    <xf numFmtId="0" fontId="8" fillId="0" borderId="11" xfId="0" applyFont="1" applyBorder="1" applyAlignment="1">
      <alignment horizontal="center" vertical="center" wrapText="1"/>
    </xf>
    <xf numFmtId="0" fontId="8" fillId="0" borderId="28" xfId="0" applyFont="1" applyBorder="1" applyAlignment="1">
      <alignment horizontal="center" vertical="center" wrapText="1"/>
    </xf>
    <xf numFmtId="49" fontId="3" fillId="2" borderId="11" xfId="0" applyNumberFormat="1" applyFont="1" applyFill="1" applyBorder="1" applyAlignment="1">
      <alignment horizontal="center" vertical="top"/>
    </xf>
    <xf numFmtId="0" fontId="0" fillId="0" borderId="11" xfId="0" applyBorder="1" applyAlignment="1">
      <alignment horizontal="center" wrapText="1"/>
    </xf>
    <xf numFmtId="0" fontId="0" fillId="0" borderId="28" xfId="0" applyBorder="1" applyAlignment="1">
      <alignment horizontal="center" wrapText="1"/>
    </xf>
    <xf numFmtId="166" fontId="2" fillId="7" borderId="46" xfId="0" applyNumberFormat="1" applyFont="1" applyFill="1" applyBorder="1" applyAlignment="1">
      <alignment vertical="top" wrapText="1"/>
    </xf>
    <xf numFmtId="0" fontId="8" fillId="7" borderId="35" xfId="0" applyFont="1" applyFill="1" applyBorder="1" applyAlignment="1">
      <alignment vertical="top" wrapText="1"/>
    </xf>
    <xf numFmtId="166" fontId="8" fillId="7" borderId="7" xfId="0" applyNumberFormat="1" applyFont="1" applyFill="1" applyBorder="1" applyAlignment="1">
      <alignment vertical="top" wrapText="1"/>
    </xf>
    <xf numFmtId="166" fontId="3" fillId="7" borderId="41" xfId="0" applyNumberFormat="1" applyFont="1" applyFill="1" applyBorder="1" applyAlignment="1">
      <alignment horizontal="center" vertical="top"/>
    </xf>
    <xf numFmtId="166" fontId="3" fillId="7" borderId="56"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3" fillId="7" borderId="11" xfId="0" applyNumberFormat="1" applyFont="1" applyFill="1" applyBorder="1" applyAlignment="1">
      <alignment vertical="top" wrapText="1"/>
    </xf>
    <xf numFmtId="166" fontId="11" fillId="7" borderId="25" xfId="0" applyNumberFormat="1" applyFont="1" applyFill="1" applyBorder="1" applyAlignment="1">
      <alignment horizontal="center" vertical="top" wrapText="1"/>
    </xf>
    <xf numFmtId="166" fontId="11" fillId="7" borderId="11" xfId="0" applyNumberFormat="1" applyFont="1" applyFill="1" applyBorder="1" applyAlignment="1">
      <alignment horizontal="center" vertical="top" wrapText="1"/>
    </xf>
    <xf numFmtId="0" fontId="0" fillId="0" borderId="11" xfId="0" applyBorder="1" applyAlignment="1">
      <alignment wrapText="1"/>
    </xf>
    <xf numFmtId="0" fontId="0" fillId="0" borderId="28" xfId="0" applyBorder="1" applyAlignment="1">
      <alignment vertical="top" wrapText="1"/>
    </xf>
    <xf numFmtId="166" fontId="2" fillId="0" borderId="36" xfId="0" applyNumberFormat="1" applyFont="1" applyFill="1" applyBorder="1" applyAlignment="1">
      <alignment horizontal="left" vertical="top" wrapText="1"/>
    </xf>
    <xf numFmtId="166" fontId="2" fillId="0" borderId="29" xfId="0" applyNumberFormat="1" applyFont="1" applyFill="1" applyBorder="1" applyAlignment="1">
      <alignment horizontal="left" vertical="top" wrapText="1"/>
    </xf>
    <xf numFmtId="166" fontId="3" fillId="0" borderId="48" xfId="0" applyNumberFormat="1" applyFont="1" applyFill="1" applyBorder="1" applyAlignment="1">
      <alignment horizontal="center" vertical="top" wrapText="1"/>
    </xf>
    <xf numFmtId="166" fontId="3" fillId="2" borderId="74" xfId="0" applyNumberFormat="1" applyFont="1" applyFill="1" applyBorder="1" applyAlignment="1">
      <alignment horizontal="right" vertical="top"/>
    </xf>
    <xf numFmtId="166" fontId="2" fillId="7" borderId="92" xfId="0" applyNumberFormat="1" applyFont="1" applyFill="1" applyBorder="1" applyAlignment="1">
      <alignment horizontal="left" vertical="top" wrapText="1"/>
    </xf>
    <xf numFmtId="49" fontId="2" fillId="7" borderId="102" xfId="0" applyNumberFormat="1" applyFont="1" applyFill="1" applyBorder="1" applyAlignment="1">
      <alignment vertical="top" wrapText="1"/>
    </xf>
    <xf numFmtId="49" fontId="2" fillId="7" borderId="11" xfId="0" applyNumberFormat="1" applyFont="1" applyFill="1" applyBorder="1" applyAlignment="1">
      <alignment vertical="top" wrapText="1"/>
    </xf>
    <xf numFmtId="166" fontId="6" fillId="7" borderId="25" xfId="0" applyNumberFormat="1" applyFont="1" applyFill="1" applyBorder="1" applyAlignment="1">
      <alignment horizontal="center" vertical="center" textRotation="90" wrapText="1"/>
    </xf>
    <xf numFmtId="166" fontId="6" fillId="7" borderId="11" xfId="0" applyNumberFormat="1" applyFont="1" applyFill="1" applyBorder="1" applyAlignment="1">
      <alignment horizontal="center" vertical="center" textRotation="90" wrapText="1"/>
    </xf>
    <xf numFmtId="166" fontId="6" fillId="7" borderId="28" xfId="0" applyNumberFormat="1" applyFont="1" applyFill="1" applyBorder="1" applyAlignment="1">
      <alignment horizontal="center" vertical="center" textRotation="90" wrapText="1"/>
    </xf>
    <xf numFmtId="0" fontId="2" fillId="0" borderId="0" xfId="0" applyFont="1" applyAlignment="1">
      <alignment horizontal="center" vertical="center"/>
    </xf>
    <xf numFmtId="166" fontId="3" fillId="7" borderId="25"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0" fontId="2" fillId="7" borderId="102" xfId="0" applyNumberFormat="1" applyFont="1" applyFill="1" applyBorder="1" applyAlignment="1">
      <alignment horizontal="left" vertical="top" wrapText="1"/>
    </xf>
    <xf numFmtId="0" fontId="0" fillId="7" borderId="28" xfId="0" applyFill="1" applyBorder="1" applyAlignment="1">
      <alignment horizontal="left" vertical="top" wrapText="1"/>
    </xf>
    <xf numFmtId="0" fontId="2" fillId="7" borderId="7" xfId="0" applyFont="1" applyFill="1" applyBorder="1" applyAlignment="1">
      <alignment horizontal="left" vertical="top" wrapText="1"/>
    </xf>
    <xf numFmtId="3" fontId="2" fillId="0" borderId="20" xfId="0" applyNumberFormat="1" applyFont="1" applyFill="1" applyBorder="1" applyAlignment="1">
      <alignment horizontal="center" vertical="top"/>
    </xf>
    <xf numFmtId="3" fontId="2" fillId="0" borderId="28" xfId="0" applyNumberFormat="1" applyFont="1" applyFill="1" applyBorder="1" applyAlignment="1">
      <alignment horizontal="center" vertical="top"/>
    </xf>
    <xf numFmtId="3" fontId="2" fillId="0" borderId="46" xfId="0" applyNumberFormat="1" applyFont="1" applyFill="1" applyBorder="1" applyAlignment="1">
      <alignment horizontal="center" vertical="top"/>
    </xf>
    <xf numFmtId="3" fontId="2" fillId="0" borderId="35"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0" borderId="27" xfId="0" applyNumberFormat="1" applyFont="1" applyFill="1" applyBorder="1" applyAlignment="1">
      <alignment horizontal="center" vertical="top"/>
    </xf>
    <xf numFmtId="0" fontId="2" fillId="7" borderId="47" xfId="0" applyFont="1" applyFill="1" applyBorder="1" applyAlignment="1">
      <alignment vertical="top" wrapText="1"/>
    </xf>
    <xf numFmtId="0" fontId="0" fillId="7" borderId="47" xfId="0" applyFill="1" applyBorder="1" applyAlignment="1">
      <alignment vertical="top" wrapText="1"/>
    </xf>
    <xf numFmtId="166" fontId="2" fillId="7" borderId="117" xfId="0" applyNumberFormat="1" applyFont="1" applyFill="1" applyBorder="1" applyAlignment="1">
      <alignment vertical="top" wrapText="1"/>
    </xf>
    <xf numFmtId="0" fontId="0" fillId="7" borderId="99" xfId="0" applyFill="1" applyBorder="1" applyAlignment="1">
      <alignment vertical="top"/>
    </xf>
    <xf numFmtId="166" fontId="2" fillId="7" borderId="34" xfId="0" applyNumberFormat="1" applyFont="1" applyFill="1" applyBorder="1" applyAlignment="1">
      <alignment vertical="top" wrapText="1"/>
    </xf>
    <xf numFmtId="0" fontId="8" fillId="7" borderId="99" xfId="0" applyFont="1" applyFill="1" applyBorder="1" applyAlignment="1">
      <alignment vertical="top" wrapText="1"/>
    </xf>
    <xf numFmtId="0" fontId="2" fillId="7" borderId="28" xfId="0" applyFont="1" applyFill="1" applyBorder="1" applyAlignment="1">
      <alignment horizontal="left" vertical="top" wrapText="1"/>
    </xf>
    <xf numFmtId="166" fontId="8" fillId="7" borderId="11" xfId="0" applyNumberFormat="1" applyFont="1" applyFill="1" applyBorder="1" applyAlignment="1">
      <alignment horizontal="center" vertical="center" textRotation="90" wrapText="1"/>
    </xf>
    <xf numFmtId="0" fontId="0" fillId="0" borderId="11" xfId="0" applyBorder="1" applyAlignment="1">
      <alignment horizontal="center" vertical="center" textRotation="90" wrapText="1"/>
    </xf>
    <xf numFmtId="0" fontId="0" fillId="0" borderId="29" xfId="0" applyBorder="1" applyAlignment="1">
      <alignment vertical="top" wrapText="1"/>
    </xf>
    <xf numFmtId="166" fontId="2" fillId="2" borderId="32" xfId="0" applyNumberFormat="1" applyFont="1" applyFill="1" applyBorder="1" applyAlignment="1">
      <alignment horizontal="center" vertical="top" wrapText="1"/>
    </xf>
    <xf numFmtId="166" fontId="2" fillId="2" borderId="33" xfId="0" applyNumberFormat="1" applyFont="1" applyFill="1" applyBorder="1" applyAlignment="1">
      <alignment horizontal="center" vertical="top" wrapText="1"/>
    </xf>
    <xf numFmtId="0" fontId="3" fillId="7" borderId="11" xfId="0" applyFont="1" applyFill="1" applyBorder="1" applyAlignment="1">
      <alignment vertical="top" wrapText="1"/>
    </xf>
    <xf numFmtId="0" fontId="8" fillId="0" borderId="11" xfId="0" applyFont="1" applyBorder="1" applyAlignment="1">
      <alignment vertical="top" wrapText="1"/>
    </xf>
    <xf numFmtId="0" fontId="4" fillId="7" borderId="11" xfId="0" applyFont="1" applyFill="1" applyBorder="1" applyAlignment="1">
      <alignment horizontal="center" vertical="center" textRotation="90" wrapText="1"/>
    </xf>
    <xf numFmtId="0" fontId="5" fillId="5" borderId="67" xfId="0" applyFont="1" applyFill="1" applyBorder="1" applyAlignment="1">
      <alignment horizontal="left" vertical="top" wrapText="1"/>
    </xf>
    <xf numFmtId="0" fontId="5" fillId="5" borderId="62" xfId="0" applyFont="1" applyFill="1" applyBorder="1" applyAlignment="1">
      <alignment horizontal="left" vertical="top" wrapText="1"/>
    </xf>
    <xf numFmtId="0" fontId="5" fillId="5" borderId="42" xfId="0" applyFont="1" applyFill="1" applyBorder="1" applyAlignment="1">
      <alignment horizontal="left" vertical="top" wrapText="1"/>
    </xf>
    <xf numFmtId="0" fontId="3" fillId="9" borderId="37" xfId="0" applyFont="1" applyFill="1" applyBorder="1" applyAlignment="1">
      <alignment horizontal="left" vertical="top"/>
    </xf>
    <xf numFmtId="0" fontId="3" fillId="9" borderId="62" xfId="0" applyFont="1" applyFill="1" applyBorder="1" applyAlignment="1">
      <alignment horizontal="left" vertical="top"/>
    </xf>
    <xf numFmtId="0" fontId="3" fillId="9" borderId="42" xfId="0" applyFont="1" applyFill="1" applyBorder="1" applyAlignment="1">
      <alignment horizontal="left" vertical="top"/>
    </xf>
    <xf numFmtId="0" fontId="3" fillId="2" borderId="37" xfId="0" applyFont="1" applyFill="1" applyBorder="1" applyAlignment="1">
      <alignment horizontal="left" vertical="top" wrapText="1"/>
    </xf>
    <xf numFmtId="0" fontId="3" fillId="2" borderId="62" xfId="0" applyFont="1" applyFill="1" applyBorder="1" applyAlignment="1">
      <alignment horizontal="left" vertical="top" wrapText="1"/>
    </xf>
    <xf numFmtId="0" fontId="3" fillId="2" borderId="42" xfId="0" applyFont="1" applyFill="1" applyBorder="1" applyAlignment="1">
      <alignment horizontal="left" vertical="top" wrapText="1"/>
    </xf>
    <xf numFmtId="0" fontId="2" fillId="0" borderId="39" xfId="0" applyFont="1" applyBorder="1" applyAlignment="1">
      <alignment horizontal="center" vertical="center" textRotation="90" wrapText="1"/>
    </xf>
    <xf numFmtId="0" fontId="2" fillId="0" borderId="6" xfId="0" applyFont="1" applyBorder="1" applyAlignment="1">
      <alignment horizontal="center" vertical="center" textRotation="90" wrapText="1"/>
    </xf>
    <xf numFmtId="0" fontId="2" fillId="0" borderId="66" xfId="0" applyFont="1" applyBorder="1" applyAlignment="1">
      <alignment horizontal="center" vertical="center" textRotation="90" wrapText="1"/>
    </xf>
    <xf numFmtId="0" fontId="3" fillId="0" borderId="68" xfId="0" applyFont="1" applyBorder="1" applyAlignment="1">
      <alignment horizontal="center" vertical="center"/>
    </xf>
    <xf numFmtId="0" fontId="3" fillId="0" borderId="73" xfId="0" applyFont="1" applyBorder="1" applyAlignment="1">
      <alignment horizontal="center" vertical="center"/>
    </xf>
    <xf numFmtId="0" fontId="3" fillId="0" borderId="69" xfId="0" applyFont="1" applyBorder="1" applyAlignment="1">
      <alignment horizontal="center" vertical="center"/>
    </xf>
    <xf numFmtId="0" fontId="2" fillId="0" borderId="3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62" xfId="0" applyFont="1" applyBorder="1" applyAlignment="1">
      <alignment horizontal="center" vertical="center"/>
    </xf>
    <xf numFmtId="0" fontId="2" fillId="0" borderId="42" xfId="0" applyFont="1" applyBorder="1" applyAlignment="1">
      <alignment horizontal="center" vertical="center"/>
    </xf>
    <xf numFmtId="49" fontId="5" fillId="6" borderId="68" xfId="0" applyNumberFormat="1" applyFont="1" applyFill="1" applyBorder="1" applyAlignment="1">
      <alignment horizontal="left" vertical="top" wrapText="1"/>
    </xf>
    <xf numFmtId="49" fontId="5" fillId="6" borderId="73" xfId="0" applyNumberFormat="1" applyFont="1" applyFill="1" applyBorder="1" applyAlignment="1">
      <alignment horizontal="left" vertical="top" wrapText="1"/>
    </xf>
    <xf numFmtId="49" fontId="5" fillId="6" borderId="69" xfId="0" applyNumberFormat="1" applyFont="1" applyFill="1" applyBorder="1" applyAlignment="1">
      <alignment horizontal="left" vertical="top" wrapText="1"/>
    </xf>
    <xf numFmtId="3" fontId="2" fillId="0" borderId="41" xfId="0" applyNumberFormat="1" applyFont="1" applyBorder="1" applyAlignment="1">
      <alignment horizontal="center" vertical="center" textRotation="90" shrinkToFit="1"/>
    </xf>
    <xf numFmtId="3" fontId="2" fillId="0" borderId="48" xfId="0" applyNumberFormat="1" applyFont="1" applyBorder="1" applyAlignment="1">
      <alignment horizontal="center" vertical="center" textRotation="90" shrinkToFit="1"/>
    </xf>
    <xf numFmtId="3" fontId="2" fillId="0" borderId="56" xfId="0" applyNumberFormat="1" applyFont="1" applyBorder="1" applyAlignment="1">
      <alignment horizontal="center" vertical="center" textRotation="90" shrinkToFit="1"/>
    </xf>
    <xf numFmtId="3" fontId="2" fillId="0" borderId="41" xfId="0" applyNumberFormat="1" applyFont="1" applyBorder="1" applyAlignment="1">
      <alignment horizontal="center" vertical="center" textRotation="90" wrapText="1"/>
    </xf>
    <xf numFmtId="3" fontId="2" fillId="0" borderId="48" xfId="0" applyNumberFormat="1" applyFont="1" applyBorder="1" applyAlignment="1">
      <alignment horizontal="center" vertical="center" textRotation="90" wrapText="1"/>
    </xf>
    <xf numFmtId="3" fontId="2" fillId="0" borderId="56" xfId="0" applyNumberFormat="1" applyFont="1" applyBorder="1" applyAlignment="1">
      <alignment horizontal="center" vertical="center" textRotation="90" wrapText="1"/>
    </xf>
    <xf numFmtId="3" fontId="2" fillId="0" borderId="39" xfId="0" applyNumberFormat="1" applyFont="1" applyBorder="1" applyAlignment="1">
      <alignment horizontal="center" vertical="center" textRotation="90" wrapText="1" shrinkToFit="1"/>
    </xf>
    <xf numFmtId="3" fontId="2" fillId="0" borderId="6" xfId="0" applyNumberFormat="1" applyFont="1" applyBorder="1" applyAlignment="1">
      <alignment horizontal="center" vertical="center" textRotation="90" wrapText="1" shrinkToFit="1"/>
    </xf>
    <xf numFmtId="3" fontId="2" fillId="0" borderId="66" xfId="0" applyNumberFormat="1" applyFont="1" applyBorder="1" applyAlignment="1">
      <alignment horizontal="center" vertical="center" textRotation="90" wrapText="1" shrinkToFit="1"/>
    </xf>
    <xf numFmtId="3" fontId="2" fillId="0" borderId="5" xfId="0" applyNumberFormat="1" applyFont="1" applyBorder="1" applyAlignment="1">
      <alignment horizontal="center" vertical="center" textRotation="90" shrinkToFit="1"/>
    </xf>
    <xf numFmtId="3" fontId="2" fillId="0" borderId="7" xfId="0" applyNumberFormat="1" applyFont="1" applyBorder="1" applyAlignment="1">
      <alignment horizontal="center" vertical="center" textRotation="90" shrinkToFit="1"/>
    </xf>
    <xf numFmtId="3" fontId="2" fillId="0" borderId="9" xfId="0" applyNumberFormat="1" applyFont="1" applyBorder="1" applyAlignment="1">
      <alignment horizontal="center" vertical="center" textRotation="90" shrinkToFit="1"/>
    </xf>
    <xf numFmtId="3" fontId="2" fillId="0" borderId="25" xfId="0" applyNumberFormat="1" applyFont="1" applyBorder="1" applyAlignment="1">
      <alignment horizontal="center" vertical="center" textRotation="90" shrinkToFit="1"/>
    </xf>
    <xf numFmtId="3" fontId="2" fillId="0" borderId="11" xfId="0" applyNumberFormat="1" applyFont="1" applyBorder="1" applyAlignment="1">
      <alignment horizontal="center" vertical="center" textRotation="90" shrinkToFit="1"/>
    </xf>
    <xf numFmtId="3" fontId="2" fillId="0" borderId="30" xfId="0" applyNumberFormat="1" applyFont="1" applyBorder="1" applyAlignment="1">
      <alignment horizontal="center" vertical="center" textRotation="90" shrinkToFit="1"/>
    </xf>
    <xf numFmtId="3" fontId="2" fillId="0" borderId="41" xfId="0" applyNumberFormat="1" applyFont="1" applyBorder="1" applyAlignment="1">
      <alignment horizontal="center" vertical="center" shrinkToFit="1"/>
    </xf>
    <xf numFmtId="3" fontId="2" fillId="0" borderId="48" xfId="0" applyNumberFormat="1" applyFont="1" applyBorder="1" applyAlignment="1">
      <alignment horizontal="center" vertical="center" shrinkToFit="1"/>
    </xf>
    <xf numFmtId="3" fontId="2" fillId="0" borderId="56" xfId="0" applyNumberFormat="1" applyFont="1" applyBorder="1" applyAlignment="1">
      <alignment horizontal="center" vertical="center" shrinkToFit="1"/>
    </xf>
    <xf numFmtId="166" fontId="3" fillId="7" borderId="18" xfId="0" applyNumberFormat="1" applyFont="1" applyFill="1" applyBorder="1" applyAlignment="1">
      <alignment horizontal="center" vertical="top"/>
    </xf>
    <xf numFmtId="0" fontId="2" fillId="7" borderId="18" xfId="0" applyFont="1" applyFill="1" applyBorder="1" applyAlignment="1">
      <alignment vertical="top" wrapText="1"/>
    </xf>
    <xf numFmtId="0" fontId="0" fillId="0" borderId="18" xfId="0" applyBorder="1" applyAlignment="1">
      <alignment vertical="top" wrapText="1"/>
    </xf>
    <xf numFmtId="0" fontId="0" fillId="0" borderId="27" xfId="0" applyBorder="1" applyAlignment="1">
      <alignment vertical="top" wrapText="1"/>
    </xf>
    <xf numFmtId="0" fontId="2" fillId="7" borderId="21" xfId="0" applyFont="1" applyFill="1" applyBorder="1" applyAlignment="1">
      <alignment vertical="top" wrapText="1"/>
    </xf>
    <xf numFmtId="166" fontId="40" fillId="2" borderId="11" xfId="0" applyNumberFormat="1" applyFont="1" applyFill="1" applyBorder="1" applyAlignment="1">
      <alignment horizontal="center" vertical="top"/>
    </xf>
    <xf numFmtId="166" fontId="41" fillId="7" borderId="20" xfId="0" applyNumberFormat="1" applyFont="1" applyFill="1" applyBorder="1" applyAlignment="1">
      <alignment horizontal="left" vertical="top" wrapText="1"/>
    </xf>
    <xf numFmtId="166" fontId="41" fillId="7" borderId="11" xfId="0" applyNumberFormat="1" applyFont="1" applyFill="1" applyBorder="1" applyAlignment="1">
      <alignment horizontal="left" vertical="top" wrapText="1"/>
    </xf>
    <xf numFmtId="166" fontId="41" fillId="7" borderId="28" xfId="0" applyNumberFormat="1" applyFont="1" applyFill="1" applyBorder="1" applyAlignment="1">
      <alignment horizontal="left" vertical="top" wrapText="1"/>
    </xf>
    <xf numFmtId="3" fontId="44" fillId="3" borderId="21" xfId="0" applyNumberFormat="1" applyFont="1" applyFill="1" applyBorder="1" applyAlignment="1">
      <alignment horizontal="left" vertical="top" wrapText="1"/>
    </xf>
    <xf numFmtId="0" fontId="44" fillId="0" borderId="18" xfId="0" applyFont="1" applyBorder="1" applyAlignment="1">
      <alignment horizontal="left" vertical="top" wrapText="1"/>
    </xf>
    <xf numFmtId="166" fontId="40" fillId="9" borderId="7" xfId="0" applyNumberFormat="1" applyFont="1" applyFill="1" applyBorder="1" applyAlignment="1">
      <alignment horizontal="center" vertical="top"/>
    </xf>
    <xf numFmtId="166" fontId="41" fillId="7" borderId="36" xfId="0" applyNumberFormat="1" applyFont="1" applyFill="1" applyBorder="1" applyAlignment="1">
      <alignment horizontal="left" vertical="top" wrapText="1"/>
    </xf>
    <xf numFmtId="0" fontId="41" fillId="0" borderId="7" xfId="0" applyFont="1" applyBorder="1" applyAlignment="1">
      <alignment horizontal="left" vertical="top" wrapText="1"/>
    </xf>
    <xf numFmtId="3" fontId="41" fillId="7" borderId="21" xfId="0" applyNumberFormat="1" applyFont="1" applyFill="1" applyBorder="1" applyAlignment="1">
      <alignment horizontal="left" vertical="top" wrapText="1"/>
    </xf>
    <xf numFmtId="3" fontId="41" fillId="7" borderId="18" xfId="0" applyNumberFormat="1" applyFont="1" applyFill="1" applyBorder="1" applyAlignment="1">
      <alignment horizontal="left" vertical="top" wrapText="1"/>
    </xf>
    <xf numFmtId="3" fontId="41" fillId="7" borderId="31" xfId="0" applyNumberFormat="1" applyFont="1" applyFill="1" applyBorder="1" applyAlignment="1">
      <alignment horizontal="left" vertical="top" wrapText="1"/>
    </xf>
    <xf numFmtId="166" fontId="42" fillId="3" borderId="25" xfId="0" applyNumberFormat="1" applyFont="1" applyFill="1" applyBorder="1" applyAlignment="1">
      <alignment horizontal="left" vertical="top" wrapText="1"/>
    </xf>
    <xf numFmtId="0" fontId="41" fillId="0" borderId="11" xfId="0" applyFont="1" applyBorder="1" applyAlignment="1">
      <alignment horizontal="left" vertical="top" wrapText="1"/>
    </xf>
    <xf numFmtId="0" fontId="41" fillId="7" borderId="27" xfId="0" applyFont="1" applyFill="1" applyBorder="1" applyAlignment="1">
      <alignment horizontal="left" vertical="top" wrapText="1"/>
    </xf>
    <xf numFmtId="166" fontId="40" fillId="7" borderId="11" xfId="0" applyNumberFormat="1" applyFont="1" applyFill="1" applyBorder="1" applyAlignment="1">
      <alignment horizontal="center" vertical="top"/>
    </xf>
    <xf numFmtId="0" fontId="2" fillId="7" borderId="101" xfId="0" applyFont="1" applyFill="1" applyBorder="1" applyAlignment="1">
      <alignment horizontal="left" vertical="top" wrapText="1"/>
    </xf>
    <xf numFmtId="0" fontId="0" fillId="0" borderId="18" xfId="0" applyBorder="1" applyAlignment="1">
      <alignment vertical="top"/>
    </xf>
    <xf numFmtId="0" fontId="0" fillId="0" borderId="81" xfId="0" applyBorder="1" applyAlignment="1">
      <alignment vertical="top"/>
    </xf>
    <xf numFmtId="0" fontId="2" fillId="0" borderId="18" xfId="0" applyFont="1" applyBorder="1" applyAlignment="1">
      <alignment vertical="top" wrapText="1"/>
    </xf>
    <xf numFmtId="0" fontId="0" fillId="0" borderId="28" xfId="0" applyBorder="1" applyAlignment="1">
      <alignment textRotation="90" wrapText="1"/>
    </xf>
    <xf numFmtId="166" fontId="13" fillId="7" borderId="20" xfId="0" applyNumberFormat="1" applyFont="1" applyFill="1" applyBorder="1" applyAlignment="1">
      <alignment vertical="top" wrapText="1"/>
    </xf>
    <xf numFmtId="166" fontId="13" fillId="7" borderId="28" xfId="0" applyNumberFormat="1" applyFont="1" applyFill="1" applyBorder="1" applyAlignment="1">
      <alignment vertical="top" wrapText="1"/>
    </xf>
    <xf numFmtId="166" fontId="2" fillId="0" borderId="21" xfId="3" applyNumberFormat="1" applyFont="1" applyFill="1" applyBorder="1" applyAlignment="1">
      <alignment horizontal="left" vertical="top" wrapText="1"/>
    </xf>
    <xf numFmtId="166" fontId="2" fillId="0" borderId="27" xfId="3" applyNumberFormat="1" applyFont="1" applyFill="1" applyBorder="1" applyAlignment="1">
      <alignment horizontal="left" vertical="top" wrapText="1"/>
    </xf>
    <xf numFmtId="49" fontId="2" fillId="2" borderId="11" xfId="0" applyNumberFormat="1" applyFont="1" applyFill="1" applyBorder="1" applyAlignment="1">
      <alignment horizontal="center" vertical="center" textRotation="90" wrapText="1"/>
    </xf>
    <xf numFmtId="0" fontId="8" fillId="0" borderId="11" xfId="0" applyFont="1" applyBorder="1" applyAlignment="1">
      <alignment horizontal="center" vertical="center" textRotation="90" wrapText="1"/>
    </xf>
    <xf numFmtId="0" fontId="8" fillId="0" borderId="28" xfId="0" applyFont="1" applyBorder="1" applyAlignment="1">
      <alignment horizontal="center" vertical="center" textRotation="90" wrapText="1"/>
    </xf>
    <xf numFmtId="0" fontId="8" fillId="7" borderId="18" xfId="0" applyFont="1" applyFill="1" applyBorder="1" applyAlignment="1">
      <alignment vertical="top" wrapText="1"/>
    </xf>
    <xf numFmtId="166" fontId="3" fillId="7" borderId="11" xfId="0" applyNumberFormat="1" applyFont="1" applyFill="1" applyBorder="1" applyAlignment="1">
      <alignment horizontal="center" vertical="center" textRotation="90" wrapText="1"/>
    </xf>
    <xf numFmtId="0" fontId="0" fillId="0" borderId="28" xfId="0" applyBorder="1" applyAlignment="1">
      <alignment horizontal="center" vertical="center" textRotation="90" wrapText="1"/>
    </xf>
    <xf numFmtId="0" fontId="8" fillId="0" borderId="18" xfId="0" applyFont="1" applyBorder="1" applyAlignment="1">
      <alignment vertical="top" wrapText="1"/>
    </xf>
    <xf numFmtId="0" fontId="8" fillId="0" borderId="27" xfId="0" applyFont="1" applyBorder="1" applyAlignment="1">
      <alignment vertical="top" wrapText="1"/>
    </xf>
    <xf numFmtId="166" fontId="41" fillId="7" borderId="7" xfId="0" applyNumberFormat="1" applyFont="1" applyFill="1" applyBorder="1" applyAlignment="1">
      <alignment vertical="top" wrapText="1"/>
    </xf>
    <xf numFmtId="0" fontId="41" fillId="7" borderId="7" xfId="0" applyFont="1" applyFill="1" applyBorder="1" applyAlignment="1">
      <alignment vertical="top" wrapText="1"/>
    </xf>
    <xf numFmtId="166" fontId="53" fillId="2" borderId="74" xfId="0" applyNumberFormat="1" applyFont="1" applyFill="1" applyBorder="1" applyAlignment="1">
      <alignment horizontal="right" vertical="top"/>
    </xf>
    <xf numFmtId="166" fontId="53" fillId="2" borderId="70" xfId="0" applyNumberFormat="1" applyFont="1" applyFill="1" applyBorder="1" applyAlignment="1">
      <alignment horizontal="right" vertical="top"/>
    </xf>
    <xf numFmtId="166" fontId="53" fillId="2" borderId="71" xfId="0" applyNumberFormat="1" applyFont="1" applyFill="1" applyBorder="1" applyAlignment="1">
      <alignment horizontal="right" vertical="top"/>
    </xf>
    <xf numFmtId="166" fontId="22" fillId="7" borderId="45" xfId="0" applyNumberFormat="1" applyFont="1" applyFill="1" applyBorder="1" applyAlignment="1">
      <alignment horizontal="left" vertical="top" wrapText="1"/>
    </xf>
    <xf numFmtId="166" fontId="22" fillId="7" borderId="47" xfId="0" applyNumberFormat="1" applyFont="1" applyFill="1" applyBorder="1" applyAlignment="1">
      <alignment horizontal="left" vertical="top" wrapText="1"/>
    </xf>
    <xf numFmtId="166" fontId="25" fillId="7" borderId="47" xfId="0" applyNumberFormat="1" applyFont="1" applyFill="1" applyBorder="1" applyAlignment="1">
      <alignment horizontal="left" vertical="top" wrapText="1"/>
    </xf>
    <xf numFmtId="0" fontId="40" fillId="2" borderId="14" xfId="0" applyFont="1" applyFill="1" applyBorder="1" applyAlignment="1">
      <alignment horizontal="left" vertical="top" wrapText="1"/>
    </xf>
    <xf numFmtId="0" fontId="40" fillId="2" borderId="73" xfId="0" applyFont="1" applyFill="1" applyBorder="1" applyAlignment="1">
      <alignment horizontal="left" vertical="top" wrapText="1"/>
    </xf>
    <xf numFmtId="0" fontId="40" fillId="2" borderId="69" xfId="0" applyFont="1" applyFill="1" applyBorder="1" applyAlignment="1">
      <alignment horizontal="left" vertical="top" wrapText="1"/>
    </xf>
    <xf numFmtId="166" fontId="40" fillId="0" borderId="20" xfId="0" applyNumberFormat="1" applyFont="1" applyFill="1" applyBorder="1" applyAlignment="1">
      <alignment horizontal="center" vertical="top" wrapText="1"/>
    </xf>
    <xf numFmtId="166" fontId="40" fillId="0" borderId="11" xfId="0" applyNumberFormat="1" applyFont="1" applyFill="1" applyBorder="1" applyAlignment="1">
      <alignment horizontal="center" vertical="top" wrapText="1"/>
    </xf>
    <xf numFmtId="49" fontId="40" fillId="0" borderId="18" xfId="0" applyNumberFormat="1" applyFont="1" applyBorder="1" applyAlignment="1">
      <alignment horizontal="center" vertical="top"/>
    </xf>
    <xf numFmtId="49" fontId="41" fillId="7" borderId="7" xfId="0" applyNumberFormat="1" applyFont="1" applyFill="1" applyBorder="1" applyAlignment="1">
      <alignment horizontal="left" vertical="top" wrapText="1"/>
    </xf>
    <xf numFmtId="0" fontId="41" fillId="7" borderId="7" xfId="0" applyFont="1" applyFill="1" applyBorder="1" applyAlignment="1">
      <alignment horizontal="left" vertical="top" wrapText="1"/>
    </xf>
    <xf numFmtId="166" fontId="40" fillId="7" borderId="20" xfId="0" applyNumberFormat="1" applyFont="1" applyFill="1" applyBorder="1" applyAlignment="1">
      <alignment horizontal="center" vertical="center" textRotation="90" wrapText="1"/>
    </xf>
    <xf numFmtId="0" fontId="41" fillId="7" borderId="28" xfId="0" applyFont="1" applyFill="1" applyBorder="1" applyAlignment="1">
      <alignment horizontal="center" vertical="center" textRotation="90" wrapText="1"/>
    </xf>
    <xf numFmtId="166" fontId="41" fillId="7" borderId="20" xfId="0" applyNumberFormat="1" applyFont="1" applyFill="1" applyBorder="1" applyAlignment="1">
      <alignment vertical="top" wrapText="1"/>
    </xf>
    <xf numFmtId="166" fontId="41" fillId="7" borderId="11" xfId="0" applyNumberFormat="1" applyFont="1" applyFill="1" applyBorder="1" applyAlignment="1">
      <alignment vertical="top" wrapText="1"/>
    </xf>
    <xf numFmtId="166" fontId="40" fillId="7" borderId="18" xfId="0" applyNumberFormat="1" applyFont="1" applyFill="1" applyBorder="1" applyAlignment="1">
      <alignment horizontal="center" vertical="top"/>
    </xf>
    <xf numFmtId="0" fontId="41" fillId="0" borderId="28" xfId="0" applyFont="1" applyBorder="1" applyAlignment="1">
      <alignment horizontal="left" vertical="top" wrapText="1"/>
    </xf>
    <xf numFmtId="166" fontId="43" fillId="0" borderId="25" xfId="0" applyNumberFormat="1" applyFont="1" applyFill="1" applyBorder="1" applyAlignment="1">
      <alignment horizontal="center" vertical="center" textRotation="90" wrapText="1" shrinkToFit="1"/>
    </xf>
    <xf numFmtId="0" fontId="41" fillId="0" borderId="11" xfId="0" applyFont="1" applyBorder="1" applyAlignment="1">
      <alignment horizontal="center" vertical="center" textRotation="90" wrapText="1" shrinkToFit="1"/>
    </xf>
    <xf numFmtId="0" fontId="41" fillId="0" borderId="28" xfId="0" applyFont="1" applyBorder="1" applyAlignment="1">
      <alignment horizontal="center" vertical="center" textRotation="90" wrapText="1" shrinkToFit="1"/>
    </xf>
    <xf numFmtId="166" fontId="46" fillId="7" borderId="20" xfId="0" applyNumberFormat="1" applyFont="1" applyFill="1" applyBorder="1" applyAlignment="1">
      <alignment horizontal="center" vertical="center" textRotation="90" wrapText="1"/>
    </xf>
    <xf numFmtId="0" fontId="41" fillId="0" borderId="28" xfId="0" applyFont="1" applyBorder="1" applyAlignment="1">
      <alignment textRotation="90" wrapText="1"/>
    </xf>
    <xf numFmtId="166" fontId="40" fillId="3" borderId="20" xfId="0" applyNumberFormat="1" applyFont="1" applyFill="1" applyBorder="1" applyAlignment="1">
      <alignment horizontal="center" vertical="top" wrapText="1"/>
    </xf>
    <xf numFmtId="0" fontId="41" fillId="0" borderId="28" xfId="0" applyFont="1" applyBorder="1" applyAlignment="1">
      <alignment horizontal="center" vertical="top" wrapText="1"/>
    </xf>
    <xf numFmtId="166" fontId="42" fillId="3" borderId="11" xfId="0" applyNumberFormat="1" applyFont="1" applyFill="1" applyBorder="1" applyAlignment="1">
      <alignment horizontal="left" vertical="top" wrapText="1"/>
    </xf>
    <xf numFmtId="166" fontId="42" fillId="3" borderId="28" xfId="0" applyNumberFormat="1" applyFont="1" applyFill="1" applyBorder="1" applyAlignment="1">
      <alignment horizontal="left" vertical="top" wrapText="1"/>
    </xf>
    <xf numFmtId="49" fontId="3" fillId="2" borderId="25" xfId="0" applyNumberFormat="1" applyFont="1" applyFill="1" applyBorder="1" applyAlignment="1">
      <alignment horizontal="center" vertical="top"/>
    </xf>
    <xf numFmtId="49" fontId="3" fillId="2" borderId="30" xfId="0" applyNumberFormat="1" applyFont="1" applyFill="1" applyBorder="1" applyAlignment="1">
      <alignment horizontal="center" vertical="top"/>
    </xf>
    <xf numFmtId="166" fontId="40" fillId="7" borderId="20" xfId="0" applyNumberFormat="1" applyFont="1" applyFill="1" applyBorder="1" applyAlignment="1">
      <alignment horizontal="center" vertical="top" textRotation="90" wrapText="1"/>
    </xf>
    <xf numFmtId="0" fontId="41" fillId="7" borderId="28" xfId="0" applyFont="1" applyFill="1" applyBorder="1" applyAlignment="1">
      <alignment horizontal="center" vertical="top" textRotation="90" wrapText="1"/>
    </xf>
    <xf numFmtId="166" fontId="41" fillId="7" borderId="28" xfId="0" applyNumberFormat="1" applyFont="1" applyFill="1" applyBorder="1" applyAlignment="1">
      <alignment vertical="top" wrapText="1"/>
    </xf>
    <xf numFmtId="49" fontId="3" fillId="9" borderId="5" xfId="0" applyNumberFormat="1" applyFont="1" applyFill="1" applyBorder="1" applyAlignment="1">
      <alignment horizontal="center" vertical="top"/>
    </xf>
    <xf numFmtId="0" fontId="41" fillId="0" borderId="11" xfId="0" applyFont="1" applyBorder="1" applyAlignment="1">
      <alignment horizontal="center" vertical="top" wrapText="1"/>
    </xf>
    <xf numFmtId="166" fontId="43" fillId="7" borderId="25" xfId="0" applyNumberFormat="1" applyFont="1" applyFill="1" applyBorder="1" applyAlignment="1">
      <alignment horizontal="center" vertical="center" textRotation="90" wrapText="1"/>
    </xf>
    <xf numFmtId="0" fontId="41" fillId="7" borderId="11" xfId="0" applyFont="1" applyFill="1" applyBorder="1" applyAlignment="1">
      <alignment horizontal="center" vertical="center" textRotation="90" wrapText="1"/>
    </xf>
    <xf numFmtId="166" fontId="40" fillId="3" borderId="11" xfId="0" applyNumberFormat="1" applyFont="1" applyFill="1" applyBorder="1" applyAlignment="1">
      <alignment horizontal="center" vertical="top" wrapText="1"/>
    </xf>
    <xf numFmtId="0" fontId="41" fillId="7" borderId="80" xfId="0" applyFont="1" applyFill="1" applyBorder="1" applyAlignment="1">
      <alignment horizontal="left" vertical="top" wrapText="1"/>
    </xf>
    <xf numFmtId="166" fontId="40" fillId="7" borderId="20" xfId="0" applyNumberFormat="1" applyFont="1" applyFill="1" applyBorder="1" applyAlignment="1">
      <alignment horizontal="center" vertical="top" wrapText="1"/>
    </xf>
    <xf numFmtId="166" fontId="40" fillId="7" borderId="11" xfId="0" applyNumberFormat="1" applyFont="1" applyFill="1" applyBorder="1" applyAlignment="1">
      <alignment horizontal="center" vertical="top" wrapText="1"/>
    </xf>
    <xf numFmtId="166" fontId="40" fillId="7" borderId="28" xfId="0" applyNumberFormat="1" applyFont="1" applyFill="1" applyBorder="1" applyAlignment="1">
      <alignment horizontal="center" vertical="top" wrapText="1"/>
    </xf>
    <xf numFmtId="0" fontId="41" fillId="7" borderId="28" xfId="0" applyFont="1" applyFill="1" applyBorder="1" applyAlignment="1">
      <alignment horizontal="left" vertical="top" wrapText="1"/>
    </xf>
    <xf numFmtId="0" fontId="41" fillId="7" borderId="20" xfId="0" applyFont="1" applyFill="1" applyBorder="1" applyAlignment="1">
      <alignment horizontal="left" vertical="top" wrapText="1"/>
    </xf>
    <xf numFmtId="0" fontId="41" fillId="7" borderId="11" xfId="0" applyFont="1" applyFill="1" applyBorder="1" applyAlignment="1">
      <alignment horizontal="left" vertical="top" wrapText="1"/>
    </xf>
    <xf numFmtId="166" fontId="40" fillId="7" borderId="11" xfId="0" applyNumberFormat="1" applyFont="1" applyFill="1" applyBorder="1" applyAlignment="1">
      <alignment horizontal="center" vertical="center" textRotation="90" wrapText="1"/>
    </xf>
    <xf numFmtId="166" fontId="2" fillId="7" borderId="25" xfId="0" applyNumberFormat="1" applyFont="1" applyFill="1" applyBorder="1" applyAlignment="1">
      <alignment vertical="top" wrapText="1"/>
    </xf>
    <xf numFmtId="166" fontId="2" fillId="7" borderId="30" xfId="0" applyNumberFormat="1" applyFont="1" applyFill="1" applyBorder="1" applyAlignment="1">
      <alignment vertical="top" wrapText="1"/>
    </xf>
    <xf numFmtId="166" fontId="40" fillId="3" borderId="21" xfId="0" applyNumberFormat="1" applyFont="1" applyFill="1" applyBorder="1" applyAlignment="1">
      <alignment horizontal="center" vertical="top"/>
    </xf>
    <xf numFmtId="166" fontId="40" fillId="3" borderId="18" xfId="0" applyNumberFormat="1" applyFont="1" applyFill="1" applyBorder="1" applyAlignment="1">
      <alignment horizontal="center" vertical="top"/>
    </xf>
    <xf numFmtId="166" fontId="40" fillId="3" borderId="27" xfId="0" applyNumberFormat="1" applyFont="1" applyFill="1" applyBorder="1" applyAlignment="1">
      <alignment horizontal="center" vertical="top"/>
    </xf>
    <xf numFmtId="166" fontId="40" fillId="7" borderId="21" xfId="0" applyNumberFormat="1" applyFont="1" applyFill="1" applyBorder="1" applyAlignment="1">
      <alignment horizontal="center" vertical="top"/>
    </xf>
    <xf numFmtId="0" fontId="42" fillId="7" borderId="20" xfId="0" applyFont="1" applyFill="1" applyBorder="1" applyAlignment="1">
      <alignment vertical="top" wrapText="1"/>
    </xf>
    <xf numFmtId="0" fontId="42" fillId="7" borderId="11" xfId="0" applyFont="1" applyFill="1" applyBorder="1" applyAlignment="1">
      <alignment vertical="top" wrapText="1"/>
    </xf>
    <xf numFmtId="0" fontId="41" fillId="0" borderId="11" xfId="0" applyFont="1" applyBorder="1" applyAlignment="1">
      <alignment vertical="top" wrapText="1"/>
    </xf>
    <xf numFmtId="166" fontId="2" fillId="3" borderId="20" xfId="0" applyNumberFormat="1" applyFont="1" applyFill="1" applyBorder="1" applyAlignment="1">
      <alignment vertical="top" wrapText="1"/>
    </xf>
    <xf numFmtId="0" fontId="0" fillId="0" borderId="11" xfId="0" applyBorder="1" applyAlignment="1">
      <alignment vertical="top" wrapText="1"/>
    </xf>
    <xf numFmtId="166" fontId="13" fillId="7" borderId="20" xfId="0" applyNumberFormat="1" applyFont="1" applyFill="1" applyBorder="1" applyAlignment="1">
      <alignment horizontal="left" vertical="top" wrapText="1"/>
    </xf>
    <xf numFmtId="166" fontId="13" fillId="7" borderId="28" xfId="0" applyNumberFormat="1" applyFont="1" applyFill="1" applyBorder="1" applyAlignment="1">
      <alignment horizontal="left" vertical="top" wrapText="1"/>
    </xf>
    <xf numFmtId="166" fontId="3" fillId="3" borderId="20" xfId="0" applyNumberFormat="1" applyFont="1" applyFill="1" applyBorder="1" applyAlignment="1">
      <alignment horizontal="center" vertical="top" wrapText="1"/>
    </xf>
    <xf numFmtId="166" fontId="3" fillId="3" borderId="28" xfId="0" applyNumberFormat="1" applyFont="1" applyFill="1" applyBorder="1" applyAlignment="1">
      <alignment horizontal="center" vertical="top" wrapText="1"/>
    </xf>
    <xf numFmtId="0" fontId="0" fillId="0" borderId="11" xfId="0" applyBorder="1" applyAlignment="1">
      <alignment horizontal="center" vertical="top" wrapText="1"/>
    </xf>
    <xf numFmtId="0" fontId="43" fillId="7" borderId="20" xfId="0" applyFont="1" applyFill="1" applyBorder="1" applyAlignment="1">
      <alignment horizontal="center" vertical="center" textRotation="90" wrapText="1"/>
    </xf>
    <xf numFmtId="0" fontId="43" fillId="7" borderId="11" xfId="0" applyFont="1" applyFill="1" applyBorder="1" applyAlignment="1">
      <alignment horizontal="center" vertical="center" textRotation="90" wrapText="1"/>
    </xf>
    <xf numFmtId="166" fontId="3" fillId="0" borderId="20" xfId="0" applyNumberFormat="1" applyFont="1" applyFill="1" applyBorder="1" applyAlignment="1">
      <alignment horizontal="center" vertical="top" wrapText="1"/>
    </xf>
    <xf numFmtId="166" fontId="3" fillId="0" borderId="28" xfId="0" applyNumberFormat="1" applyFont="1" applyFill="1" applyBorder="1" applyAlignment="1">
      <alignment horizontal="center" vertical="top" wrapText="1"/>
    </xf>
    <xf numFmtId="0" fontId="8" fillId="7" borderId="79" xfId="0" applyFont="1" applyFill="1" applyBorder="1" applyAlignment="1">
      <alignment horizontal="left" vertical="top" wrapText="1"/>
    </xf>
    <xf numFmtId="3" fontId="13" fillId="7" borderId="25" xfId="0" applyNumberFormat="1" applyFont="1" applyFill="1" applyBorder="1" applyAlignment="1">
      <alignment horizontal="left" vertical="top" wrapText="1"/>
    </xf>
    <xf numFmtId="3" fontId="13" fillId="7" borderId="11" xfId="0" applyNumberFormat="1" applyFont="1" applyFill="1" applyBorder="1" applyAlignment="1">
      <alignment horizontal="left" vertical="top" wrapText="1"/>
    </xf>
    <xf numFmtId="3" fontId="13" fillId="7" borderId="30" xfId="0" applyNumberFormat="1" applyFont="1" applyFill="1" applyBorder="1" applyAlignment="1">
      <alignment horizontal="left" vertical="top" wrapText="1"/>
    </xf>
    <xf numFmtId="3" fontId="13" fillId="7" borderId="5" xfId="0" applyNumberFormat="1" applyFont="1" applyFill="1" applyBorder="1" applyAlignment="1">
      <alignment horizontal="left" vertical="top" wrapText="1"/>
    </xf>
    <xf numFmtId="3" fontId="13" fillId="7" borderId="7" xfId="0" applyNumberFormat="1" applyFont="1" applyFill="1" applyBorder="1" applyAlignment="1">
      <alignment horizontal="left" vertical="top" wrapText="1"/>
    </xf>
    <xf numFmtId="3" fontId="13" fillId="7" borderId="9" xfId="0" applyNumberFormat="1" applyFont="1" applyFill="1" applyBorder="1" applyAlignment="1">
      <alignment horizontal="left" vertical="top" wrapText="1"/>
    </xf>
    <xf numFmtId="0" fontId="8" fillId="7" borderId="29" xfId="0" applyFont="1" applyFill="1" applyBorder="1" applyAlignment="1">
      <alignment vertical="top" wrapText="1"/>
    </xf>
    <xf numFmtId="49" fontId="3" fillId="7" borderId="26" xfId="0" applyNumberFormat="1" applyFont="1" applyFill="1" applyBorder="1" applyAlignment="1">
      <alignment horizontal="center" vertical="top"/>
    </xf>
    <xf numFmtId="49" fontId="3" fillId="7" borderId="31" xfId="0" applyNumberFormat="1" applyFont="1" applyFill="1" applyBorder="1" applyAlignment="1">
      <alignment horizontal="center" vertical="top"/>
    </xf>
    <xf numFmtId="0" fontId="2" fillId="7" borderId="5" xfId="0" applyFont="1" applyFill="1" applyBorder="1" applyAlignment="1">
      <alignment vertical="top" wrapText="1"/>
    </xf>
    <xf numFmtId="0" fontId="0" fillId="7" borderId="7" xfId="0" applyFill="1" applyBorder="1" applyAlignment="1">
      <alignment vertical="top" wrapText="1"/>
    </xf>
    <xf numFmtId="166" fontId="2" fillId="2" borderId="55" xfId="0" applyNumberFormat="1" applyFont="1" applyFill="1" applyBorder="1" applyAlignment="1">
      <alignment horizontal="center" vertical="top" wrapText="1"/>
    </xf>
    <xf numFmtId="3" fontId="2" fillId="7" borderId="18" xfId="0" applyNumberFormat="1" applyFont="1" applyFill="1" applyBorder="1" applyAlignment="1">
      <alignment horizontal="left" vertical="top" wrapText="1"/>
    </xf>
    <xf numFmtId="0" fontId="8" fillId="0" borderId="18" xfId="0" applyFont="1" applyBorder="1" applyAlignment="1">
      <alignment horizontal="left" vertical="top" wrapText="1"/>
    </xf>
    <xf numFmtId="3" fontId="13" fillId="7" borderId="51" xfId="0" applyNumberFormat="1" applyFont="1" applyFill="1" applyBorder="1" applyAlignment="1">
      <alignment horizontal="center" vertical="top"/>
    </xf>
    <xf numFmtId="3" fontId="13" fillId="7" borderId="0" xfId="0" applyNumberFormat="1" applyFont="1" applyFill="1" applyBorder="1" applyAlignment="1">
      <alignment horizontal="center" vertical="top"/>
    </xf>
    <xf numFmtId="3" fontId="13" fillId="7" borderId="32" xfId="0" applyNumberFormat="1" applyFont="1" applyFill="1" applyBorder="1" applyAlignment="1">
      <alignment horizontal="center" vertical="top"/>
    </xf>
    <xf numFmtId="3" fontId="13" fillId="7" borderId="41" xfId="0" applyNumberFormat="1" applyFont="1" applyFill="1" applyBorder="1" applyAlignment="1">
      <alignment horizontal="center" vertical="top"/>
    </xf>
    <xf numFmtId="3" fontId="13" fillId="7" borderId="48" xfId="0" applyNumberFormat="1" applyFont="1" applyFill="1" applyBorder="1" applyAlignment="1">
      <alignment horizontal="center" vertical="top"/>
    </xf>
    <xf numFmtId="3" fontId="13" fillId="7" borderId="56" xfId="0" applyNumberFormat="1" applyFont="1" applyFill="1" applyBorder="1" applyAlignment="1">
      <alignment horizontal="center" vertical="top"/>
    </xf>
    <xf numFmtId="166" fontId="3" fillId="4" borderId="65" xfId="0" applyNumberFormat="1" applyFont="1" applyFill="1" applyBorder="1" applyAlignment="1">
      <alignment horizontal="right" vertical="top" wrapText="1"/>
    </xf>
    <xf numFmtId="166" fontId="3" fillId="4" borderId="58" xfId="0" applyNumberFormat="1" applyFont="1" applyFill="1" applyBorder="1" applyAlignment="1">
      <alignment horizontal="right" vertical="top" wrapText="1"/>
    </xf>
    <xf numFmtId="166" fontId="3" fillId="4" borderId="61" xfId="0" applyNumberFormat="1" applyFont="1" applyFill="1" applyBorder="1" applyAlignment="1">
      <alignment horizontal="right" vertical="top" wrapText="1"/>
    </xf>
    <xf numFmtId="166" fontId="2" fillId="0" borderId="5" xfId="0" applyNumberFormat="1" applyFont="1" applyBorder="1" applyAlignment="1">
      <alignment horizontal="center" vertical="center" textRotation="90" wrapText="1"/>
    </xf>
    <xf numFmtId="0" fontId="8" fillId="0" borderId="7" xfId="0" applyFont="1" applyBorder="1" applyAlignment="1">
      <alignment horizontal="center" vertical="center" textRotation="90" wrapText="1"/>
    </xf>
    <xf numFmtId="0" fontId="8" fillId="0" borderId="9" xfId="0" applyFont="1" applyBorder="1" applyAlignment="1">
      <alignment horizontal="center" vertical="center" textRotation="90" wrapText="1"/>
    </xf>
    <xf numFmtId="0" fontId="8" fillId="0" borderId="11" xfId="0" applyFont="1" applyBorder="1" applyAlignment="1">
      <alignment horizontal="center" wrapText="1"/>
    </xf>
    <xf numFmtId="0" fontId="8" fillId="0" borderId="28" xfId="0" applyFont="1" applyBorder="1" applyAlignment="1">
      <alignment horizontal="center" wrapText="1"/>
    </xf>
    <xf numFmtId="166" fontId="3" fillId="7" borderId="26" xfId="0" applyNumberFormat="1" applyFont="1" applyFill="1" applyBorder="1" applyAlignment="1">
      <alignment horizontal="center" vertical="top"/>
    </xf>
    <xf numFmtId="166" fontId="3" fillId="7" borderId="31" xfId="0" applyNumberFormat="1" applyFont="1" applyFill="1" applyBorder="1" applyAlignment="1">
      <alignment horizontal="center" vertical="top"/>
    </xf>
    <xf numFmtId="166" fontId="3" fillId="0" borderId="26" xfId="0" applyNumberFormat="1" applyFont="1" applyBorder="1" applyAlignment="1">
      <alignment horizontal="center" vertical="top"/>
    </xf>
    <xf numFmtId="166" fontId="3" fillId="0" borderId="18" xfId="0" applyNumberFormat="1" applyFont="1" applyBorder="1" applyAlignment="1">
      <alignment horizontal="center" vertical="top"/>
    </xf>
    <xf numFmtId="166" fontId="3" fillId="0" borderId="31" xfId="0" applyNumberFormat="1" applyFont="1" applyBorder="1" applyAlignment="1">
      <alignment horizontal="center" vertical="top"/>
    </xf>
    <xf numFmtId="0" fontId="4" fillId="7" borderId="28" xfId="0" applyFont="1" applyFill="1" applyBorder="1" applyAlignment="1">
      <alignment horizontal="center" vertical="center" textRotation="90" wrapText="1"/>
    </xf>
    <xf numFmtId="49" fontId="3" fillId="7" borderId="27" xfId="0" applyNumberFormat="1" applyFont="1" applyFill="1" applyBorder="1" applyAlignment="1">
      <alignment horizontal="center" vertical="top"/>
    </xf>
    <xf numFmtId="0" fontId="0" fillId="7" borderId="18" xfId="0" applyFill="1" applyBorder="1" applyAlignment="1">
      <alignment horizontal="left" vertical="top" wrapText="1"/>
    </xf>
    <xf numFmtId="0" fontId="8" fillId="7" borderId="79" xfId="0" applyFont="1" applyFill="1" applyBorder="1" applyAlignment="1">
      <alignment vertical="top" wrapText="1"/>
    </xf>
    <xf numFmtId="3" fontId="2" fillId="7" borderId="21" xfId="0" applyNumberFormat="1" applyFont="1" applyFill="1" applyBorder="1" applyAlignment="1">
      <alignment horizontal="left" vertical="top" wrapText="1"/>
    </xf>
    <xf numFmtId="0" fontId="0" fillId="7" borderId="27" xfId="0" applyFill="1" applyBorder="1" applyAlignment="1">
      <alignment horizontal="left" vertical="top" wrapText="1"/>
    </xf>
    <xf numFmtId="166" fontId="2" fillId="2" borderId="74" xfId="0" applyNumberFormat="1" applyFont="1" applyFill="1" applyBorder="1" applyAlignment="1">
      <alignment horizontal="center" vertical="top" wrapText="1"/>
    </xf>
    <xf numFmtId="49" fontId="2" fillId="7" borderId="18" xfId="0" applyNumberFormat="1" applyFont="1" applyFill="1" applyBorder="1" applyAlignment="1">
      <alignment horizontal="left" vertical="top" wrapText="1"/>
    </xf>
    <xf numFmtId="0" fontId="0" fillId="0" borderId="18" xfId="0" applyBorder="1" applyAlignment="1">
      <alignment horizontal="left" vertical="top" wrapText="1"/>
    </xf>
    <xf numFmtId="0" fontId="2" fillId="3" borderId="67" xfId="0" applyFont="1" applyFill="1" applyBorder="1" applyAlignment="1">
      <alignment horizontal="left" vertical="top" wrapText="1"/>
    </xf>
    <xf numFmtId="0" fontId="2" fillId="3" borderId="62" xfId="0" applyFont="1" applyFill="1" applyBorder="1" applyAlignment="1">
      <alignment horizontal="left" vertical="top" wrapText="1"/>
    </xf>
    <xf numFmtId="0" fontId="2" fillId="3" borderId="42" xfId="0" applyFont="1" applyFill="1" applyBorder="1" applyAlignment="1">
      <alignment horizontal="left" vertical="top" wrapText="1"/>
    </xf>
    <xf numFmtId="0" fontId="0" fillId="0" borderId="31" xfId="0" applyBorder="1" applyAlignment="1">
      <alignment horizontal="left" vertical="top" wrapText="1"/>
    </xf>
    <xf numFmtId="0" fontId="8" fillId="0" borderId="7" xfId="0" applyFont="1" applyBorder="1" applyAlignment="1">
      <alignment horizontal="left" vertical="top" wrapText="1"/>
    </xf>
    <xf numFmtId="166" fontId="2" fillId="7" borderId="25" xfId="0" applyNumberFormat="1" applyFont="1" applyFill="1" applyBorder="1" applyAlignment="1">
      <alignment horizontal="left" vertical="top" wrapText="1"/>
    </xf>
    <xf numFmtId="166" fontId="3" fillId="0" borderId="25" xfId="0" applyNumberFormat="1" applyFont="1" applyFill="1" applyBorder="1" applyAlignment="1">
      <alignment horizontal="center" vertical="top" wrapText="1"/>
    </xf>
    <xf numFmtId="166" fontId="43" fillId="3" borderId="25" xfId="0" applyNumberFormat="1" applyFont="1" applyFill="1" applyBorder="1" applyAlignment="1">
      <alignment horizontal="center" vertical="center" textRotation="90" wrapText="1"/>
    </xf>
    <xf numFmtId="0" fontId="41" fillId="0" borderId="11" xfId="0" applyFont="1" applyBorder="1" applyAlignment="1">
      <alignment horizontal="center" vertical="center" textRotation="90" wrapText="1"/>
    </xf>
    <xf numFmtId="0" fontId="41" fillId="0" borderId="28" xfId="0" applyFont="1" applyBorder="1" applyAlignment="1">
      <alignment horizontal="center" vertical="center" textRotation="90" wrapText="1"/>
    </xf>
    <xf numFmtId="166" fontId="40" fillId="3" borderId="28" xfId="0" applyNumberFormat="1" applyFont="1" applyFill="1" applyBorder="1" applyAlignment="1">
      <alignment horizontal="center" vertical="top" wrapText="1"/>
    </xf>
    <xf numFmtId="166" fontId="40" fillId="7" borderId="18" xfId="0" applyNumberFormat="1" applyFont="1" applyFill="1" applyBorder="1" applyAlignment="1">
      <alignment horizontal="center" vertical="top" wrapText="1"/>
    </xf>
    <xf numFmtId="0" fontId="41" fillId="7" borderId="36" xfId="0" applyFont="1" applyFill="1" applyBorder="1" applyAlignment="1">
      <alignment vertical="top" wrapText="1"/>
    </xf>
    <xf numFmtId="0" fontId="41" fillId="0" borderId="29" xfId="0" applyFont="1" applyBorder="1" applyAlignment="1">
      <alignment vertical="top" wrapText="1"/>
    </xf>
    <xf numFmtId="166" fontId="40" fillId="3" borderId="25" xfId="0" applyNumberFormat="1" applyFont="1" applyFill="1" applyBorder="1" applyAlignment="1">
      <alignment horizontal="center" vertical="center" textRotation="90" wrapText="1"/>
    </xf>
    <xf numFmtId="166" fontId="40" fillId="7" borderId="27" xfId="0" applyNumberFormat="1" applyFont="1" applyFill="1" applyBorder="1" applyAlignment="1">
      <alignment horizontal="center" vertical="top"/>
    </xf>
    <xf numFmtId="0" fontId="41" fillId="7" borderId="79" xfId="0" applyFont="1" applyFill="1" applyBorder="1" applyAlignment="1">
      <alignment horizontal="left" vertical="top" wrapText="1"/>
    </xf>
    <xf numFmtId="0" fontId="2" fillId="7" borderId="25" xfId="0" applyFont="1" applyFill="1" applyBorder="1" applyAlignment="1">
      <alignment horizontal="center" vertical="center" textRotation="90" wrapText="1" shrinkToFit="1"/>
    </xf>
    <xf numFmtId="0" fontId="2" fillId="7" borderId="11" xfId="0" applyFont="1" applyFill="1" applyBorder="1" applyAlignment="1">
      <alignment horizontal="center" vertical="center" textRotation="90" wrapText="1" shrinkToFit="1"/>
    </xf>
    <xf numFmtId="0" fontId="2" fillId="7" borderId="30" xfId="0" applyFont="1" applyFill="1" applyBorder="1" applyAlignment="1">
      <alignment horizontal="center" vertical="center" textRotation="90" wrapText="1" shrinkToFit="1"/>
    </xf>
    <xf numFmtId="0" fontId="0" fillId="0" borderId="79" xfId="0" applyBorder="1" applyAlignment="1">
      <alignment horizontal="left" vertical="top" wrapText="1"/>
    </xf>
    <xf numFmtId="166" fontId="3" fillId="7" borderId="18" xfId="0" applyNumberFormat="1" applyFont="1" applyFill="1" applyBorder="1" applyAlignment="1">
      <alignment horizontal="center" vertical="top" wrapText="1"/>
    </xf>
    <xf numFmtId="0" fontId="0" fillId="0" borderId="28" xfId="0" applyBorder="1" applyAlignment="1">
      <alignment horizontal="center" vertical="top" wrapText="1"/>
    </xf>
    <xf numFmtId="3" fontId="3" fillId="0" borderId="25"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30" xfId="0" applyNumberFormat="1" applyFont="1" applyBorder="1" applyAlignment="1">
      <alignment horizontal="center" vertical="center" textRotation="90" shrinkToFit="1"/>
    </xf>
    <xf numFmtId="3" fontId="2" fillId="0" borderId="25" xfId="0" applyNumberFormat="1" applyFont="1" applyBorder="1" applyAlignment="1">
      <alignment horizontal="center" vertical="center" shrinkToFit="1"/>
    </xf>
    <xf numFmtId="3" fontId="2" fillId="0" borderId="11" xfId="0" applyNumberFormat="1" applyFont="1" applyBorder="1" applyAlignment="1">
      <alignment horizontal="center" vertical="center" shrinkToFit="1"/>
    </xf>
    <xf numFmtId="3" fontId="2" fillId="0" borderId="30" xfId="0" applyNumberFormat="1" applyFont="1" applyBorder="1" applyAlignment="1">
      <alignment horizontal="center" vertical="center" shrinkToFit="1"/>
    </xf>
    <xf numFmtId="0" fontId="3" fillId="0" borderId="60" xfId="0" applyFont="1" applyBorder="1" applyAlignment="1">
      <alignment horizontal="center" vertical="center"/>
    </xf>
    <xf numFmtId="0" fontId="2" fillId="0" borderId="37" xfId="0" applyFont="1" applyBorder="1" applyAlignment="1">
      <alignment horizontal="center" vertical="center"/>
    </xf>
    <xf numFmtId="0" fontId="2" fillId="0" borderId="123" xfId="0" applyFont="1" applyBorder="1" applyAlignment="1">
      <alignment horizontal="center" vertical="center"/>
    </xf>
    <xf numFmtId="3" fontId="2" fillId="0" borderId="26" xfId="0" applyNumberFormat="1" applyFont="1" applyBorder="1" applyAlignment="1">
      <alignment horizontal="center" vertical="center" textRotation="90" wrapText="1"/>
    </xf>
    <xf numFmtId="3" fontId="2" fillId="0" borderId="18" xfId="0" applyNumberFormat="1" applyFont="1" applyBorder="1" applyAlignment="1">
      <alignment horizontal="center" vertical="center" textRotation="90" wrapText="1"/>
    </xf>
    <xf numFmtId="3" fontId="2" fillId="0" borderId="31" xfId="0" applyNumberFormat="1" applyFont="1" applyBorder="1" applyAlignment="1">
      <alignment horizontal="center" vertical="center" textRotation="90" wrapText="1"/>
    </xf>
    <xf numFmtId="0" fontId="3" fillId="0" borderId="26" xfId="0" applyFont="1" applyBorder="1" applyAlignment="1">
      <alignment horizontal="center" vertical="center" textRotation="90" shrinkToFit="1"/>
    </xf>
    <xf numFmtId="0" fontId="3" fillId="0" borderId="18" xfId="0" applyFont="1" applyBorder="1" applyAlignment="1">
      <alignment horizontal="center" vertical="center" textRotation="90" shrinkToFit="1"/>
    </xf>
    <xf numFmtId="0" fontId="3" fillId="0" borderId="31" xfId="0" applyFont="1" applyBorder="1" applyAlignment="1">
      <alignment horizontal="center" vertical="center" textRotation="90" shrinkToFit="1"/>
    </xf>
    <xf numFmtId="0" fontId="3" fillId="7" borderId="20" xfId="0" applyFont="1" applyFill="1" applyBorder="1" applyAlignment="1">
      <alignment vertical="top" wrapText="1"/>
    </xf>
    <xf numFmtId="0" fontId="4" fillId="7" borderId="20" xfId="0" applyFont="1" applyFill="1" applyBorder="1" applyAlignment="1">
      <alignment horizontal="center" vertical="center" textRotation="90" wrapText="1"/>
    </xf>
    <xf numFmtId="0" fontId="0" fillId="0" borderId="80" xfId="0" applyBorder="1" applyAlignment="1">
      <alignment horizontal="left" vertical="top" wrapText="1"/>
    </xf>
    <xf numFmtId="166" fontId="3" fillId="7" borderId="21" xfId="0" applyNumberFormat="1" applyFont="1" applyFill="1" applyBorder="1" applyAlignment="1">
      <alignment horizontal="center" vertical="top"/>
    </xf>
    <xf numFmtId="166" fontId="3" fillId="3" borderId="11" xfId="0" applyNumberFormat="1" applyFont="1" applyFill="1" applyBorder="1" applyAlignment="1">
      <alignment horizontal="center" vertical="top" wrapText="1"/>
    </xf>
    <xf numFmtId="166" fontId="2" fillId="7" borderId="102" xfId="0" applyNumberFormat="1" applyFont="1" applyFill="1" applyBorder="1" applyAlignment="1">
      <alignment horizontal="left" vertical="top" wrapText="1"/>
    </xf>
    <xf numFmtId="166" fontId="2" fillId="7" borderId="80" xfId="0" applyNumberFormat="1" applyFont="1" applyFill="1" applyBorder="1" applyAlignment="1">
      <alignment horizontal="left" vertical="top" wrapText="1"/>
    </xf>
    <xf numFmtId="49" fontId="2" fillId="7" borderId="28" xfId="0" applyNumberFormat="1" applyFont="1" applyFill="1" applyBorder="1" applyAlignment="1">
      <alignment vertical="top" wrapText="1"/>
    </xf>
    <xf numFmtId="3" fontId="2" fillId="7" borderId="26" xfId="0" applyNumberFormat="1" applyFont="1" applyFill="1" applyBorder="1" applyAlignment="1">
      <alignment horizontal="left" vertical="top" wrapText="1"/>
    </xf>
    <xf numFmtId="166" fontId="2" fillId="7" borderId="105" xfId="0" applyNumberFormat="1" applyFont="1" applyFill="1" applyBorder="1" applyAlignment="1">
      <alignment horizontal="left" vertical="top" wrapText="1"/>
    </xf>
    <xf numFmtId="0" fontId="8" fillId="7" borderId="81" xfId="0" applyFont="1" applyFill="1" applyBorder="1" applyAlignment="1">
      <alignment horizontal="left" vertical="top" wrapText="1"/>
    </xf>
    <xf numFmtId="166" fontId="42" fillId="7" borderId="25" xfId="0" applyNumberFormat="1" applyFont="1" applyFill="1" applyBorder="1" applyAlignment="1">
      <alignment horizontal="left" vertical="top" wrapText="1"/>
    </xf>
    <xf numFmtId="166" fontId="2" fillId="7" borderId="18" xfId="0" applyNumberFormat="1" applyFont="1" applyFill="1" applyBorder="1" applyAlignment="1">
      <alignment horizontal="left" vertical="top" wrapText="1"/>
    </xf>
    <xf numFmtId="166" fontId="2" fillId="7" borderId="101" xfId="0" applyNumberFormat="1" applyFont="1" applyFill="1" applyBorder="1" applyAlignment="1">
      <alignment vertical="top" wrapText="1"/>
    </xf>
    <xf numFmtId="166" fontId="41" fillId="7" borderId="36" xfId="0" applyNumberFormat="1" applyFont="1" applyFill="1" applyBorder="1" applyAlignment="1">
      <alignment vertical="top" wrapText="1"/>
    </xf>
    <xf numFmtId="0" fontId="41" fillId="0" borderId="79" xfId="0" applyFont="1" applyBorder="1" applyAlignment="1">
      <alignment vertical="top" wrapText="1"/>
    </xf>
    <xf numFmtId="0" fontId="41" fillId="7" borderId="36" xfId="0" applyFont="1" applyFill="1" applyBorder="1" applyAlignment="1">
      <alignment horizontal="left" vertical="top" wrapText="1"/>
    </xf>
    <xf numFmtId="0" fontId="41" fillId="0" borderId="29" xfId="0" applyFont="1" applyBorder="1" applyAlignment="1">
      <alignment horizontal="left" vertical="top" wrapText="1"/>
    </xf>
    <xf numFmtId="3" fontId="41" fillId="7" borderId="20" xfId="0" applyNumberFormat="1" applyFont="1" applyFill="1" applyBorder="1" applyAlignment="1">
      <alignment horizontal="center" vertical="top" wrapText="1"/>
    </xf>
    <xf numFmtId="3" fontId="41" fillId="7" borderId="11" xfId="0" applyNumberFormat="1" applyFont="1" applyFill="1" applyBorder="1" applyAlignment="1">
      <alignment horizontal="center" vertical="top" wrapText="1"/>
    </xf>
    <xf numFmtId="3" fontId="2" fillId="7" borderId="31" xfId="0" applyNumberFormat="1" applyFont="1" applyFill="1" applyBorder="1" applyAlignment="1">
      <alignment horizontal="left" vertical="top" wrapText="1"/>
    </xf>
    <xf numFmtId="166" fontId="50" fillId="7" borderId="36" xfId="0" applyNumberFormat="1" applyFont="1" applyFill="1" applyBorder="1" applyAlignment="1">
      <alignment horizontal="left" vertical="top" wrapText="1"/>
    </xf>
    <xf numFmtId="166" fontId="50" fillId="7" borderId="7" xfId="0" applyNumberFormat="1" applyFont="1" applyFill="1" applyBorder="1" applyAlignment="1">
      <alignment horizontal="left" vertical="top" wrapText="1"/>
    </xf>
    <xf numFmtId="3" fontId="44" fillId="7" borderId="26" xfId="0" applyNumberFormat="1" applyFont="1" applyFill="1" applyBorder="1" applyAlignment="1">
      <alignment horizontal="left" vertical="top" wrapText="1"/>
    </xf>
    <xf numFmtId="0" fontId="44" fillId="7" borderId="18" xfId="0" applyFont="1" applyFill="1" applyBorder="1" applyAlignment="1">
      <alignment horizontal="left" vertical="top" wrapText="1"/>
    </xf>
    <xf numFmtId="0" fontId="44" fillId="7" borderId="27" xfId="0" applyFont="1" applyFill="1" applyBorder="1" applyAlignment="1">
      <alignment horizontal="left" vertical="top" wrapText="1"/>
    </xf>
    <xf numFmtId="166" fontId="41" fillId="7" borderId="101" xfId="0" applyNumberFormat="1" applyFont="1" applyFill="1" applyBorder="1" applyAlignment="1">
      <alignment horizontal="left" vertical="top" wrapText="1"/>
    </xf>
    <xf numFmtId="166" fontId="41" fillId="7" borderId="7" xfId="0" applyNumberFormat="1" applyFont="1" applyFill="1" applyBorder="1" applyAlignment="1">
      <alignment horizontal="left" vertical="top" wrapText="1"/>
    </xf>
    <xf numFmtId="0" fontId="41" fillId="7" borderId="18" xfId="0" applyFont="1" applyFill="1" applyBorder="1" applyAlignment="1">
      <alignment horizontal="left" vertical="top" wrapText="1"/>
    </xf>
    <xf numFmtId="3" fontId="2" fillId="7" borderId="105" xfId="0" applyNumberFormat="1" applyFont="1" applyFill="1" applyBorder="1" applyAlignment="1">
      <alignment horizontal="left" vertical="top" wrapText="1"/>
    </xf>
    <xf numFmtId="3" fontId="13" fillId="7" borderId="21" xfId="0" applyNumberFormat="1" applyFont="1" applyFill="1" applyBorder="1" applyAlignment="1">
      <alignment horizontal="left" vertical="top" wrapText="1"/>
    </xf>
    <xf numFmtId="3" fontId="13" fillId="7" borderId="27" xfId="0" applyNumberFormat="1" applyFont="1" applyFill="1" applyBorder="1" applyAlignment="1">
      <alignment horizontal="left" vertical="top" wrapText="1"/>
    </xf>
    <xf numFmtId="0" fontId="41" fillId="0" borderId="79" xfId="0" applyFont="1" applyBorder="1" applyAlignment="1">
      <alignment horizontal="left" vertical="top" wrapText="1"/>
    </xf>
    <xf numFmtId="0" fontId="41" fillId="0" borderId="18" xfId="0" applyFont="1" applyBorder="1" applyAlignment="1">
      <alignment horizontal="left" vertical="top" wrapText="1"/>
    </xf>
    <xf numFmtId="0" fontId="0" fillId="0" borderId="27" xfId="0" applyBorder="1" applyAlignment="1">
      <alignment horizontal="left" vertical="top" wrapText="1"/>
    </xf>
    <xf numFmtId="166" fontId="2" fillId="7" borderId="21" xfId="0" applyNumberFormat="1" applyFont="1" applyFill="1" applyBorder="1" applyAlignment="1">
      <alignment horizontal="center" vertical="top" wrapText="1"/>
    </xf>
    <xf numFmtId="166" fontId="2" fillId="7" borderId="18" xfId="0" applyNumberFormat="1" applyFont="1" applyFill="1" applyBorder="1" applyAlignment="1">
      <alignment horizontal="center" vertical="top" wrapText="1"/>
    </xf>
    <xf numFmtId="166" fontId="2" fillId="7" borderId="27" xfId="0" applyNumberFormat="1" applyFont="1" applyFill="1" applyBorder="1" applyAlignment="1">
      <alignment horizontal="center" vertical="top" wrapText="1"/>
    </xf>
    <xf numFmtId="0" fontId="0" fillId="0" borderId="11" xfId="0" applyBorder="1" applyAlignment="1">
      <alignment textRotation="90" wrapText="1"/>
    </xf>
    <xf numFmtId="49" fontId="2" fillId="8" borderId="20" xfId="0" applyNumberFormat="1" applyFont="1" applyFill="1" applyBorder="1" applyAlignment="1">
      <alignment horizontal="center" vertical="center" textRotation="90" wrapText="1"/>
    </xf>
    <xf numFmtId="0" fontId="8" fillId="8" borderId="11" xfId="0" applyFont="1" applyFill="1" applyBorder="1" applyAlignment="1">
      <alignment horizontal="center" vertical="center" textRotation="90" wrapText="1"/>
    </xf>
    <xf numFmtId="0" fontId="8" fillId="8" borderId="28" xfId="0" applyFont="1" applyFill="1" applyBorder="1" applyAlignment="1">
      <alignment horizontal="center" vertical="center" textRotation="90" wrapText="1"/>
    </xf>
    <xf numFmtId="49" fontId="2" fillId="7" borderId="20" xfId="0" applyNumberFormat="1" applyFont="1" applyFill="1" applyBorder="1" applyAlignment="1">
      <alignment horizontal="center" vertical="top"/>
    </xf>
    <xf numFmtId="49" fontId="2" fillId="7" borderId="11" xfId="0" applyNumberFormat="1" applyFont="1" applyFill="1" applyBorder="1" applyAlignment="1">
      <alignment horizontal="center" vertical="top"/>
    </xf>
    <xf numFmtId="49" fontId="2" fillId="7" borderId="28" xfId="0" applyNumberFormat="1" applyFont="1" applyFill="1" applyBorder="1" applyAlignment="1">
      <alignment horizontal="center" vertical="top"/>
    </xf>
    <xf numFmtId="166" fontId="2" fillId="8" borderId="20" xfId="0" applyNumberFormat="1" applyFont="1" applyFill="1" applyBorder="1" applyAlignment="1">
      <alignment horizontal="center" vertical="center" textRotation="90" wrapText="1"/>
    </xf>
    <xf numFmtId="166" fontId="2" fillId="8" borderId="11" xfId="0" applyNumberFormat="1" applyFont="1" applyFill="1" applyBorder="1" applyAlignment="1">
      <alignment horizontal="center" vertical="center" textRotation="90" wrapText="1"/>
    </xf>
    <xf numFmtId="0" fontId="8" fillId="0" borderId="11" xfId="0" applyFont="1" applyBorder="1" applyAlignment="1">
      <alignment vertical="center" textRotation="90" wrapText="1"/>
    </xf>
    <xf numFmtId="0" fontId="8" fillId="0" borderId="28" xfId="0" applyFont="1" applyBorder="1" applyAlignment="1">
      <alignment vertical="center" textRotation="90" wrapText="1"/>
    </xf>
    <xf numFmtId="166" fontId="3" fillId="8" borderId="11" xfId="0" applyNumberFormat="1" applyFont="1" applyFill="1" applyBorder="1" applyAlignment="1">
      <alignment horizontal="center" vertical="top"/>
    </xf>
    <xf numFmtId="49" fontId="3" fillId="0" borderId="48" xfId="0" applyNumberFormat="1" applyFont="1" applyBorder="1" applyAlignment="1">
      <alignment horizontal="center" vertical="top"/>
    </xf>
    <xf numFmtId="0" fontId="0" fillId="0" borderId="18" xfId="0" applyBorder="1" applyAlignment="1">
      <alignment horizontal="center" wrapText="1"/>
    </xf>
    <xf numFmtId="166" fontId="3" fillId="3" borderId="48" xfId="0" applyNumberFormat="1" applyFont="1" applyFill="1" applyBorder="1" applyAlignment="1">
      <alignment horizontal="center" vertical="top"/>
    </xf>
    <xf numFmtId="0" fontId="0" fillId="7" borderId="7" xfId="0" applyFill="1" applyBorder="1" applyAlignment="1">
      <alignment horizontal="left" vertical="top" wrapText="1"/>
    </xf>
    <xf numFmtId="166" fontId="2" fillId="7" borderId="18" xfId="0" applyNumberFormat="1" applyFont="1" applyFill="1" applyBorder="1" applyAlignment="1">
      <alignment horizontal="center" vertical="center" wrapText="1"/>
    </xf>
    <xf numFmtId="166" fontId="8" fillId="7" borderId="18" xfId="0" applyNumberFormat="1" applyFont="1" applyFill="1" applyBorder="1" applyAlignment="1">
      <alignment horizontal="center" vertical="top" wrapText="1"/>
    </xf>
    <xf numFmtId="0" fontId="0" fillId="0" borderId="11" xfId="0" applyBorder="1" applyAlignment="1">
      <alignment horizontal="left" vertical="top" wrapText="1"/>
    </xf>
    <xf numFmtId="166" fontId="2" fillId="7" borderId="21" xfId="0" applyNumberFormat="1" applyFont="1" applyFill="1" applyBorder="1" applyAlignment="1">
      <alignment horizontal="center" vertical="center" wrapText="1"/>
    </xf>
    <xf numFmtId="0" fontId="8" fillId="7" borderId="18" xfId="0" applyFont="1" applyFill="1" applyBorder="1" applyAlignment="1">
      <alignment horizontal="center" vertical="center" wrapText="1"/>
    </xf>
    <xf numFmtId="0" fontId="2" fillId="0" borderId="18" xfId="0" applyFont="1" applyBorder="1" applyAlignment="1">
      <alignment horizontal="center" vertical="top" wrapText="1"/>
    </xf>
    <xf numFmtId="0" fontId="0" fillId="0" borderId="18" xfId="0" applyBorder="1" applyAlignment="1">
      <alignment horizontal="center" vertical="top" wrapText="1"/>
    </xf>
    <xf numFmtId="49" fontId="2" fillId="7" borderId="20" xfId="0" applyNumberFormat="1" applyFont="1" applyFill="1" applyBorder="1" applyAlignment="1">
      <alignment horizontal="center" vertical="top" wrapText="1"/>
    </xf>
    <xf numFmtId="49" fontId="2" fillId="7" borderId="11" xfId="0" applyNumberFormat="1" applyFont="1" applyFill="1" applyBorder="1" applyAlignment="1">
      <alignment horizontal="center" vertical="top" wrapText="1"/>
    </xf>
    <xf numFmtId="49" fontId="2" fillId="7" borderId="28" xfId="0" applyNumberFormat="1" applyFont="1" applyFill="1" applyBorder="1" applyAlignment="1">
      <alignment horizontal="center" vertical="top" wrapText="1"/>
    </xf>
    <xf numFmtId="166" fontId="22" fillId="7" borderId="7" xfId="0" applyNumberFormat="1" applyFont="1" applyFill="1" applyBorder="1" applyAlignment="1">
      <alignment horizontal="left" vertical="top" wrapText="1"/>
    </xf>
    <xf numFmtId="166" fontId="25" fillId="7" borderId="7" xfId="0" applyNumberFormat="1" applyFont="1" applyFill="1" applyBorder="1" applyAlignment="1">
      <alignment horizontal="left" vertical="top" wrapText="1"/>
    </xf>
    <xf numFmtId="166" fontId="13" fillId="7" borderId="7" xfId="0" applyNumberFormat="1" applyFont="1" applyFill="1" applyBorder="1" applyAlignment="1">
      <alignment horizontal="left" vertical="top" wrapText="1"/>
    </xf>
    <xf numFmtId="0" fontId="35" fillId="0" borderId="79" xfId="0" applyFont="1" applyBorder="1" applyAlignment="1">
      <alignment horizontal="left" vertical="top" wrapText="1"/>
    </xf>
    <xf numFmtId="166" fontId="8" fillId="7" borderId="18" xfId="0" applyNumberFormat="1" applyFont="1" applyFill="1" applyBorder="1" applyAlignment="1">
      <alignment horizontal="center" vertical="center" wrapText="1"/>
    </xf>
    <xf numFmtId="166" fontId="2" fillId="7" borderId="49" xfId="0" applyNumberFormat="1" applyFont="1" applyFill="1" applyBorder="1" applyAlignment="1">
      <alignment vertical="top" wrapText="1"/>
    </xf>
    <xf numFmtId="49" fontId="2" fillId="7" borderId="11" xfId="0" applyNumberFormat="1" applyFont="1" applyFill="1" applyBorder="1" applyAlignment="1">
      <alignment horizontal="center" vertical="center" textRotation="90"/>
    </xf>
    <xf numFmtId="49" fontId="2" fillId="7" borderId="20" xfId="0" applyNumberFormat="1" applyFont="1" applyFill="1" applyBorder="1" applyAlignment="1">
      <alignment horizontal="center" vertical="center" textRotation="90"/>
    </xf>
    <xf numFmtId="49" fontId="2" fillId="7" borderId="28" xfId="0" applyNumberFormat="1" applyFont="1" applyFill="1" applyBorder="1" applyAlignment="1">
      <alignment horizontal="center" vertical="center" textRotation="90"/>
    </xf>
    <xf numFmtId="49" fontId="3" fillId="7" borderId="46" xfId="0" applyNumberFormat="1" applyFont="1" applyFill="1" applyBorder="1" applyAlignment="1">
      <alignment horizontal="center" vertical="top"/>
    </xf>
    <xf numFmtId="49" fontId="3" fillId="8" borderId="11" xfId="0" applyNumberFormat="1" applyFont="1" applyFill="1" applyBorder="1" applyAlignment="1">
      <alignment horizontal="center" vertical="top"/>
    </xf>
    <xf numFmtId="166" fontId="2" fillId="0" borderId="26" xfId="0" applyNumberFormat="1" applyFont="1" applyBorder="1" applyAlignment="1">
      <alignment horizontal="center" vertical="top" wrapText="1"/>
    </xf>
    <xf numFmtId="166" fontId="2" fillId="0" borderId="18" xfId="0" applyNumberFormat="1" applyFont="1" applyBorder="1" applyAlignment="1">
      <alignment horizontal="center" vertical="top" wrapText="1"/>
    </xf>
    <xf numFmtId="0" fontId="0" fillId="0" borderId="31" xfId="0" applyFont="1" applyBorder="1" applyAlignment="1">
      <alignment horizontal="center" vertical="top"/>
    </xf>
    <xf numFmtId="166" fontId="2" fillId="3" borderId="11" xfId="0" applyNumberFormat="1" applyFont="1" applyFill="1" applyBorder="1" applyAlignment="1">
      <alignment vertical="top" wrapText="1"/>
    </xf>
    <xf numFmtId="0" fontId="0" fillId="7" borderId="79" xfId="0" applyFill="1" applyBorder="1" applyAlignment="1">
      <alignment vertical="top" wrapText="1"/>
    </xf>
    <xf numFmtId="166" fontId="2" fillId="7" borderId="45" xfId="0" applyNumberFormat="1" applyFont="1" applyFill="1" applyBorder="1" applyAlignment="1">
      <alignment horizontal="left" vertical="top" wrapText="1"/>
    </xf>
    <xf numFmtId="166" fontId="2" fillId="7" borderId="19" xfId="0" applyNumberFormat="1" applyFont="1" applyFill="1" applyBorder="1" applyAlignment="1">
      <alignment horizontal="left" vertical="top" wrapText="1"/>
    </xf>
    <xf numFmtId="166" fontId="18" fillId="7" borderId="18" xfId="0" applyNumberFormat="1" applyFont="1" applyFill="1" applyBorder="1" applyAlignment="1">
      <alignment horizontal="center" vertical="center" wrapText="1"/>
    </xf>
    <xf numFmtId="49" fontId="2" fillId="7" borderId="25" xfId="0" applyNumberFormat="1" applyFont="1" applyFill="1" applyBorder="1" applyAlignment="1">
      <alignment horizontal="center" vertical="top"/>
    </xf>
    <xf numFmtId="49" fontId="2" fillId="7" borderId="30" xfId="0" applyNumberFormat="1" applyFont="1" applyFill="1" applyBorder="1" applyAlignment="1">
      <alignment horizontal="center" vertical="top"/>
    </xf>
    <xf numFmtId="166" fontId="8" fillId="7" borderId="27" xfId="0" applyNumberFormat="1" applyFont="1" applyFill="1" applyBorder="1" applyAlignment="1">
      <alignment vertical="top" wrapText="1"/>
    </xf>
    <xf numFmtId="166" fontId="2" fillId="7" borderId="26" xfId="0" applyNumberFormat="1" applyFont="1" applyFill="1" applyBorder="1" applyAlignment="1">
      <alignment horizontal="center" vertical="top" wrapText="1"/>
    </xf>
    <xf numFmtId="166" fontId="2" fillId="7" borderId="31" xfId="0" applyNumberFormat="1" applyFont="1" applyFill="1" applyBorder="1" applyAlignment="1">
      <alignment horizontal="center" vertical="top" wrapText="1"/>
    </xf>
    <xf numFmtId="49" fontId="2" fillId="7" borderId="46" xfId="0" applyNumberFormat="1" applyFont="1" applyFill="1" applyBorder="1" applyAlignment="1">
      <alignment horizontal="center" vertical="top"/>
    </xf>
    <xf numFmtId="49" fontId="2" fillId="7" borderId="35" xfId="0" applyNumberFormat="1" applyFont="1" applyFill="1" applyBorder="1" applyAlignment="1">
      <alignment horizontal="center" vertical="top"/>
    </xf>
    <xf numFmtId="0" fontId="0" fillId="7" borderId="28" xfId="0" applyFill="1" applyBorder="1" applyAlignment="1">
      <alignment vertical="top" wrapText="1"/>
    </xf>
    <xf numFmtId="0" fontId="8" fillId="7" borderId="48" xfId="0" applyFont="1" applyFill="1" applyBorder="1" applyAlignment="1">
      <alignment vertical="top" wrapText="1"/>
    </xf>
    <xf numFmtId="0" fontId="0" fillId="0" borderId="81" xfId="0" applyBorder="1" applyAlignment="1">
      <alignment horizontal="center" vertical="top" wrapText="1"/>
    </xf>
    <xf numFmtId="166" fontId="2" fillId="7" borderId="35" xfId="0" applyNumberFormat="1" applyFont="1" applyFill="1" applyBorder="1" applyAlignment="1">
      <alignment vertical="top" wrapText="1"/>
    </xf>
    <xf numFmtId="166" fontId="8" fillId="7" borderId="29" xfId="0" applyNumberFormat="1" applyFont="1" applyFill="1" applyBorder="1" applyAlignment="1">
      <alignment vertical="top" wrapText="1"/>
    </xf>
    <xf numFmtId="0" fontId="2" fillId="0" borderId="0" xfId="0" applyFont="1" applyAlignment="1">
      <alignment horizontal="right" wrapText="1"/>
    </xf>
    <xf numFmtId="0" fontId="8" fillId="0" borderId="0" xfId="0" applyFont="1" applyAlignment="1">
      <alignment horizontal="right"/>
    </xf>
    <xf numFmtId="49" fontId="2" fillId="0" borderId="25" xfId="0" applyNumberFormat="1" applyFont="1" applyBorder="1" applyAlignment="1">
      <alignment horizontal="center" vertical="center" textRotation="90" shrinkToFit="1"/>
    </xf>
    <xf numFmtId="49" fontId="2" fillId="0" borderId="11" xfId="0" applyNumberFormat="1" applyFont="1" applyBorder="1" applyAlignment="1">
      <alignment horizontal="center" vertical="center" textRotation="90" shrinkToFit="1"/>
    </xf>
    <xf numFmtId="49" fontId="2" fillId="0" borderId="30" xfId="0" applyNumberFormat="1" applyFont="1" applyBorder="1" applyAlignment="1">
      <alignment horizontal="center" vertical="center" textRotation="90" shrinkToFit="1"/>
    </xf>
    <xf numFmtId="3" fontId="2" fillId="0" borderId="26" xfId="0" applyNumberFormat="1" applyFont="1" applyFill="1" applyBorder="1" applyAlignment="1">
      <alignment horizontal="center" vertical="center" textRotation="90" wrapText="1" shrinkToFit="1"/>
    </xf>
    <xf numFmtId="3" fontId="2" fillId="0" borderId="18" xfId="0" applyNumberFormat="1" applyFont="1" applyFill="1" applyBorder="1" applyAlignment="1">
      <alignment horizontal="center" vertical="center" textRotation="90" wrapText="1" shrinkToFit="1"/>
    </xf>
    <xf numFmtId="3" fontId="2" fillId="0" borderId="31" xfId="0" applyNumberFormat="1" applyFont="1" applyFill="1" applyBorder="1" applyAlignment="1">
      <alignment horizontal="center" vertical="center" textRotation="90" wrapText="1" shrinkToFit="1"/>
    </xf>
    <xf numFmtId="49" fontId="2" fillId="0" borderId="20" xfId="0" applyNumberFormat="1" applyFont="1" applyBorder="1" applyAlignment="1">
      <alignment horizontal="center" vertical="top"/>
    </xf>
    <xf numFmtId="49" fontId="2" fillId="0" borderId="11" xfId="0" applyNumberFormat="1" applyFont="1" applyBorder="1" applyAlignment="1">
      <alignment horizontal="center" vertical="top"/>
    </xf>
    <xf numFmtId="49" fontId="2" fillId="0" borderId="28" xfId="0" applyNumberFormat="1" applyFont="1" applyBorder="1" applyAlignment="1">
      <alignment horizontal="center" vertical="top"/>
    </xf>
    <xf numFmtId="166" fontId="2" fillId="7" borderId="28" xfId="0" applyNumberFormat="1" applyFont="1" applyFill="1" applyBorder="1" applyAlignment="1">
      <alignment horizontal="center" vertical="center" textRotation="90" wrapText="1"/>
    </xf>
    <xf numFmtId="166" fontId="8" fillId="7" borderId="35" xfId="0" applyNumberFormat="1" applyFont="1" applyFill="1" applyBorder="1" applyAlignment="1">
      <alignment vertical="top" wrapText="1"/>
    </xf>
    <xf numFmtId="0" fontId="35" fillId="7" borderId="11" xfId="0" applyFont="1" applyFill="1" applyBorder="1" applyAlignment="1">
      <alignment vertical="top" wrapText="1"/>
    </xf>
    <xf numFmtId="0" fontId="35" fillId="7" borderId="28" xfId="0" applyFont="1" applyFill="1" applyBorder="1" applyAlignment="1">
      <alignment vertical="top" wrapText="1"/>
    </xf>
    <xf numFmtId="166" fontId="13" fillId="7" borderId="20" xfId="0" applyNumberFormat="1" applyFont="1" applyFill="1" applyBorder="1" applyAlignment="1">
      <alignment horizontal="center" vertical="center" textRotation="90" wrapText="1"/>
    </xf>
    <xf numFmtId="0" fontId="35" fillId="7" borderId="11" xfId="0" applyFont="1" applyFill="1" applyBorder="1" applyAlignment="1">
      <alignment horizontal="center" vertical="center" wrapText="1"/>
    </xf>
    <xf numFmtId="0" fontId="35" fillId="7" borderId="28" xfId="0" applyFont="1" applyFill="1" applyBorder="1" applyAlignment="1">
      <alignment horizontal="center" vertical="center" wrapText="1"/>
    </xf>
    <xf numFmtId="166" fontId="3" fillId="2" borderId="4" xfId="0" applyNumberFormat="1" applyFont="1" applyFill="1" applyBorder="1" applyAlignment="1">
      <alignment horizontal="left" vertical="top"/>
    </xf>
    <xf numFmtId="166" fontId="3" fillId="2" borderId="25" xfId="0" applyNumberFormat="1" applyFont="1" applyFill="1" applyBorder="1" applyAlignment="1">
      <alignment horizontal="left" vertical="top"/>
    </xf>
    <xf numFmtId="166" fontId="3" fillId="2" borderId="76" xfId="0" applyNumberFormat="1" applyFont="1" applyFill="1" applyBorder="1" applyAlignment="1">
      <alignment horizontal="left" vertical="top"/>
    </xf>
    <xf numFmtId="3" fontId="2" fillId="7" borderId="46" xfId="0" applyNumberFormat="1" applyFont="1" applyFill="1" applyBorder="1" applyAlignment="1">
      <alignment horizontal="center" vertical="top"/>
    </xf>
    <xf numFmtId="3" fontId="2" fillId="7" borderId="48" xfId="0" applyNumberFormat="1" applyFont="1" applyFill="1" applyBorder="1" applyAlignment="1">
      <alignment horizontal="center" vertical="top"/>
    </xf>
    <xf numFmtId="0" fontId="8" fillId="0" borderId="29" xfId="0" applyFont="1" applyBorder="1" applyAlignment="1">
      <alignment vertical="top" wrapText="1"/>
    </xf>
    <xf numFmtId="0" fontId="2" fillId="7" borderId="40" xfId="0" applyFont="1" applyFill="1" applyBorder="1" applyAlignment="1">
      <alignment vertical="top" wrapText="1"/>
    </xf>
    <xf numFmtId="3" fontId="2" fillId="7" borderId="20" xfId="0" applyNumberFormat="1" applyFont="1" applyFill="1" applyBorder="1" applyAlignment="1">
      <alignment horizontal="center" vertical="top"/>
    </xf>
    <xf numFmtId="3" fontId="2" fillId="7" borderId="11" xfId="0" applyNumberFormat="1" applyFont="1" applyFill="1" applyBorder="1" applyAlignment="1">
      <alignment horizontal="center" vertical="top"/>
    </xf>
    <xf numFmtId="3" fontId="2" fillId="7" borderId="21" xfId="0" applyNumberFormat="1" applyFont="1" applyFill="1" applyBorder="1" applyAlignment="1">
      <alignment horizontal="center" vertical="top"/>
    </xf>
    <xf numFmtId="3" fontId="2" fillId="7" borderId="18" xfId="0" applyNumberFormat="1" applyFont="1" applyFill="1" applyBorder="1" applyAlignment="1">
      <alignment horizontal="center" vertical="top"/>
    </xf>
    <xf numFmtId="0" fontId="0" fillId="0" borderId="28" xfId="0" applyBorder="1" applyAlignment="1">
      <alignment wrapText="1"/>
    </xf>
    <xf numFmtId="49" fontId="3" fillId="2" borderId="41" xfId="0" applyNumberFormat="1" applyFont="1" applyFill="1" applyBorder="1" applyAlignment="1">
      <alignment horizontal="center" vertical="top"/>
    </xf>
    <xf numFmtId="49" fontId="2" fillId="0" borderId="25" xfId="0" applyNumberFormat="1" applyFont="1" applyBorder="1" applyAlignment="1">
      <alignment horizontal="center" vertical="top"/>
    </xf>
    <xf numFmtId="49" fontId="2" fillId="0" borderId="30" xfId="0" applyNumberFormat="1" applyFont="1" applyBorder="1" applyAlignment="1">
      <alignment horizontal="center" vertical="top"/>
    </xf>
  </cellXfs>
  <cellStyles count="4">
    <cellStyle name="Excel Built-in Normal" xfId="3"/>
    <cellStyle name="Įprastas" xfId="0" builtinId="0"/>
    <cellStyle name="Įprastas 2" xfId="2"/>
    <cellStyle name="Kablelis" xfId="1" builtinId="3"/>
  </cellStyles>
  <dxfs count="0"/>
  <tableStyles count="0" defaultTableStyle="TableStyleMedium2" defaultPivotStyle="PivotStyleLight16"/>
  <colors>
    <mruColors>
      <color rgb="FF99FF99"/>
      <color rgb="FFFFFFCC"/>
      <color rgb="FFE9C9C7"/>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Q278"/>
  <sheetViews>
    <sheetView tabSelected="1" zoomScaleNormal="100" zoomScaleSheetLayoutView="100" workbookViewId="0">
      <selection activeCell="S10" sqref="S10"/>
    </sheetView>
  </sheetViews>
  <sheetFormatPr defaultRowHeight="12.75" x14ac:dyDescent="0.2"/>
  <cols>
    <col min="1" max="3" width="2.7109375" style="2" customWidth="1"/>
    <col min="4" max="4" width="36.28515625" style="2" customWidth="1"/>
    <col min="5" max="5" width="3.28515625" style="7" customWidth="1"/>
    <col min="6" max="6" width="3" style="10" customWidth="1"/>
    <col min="7" max="7" width="7.85546875" style="3" customWidth="1"/>
    <col min="8" max="8" width="8.85546875" style="2" customWidth="1"/>
    <col min="9" max="10" width="9" style="2" customWidth="1"/>
    <col min="11" max="11" width="39.85546875" style="2" customWidth="1"/>
    <col min="12" max="14" width="4.7109375" style="2" customWidth="1"/>
    <col min="15" max="16384" width="9.140625" style="1"/>
  </cols>
  <sheetData>
    <row r="1" spans="1:43" s="127" customFormat="1" ht="34.5" customHeight="1" x14ac:dyDescent="0.25">
      <c r="B1" s="394"/>
      <c r="C1" s="394"/>
      <c r="D1" s="394"/>
      <c r="E1" s="394"/>
      <c r="K1" s="2135" t="s">
        <v>339</v>
      </c>
      <c r="L1" s="2135"/>
      <c r="M1" s="2135"/>
      <c r="N1" s="2135"/>
      <c r="O1" s="394"/>
      <c r="P1" s="394"/>
      <c r="Q1" s="394"/>
      <c r="R1" s="394"/>
      <c r="S1" s="394"/>
      <c r="T1" s="394"/>
      <c r="U1" s="394"/>
      <c r="V1" s="394"/>
      <c r="W1" s="394"/>
      <c r="X1" s="394"/>
      <c r="Y1" s="394"/>
      <c r="Z1" s="394"/>
      <c r="AA1" s="394"/>
      <c r="AB1" s="394"/>
      <c r="AC1" s="394"/>
      <c r="AD1" s="394"/>
      <c r="AE1" s="394"/>
      <c r="AF1" s="394"/>
      <c r="AG1" s="394"/>
      <c r="AH1" s="394"/>
      <c r="AI1" s="394"/>
      <c r="AJ1" s="394"/>
      <c r="AK1" s="394"/>
      <c r="AL1" s="394"/>
      <c r="AM1" s="394"/>
      <c r="AN1" s="394"/>
      <c r="AO1" s="394"/>
      <c r="AP1" s="394"/>
      <c r="AQ1" s="394"/>
    </row>
    <row r="2" spans="1:43" s="127" customFormat="1" ht="15.75" customHeight="1" x14ac:dyDescent="0.25">
      <c r="B2" s="394"/>
      <c r="C2" s="394"/>
      <c r="D2" s="394"/>
      <c r="E2" s="394"/>
      <c r="K2" s="959" t="s">
        <v>307</v>
      </c>
      <c r="L2" s="959"/>
      <c r="M2" s="959"/>
      <c r="N2" s="959"/>
      <c r="O2" s="394"/>
      <c r="P2" s="394"/>
      <c r="Q2" s="394"/>
      <c r="R2" s="394"/>
      <c r="S2" s="394"/>
      <c r="T2" s="394"/>
      <c r="U2" s="394"/>
      <c r="V2" s="394"/>
      <c r="W2" s="394"/>
      <c r="X2" s="394"/>
      <c r="Y2" s="394"/>
      <c r="Z2" s="394"/>
      <c r="AA2" s="394"/>
      <c r="AB2" s="394"/>
      <c r="AC2" s="394"/>
      <c r="AD2" s="394"/>
      <c r="AE2" s="394"/>
      <c r="AF2" s="394"/>
      <c r="AG2" s="394"/>
      <c r="AH2" s="394"/>
      <c r="AI2" s="394"/>
      <c r="AJ2" s="394"/>
      <c r="AK2" s="394"/>
      <c r="AL2" s="394"/>
      <c r="AM2" s="394"/>
      <c r="AN2" s="394"/>
      <c r="AO2" s="394"/>
      <c r="AP2" s="394"/>
      <c r="AQ2" s="394"/>
    </row>
    <row r="3" spans="1:43" s="127" customFormat="1" ht="12.75" customHeight="1" x14ac:dyDescent="0.25">
      <c r="B3" s="394"/>
      <c r="C3" s="394"/>
      <c r="D3" s="394"/>
      <c r="E3" s="394"/>
      <c r="K3" s="813"/>
      <c r="L3" s="813"/>
      <c r="M3" s="813"/>
      <c r="N3" s="813"/>
      <c r="O3" s="394"/>
      <c r="P3" s="394"/>
      <c r="Q3" s="394"/>
      <c r="R3" s="394"/>
      <c r="S3" s="394"/>
      <c r="T3" s="394"/>
      <c r="U3" s="394"/>
      <c r="V3" s="394"/>
      <c r="W3" s="394"/>
      <c r="X3" s="394"/>
      <c r="Y3" s="394"/>
      <c r="Z3" s="394"/>
      <c r="AA3" s="394"/>
      <c r="AB3" s="394"/>
      <c r="AC3" s="394"/>
      <c r="AD3" s="394"/>
      <c r="AE3" s="394"/>
      <c r="AF3" s="394"/>
      <c r="AG3" s="394"/>
      <c r="AH3" s="394"/>
      <c r="AI3" s="394"/>
      <c r="AJ3" s="394"/>
      <c r="AK3" s="394"/>
      <c r="AL3" s="394"/>
      <c r="AM3" s="394"/>
      <c r="AN3" s="394"/>
      <c r="AO3" s="394"/>
      <c r="AP3" s="394"/>
      <c r="AQ3" s="394"/>
    </row>
    <row r="4" spans="1:43" s="127" customFormat="1" ht="13.5" customHeight="1" x14ac:dyDescent="0.25">
      <c r="B4" s="394"/>
      <c r="C4" s="394"/>
      <c r="D4" s="394"/>
      <c r="E4" s="394"/>
      <c r="K4" s="813"/>
      <c r="L4" s="813"/>
      <c r="M4" s="813"/>
      <c r="N4" s="813"/>
      <c r="O4" s="394"/>
      <c r="P4" s="394"/>
      <c r="Q4" s="394"/>
      <c r="R4" s="394"/>
      <c r="S4" s="394"/>
      <c r="T4" s="394"/>
      <c r="U4" s="394"/>
      <c r="V4" s="394"/>
      <c r="W4" s="394"/>
      <c r="X4" s="394"/>
      <c r="Y4" s="394"/>
      <c r="Z4" s="394"/>
      <c r="AA4" s="394"/>
      <c r="AB4" s="394"/>
      <c r="AC4" s="394"/>
      <c r="AD4" s="394"/>
      <c r="AE4" s="394"/>
      <c r="AF4" s="394"/>
      <c r="AG4" s="394"/>
      <c r="AH4" s="394"/>
      <c r="AI4" s="394"/>
      <c r="AJ4" s="394"/>
      <c r="AK4" s="394"/>
      <c r="AL4" s="394"/>
      <c r="AM4" s="394"/>
      <c r="AN4" s="394"/>
      <c r="AO4" s="394"/>
      <c r="AP4" s="394"/>
      <c r="AQ4" s="394"/>
    </row>
    <row r="5" spans="1:43" s="32" customFormat="1" ht="15" x14ac:dyDescent="0.2">
      <c r="A5" s="2136" t="s">
        <v>308</v>
      </c>
      <c r="B5" s="2136"/>
      <c r="C5" s="2136"/>
      <c r="D5" s="2136"/>
      <c r="E5" s="2136"/>
      <c r="F5" s="2136"/>
      <c r="G5" s="2136"/>
      <c r="H5" s="2136"/>
      <c r="I5" s="2136"/>
      <c r="J5" s="2136"/>
      <c r="K5" s="2136"/>
      <c r="L5" s="2136"/>
      <c r="M5" s="2136"/>
      <c r="N5" s="2136"/>
      <c r="O5" s="536"/>
      <c r="P5" s="536"/>
      <c r="Q5" s="536"/>
      <c r="R5" s="536"/>
      <c r="S5" s="536"/>
      <c r="T5" s="536"/>
      <c r="U5" s="536"/>
      <c r="V5" s="536"/>
      <c r="W5" s="536"/>
      <c r="X5" s="536"/>
      <c r="Y5" s="536"/>
      <c r="Z5" s="536"/>
      <c r="AA5" s="536"/>
      <c r="AB5" s="536"/>
      <c r="AC5" s="536"/>
      <c r="AD5" s="536"/>
      <c r="AE5" s="536"/>
      <c r="AF5" s="536"/>
      <c r="AG5" s="536"/>
      <c r="AH5" s="536"/>
      <c r="AI5" s="536"/>
      <c r="AJ5" s="536"/>
      <c r="AK5" s="536"/>
      <c r="AL5" s="536"/>
      <c r="AM5" s="536"/>
      <c r="AN5" s="536"/>
      <c r="AO5" s="536"/>
      <c r="AP5" s="536"/>
      <c r="AQ5" s="536"/>
    </row>
    <row r="6" spans="1:43" ht="15.75" customHeight="1" x14ac:dyDescent="0.2">
      <c r="A6" s="2137" t="s">
        <v>29</v>
      </c>
      <c r="B6" s="2137"/>
      <c r="C6" s="2137"/>
      <c r="D6" s="2137"/>
      <c r="E6" s="2137"/>
      <c r="F6" s="2137"/>
      <c r="G6" s="2137"/>
      <c r="H6" s="2137"/>
      <c r="I6" s="2137"/>
      <c r="J6" s="2137"/>
      <c r="K6" s="2137"/>
      <c r="L6" s="2137"/>
      <c r="M6" s="2137"/>
      <c r="N6" s="2137"/>
      <c r="O6" s="526"/>
      <c r="P6" s="526"/>
      <c r="Q6" s="526"/>
      <c r="R6" s="526"/>
      <c r="S6" s="526"/>
      <c r="T6" s="526"/>
      <c r="U6" s="526"/>
      <c r="V6" s="526"/>
      <c r="W6" s="526"/>
      <c r="X6" s="526"/>
      <c r="Y6" s="526"/>
      <c r="Z6" s="526"/>
      <c r="AA6" s="526"/>
      <c r="AB6" s="526"/>
      <c r="AC6" s="526"/>
      <c r="AD6" s="526"/>
      <c r="AE6" s="526"/>
      <c r="AF6" s="526"/>
      <c r="AG6" s="526"/>
      <c r="AH6" s="526"/>
      <c r="AI6" s="526"/>
      <c r="AJ6" s="526"/>
      <c r="AK6" s="526"/>
      <c r="AL6" s="526"/>
      <c r="AM6" s="526"/>
      <c r="AN6" s="526"/>
      <c r="AO6" s="526"/>
      <c r="AP6" s="526"/>
      <c r="AQ6" s="526"/>
    </row>
    <row r="7" spans="1:43" ht="15" customHeight="1" x14ac:dyDescent="0.2">
      <c r="A7" s="2138" t="s">
        <v>17</v>
      </c>
      <c r="B7" s="2138"/>
      <c r="C7" s="2138"/>
      <c r="D7" s="2138"/>
      <c r="E7" s="2138"/>
      <c r="F7" s="2138"/>
      <c r="G7" s="2138"/>
      <c r="H7" s="2138"/>
      <c r="I7" s="2138"/>
      <c r="J7" s="2138"/>
      <c r="K7" s="2138"/>
      <c r="L7" s="2138"/>
      <c r="M7" s="2138"/>
      <c r="N7" s="2138"/>
      <c r="O7" s="526"/>
      <c r="P7" s="526"/>
      <c r="Q7" s="526"/>
      <c r="R7" s="526"/>
      <c r="S7" s="526"/>
      <c r="T7" s="526"/>
      <c r="U7" s="526"/>
      <c r="V7" s="526"/>
      <c r="W7" s="526"/>
      <c r="X7" s="526"/>
      <c r="Y7" s="526"/>
      <c r="Z7" s="526"/>
      <c r="AA7" s="526"/>
      <c r="AB7" s="526"/>
      <c r="AC7" s="526"/>
      <c r="AD7" s="526"/>
      <c r="AE7" s="526"/>
      <c r="AF7" s="526"/>
      <c r="AG7" s="526"/>
      <c r="AH7" s="526"/>
      <c r="AI7" s="526"/>
      <c r="AJ7" s="526"/>
      <c r="AK7" s="526"/>
      <c r="AL7" s="526"/>
      <c r="AM7" s="526"/>
      <c r="AN7" s="526"/>
      <c r="AO7" s="526"/>
      <c r="AP7" s="526"/>
      <c r="AQ7" s="526"/>
    </row>
    <row r="8" spans="1:43" ht="14.25" customHeight="1" thickBot="1" x14ac:dyDescent="0.25">
      <c r="A8" s="14"/>
      <c r="B8" s="14"/>
      <c r="C8" s="393"/>
      <c r="D8" s="14"/>
      <c r="E8" s="15"/>
      <c r="F8" s="16"/>
      <c r="G8" s="187"/>
      <c r="H8" s="14"/>
      <c r="I8" s="14"/>
      <c r="J8" s="14"/>
      <c r="K8" s="2139" t="s">
        <v>109</v>
      </c>
      <c r="L8" s="2139"/>
      <c r="M8" s="2139"/>
      <c r="N8" s="2140"/>
      <c r="O8" s="526"/>
      <c r="P8" s="526"/>
      <c r="Q8" s="526"/>
      <c r="R8" s="526"/>
      <c r="S8" s="526"/>
      <c r="T8" s="526"/>
      <c r="U8" s="526"/>
      <c r="V8" s="526"/>
      <c r="W8" s="526"/>
      <c r="X8" s="526"/>
      <c r="Y8" s="526"/>
      <c r="Z8" s="526"/>
      <c r="AA8" s="526"/>
      <c r="AB8" s="526"/>
      <c r="AC8" s="526"/>
      <c r="AD8" s="526"/>
      <c r="AE8" s="526"/>
      <c r="AF8" s="526"/>
      <c r="AG8" s="526"/>
      <c r="AH8" s="526"/>
      <c r="AI8" s="526"/>
      <c r="AJ8" s="526"/>
      <c r="AK8" s="526"/>
      <c r="AL8" s="526"/>
      <c r="AM8" s="526"/>
      <c r="AN8" s="526"/>
      <c r="AO8" s="526"/>
      <c r="AP8" s="526"/>
      <c r="AQ8" s="526"/>
    </row>
    <row r="9" spans="1:43" s="32" customFormat="1" ht="30" customHeight="1" x14ac:dyDescent="0.2">
      <c r="A9" s="2254" t="s">
        <v>18</v>
      </c>
      <c r="B9" s="2257" t="s">
        <v>0</v>
      </c>
      <c r="C9" s="2257" t="s">
        <v>1</v>
      </c>
      <c r="D9" s="2260" t="s">
        <v>12</v>
      </c>
      <c r="E9" s="2245" t="s">
        <v>2</v>
      </c>
      <c r="F9" s="2248" t="s">
        <v>3</v>
      </c>
      <c r="G9" s="2251" t="s">
        <v>4</v>
      </c>
      <c r="H9" s="2232" t="s">
        <v>227</v>
      </c>
      <c r="I9" s="2232" t="s">
        <v>158</v>
      </c>
      <c r="J9" s="2232" t="s">
        <v>223</v>
      </c>
      <c r="K9" s="2235" t="s">
        <v>11</v>
      </c>
      <c r="L9" s="2236"/>
      <c r="M9" s="2236"/>
      <c r="N9" s="2237"/>
    </row>
    <row r="10" spans="1:43" s="32" customFormat="1" ht="18.75" customHeight="1" x14ac:dyDescent="0.2">
      <c r="A10" s="2255"/>
      <c r="B10" s="2258"/>
      <c r="C10" s="2258"/>
      <c r="D10" s="2261"/>
      <c r="E10" s="2246"/>
      <c r="F10" s="2249"/>
      <c r="G10" s="2252"/>
      <c r="H10" s="2233"/>
      <c r="I10" s="2233"/>
      <c r="J10" s="2233"/>
      <c r="K10" s="2238" t="s">
        <v>12</v>
      </c>
      <c r="L10" s="2240" t="s">
        <v>93</v>
      </c>
      <c r="M10" s="2240"/>
      <c r="N10" s="2241"/>
    </row>
    <row r="11" spans="1:43" s="32" customFormat="1" ht="54" customHeight="1" thickBot="1" x14ac:dyDescent="0.25">
      <c r="A11" s="2256"/>
      <c r="B11" s="2259"/>
      <c r="C11" s="2259"/>
      <c r="D11" s="2262"/>
      <c r="E11" s="2247"/>
      <c r="F11" s="2250"/>
      <c r="G11" s="2253"/>
      <c r="H11" s="2234"/>
      <c r="I11" s="2234"/>
      <c r="J11" s="2234"/>
      <c r="K11" s="2239"/>
      <c r="L11" s="128" t="s">
        <v>117</v>
      </c>
      <c r="M11" s="128" t="s">
        <v>159</v>
      </c>
      <c r="N11" s="129" t="s">
        <v>224</v>
      </c>
    </row>
    <row r="12" spans="1:43" s="9" customFormat="1" ht="14.25" customHeight="1" x14ac:dyDescent="0.2">
      <c r="A12" s="2242" t="s">
        <v>61</v>
      </c>
      <c r="B12" s="2243"/>
      <c r="C12" s="2243"/>
      <c r="D12" s="2243"/>
      <c r="E12" s="2243"/>
      <c r="F12" s="2243"/>
      <c r="G12" s="2243"/>
      <c r="H12" s="2243"/>
      <c r="I12" s="2243"/>
      <c r="J12" s="2243"/>
      <c r="K12" s="2243"/>
      <c r="L12" s="2243"/>
      <c r="M12" s="2243"/>
      <c r="N12" s="2244"/>
    </row>
    <row r="13" spans="1:43" s="9" customFormat="1" ht="14.25" customHeight="1" x14ac:dyDescent="0.2">
      <c r="A13" s="2223" t="s">
        <v>26</v>
      </c>
      <c r="B13" s="2224"/>
      <c r="C13" s="2224"/>
      <c r="D13" s="2224"/>
      <c r="E13" s="2224"/>
      <c r="F13" s="2224"/>
      <c r="G13" s="2224"/>
      <c r="H13" s="2224"/>
      <c r="I13" s="2224"/>
      <c r="J13" s="2224"/>
      <c r="K13" s="2224"/>
      <c r="L13" s="2224"/>
      <c r="M13" s="2224"/>
      <c r="N13" s="2225"/>
    </row>
    <row r="14" spans="1:43" ht="16.5" customHeight="1" x14ac:dyDescent="0.2">
      <c r="A14" s="17" t="s">
        <v>5</v>
      </c>
      <c r="B14" s="2226" t="s">
        <v>30</v>
      </c>
      <c r="C14" s="2227"/>
      <c r="D14" s="2227"/>
      <c r="E14" s="2227"/>
      <c r="F14" s="2227"/>
      <c r="G14" s="2227"/>
      <c r="H14" s="2227"/>
      <c r="I14" s="2227"/>
      <c r="J14" s="2227"/>
      <c r="K14" s="2227"/>
      <c r="L14" s="2227"/>
      <c r="M14" s="2227"/>
      <c r="N14" s="2228"/>
    </row>
    <row r="15" spans="1:43" ht="15" customHeight="1" x14ac:dyDescent="0.2">
      <c r="A15" s="186" t="s">
        <v>5</v>
      </c>
      <c r="B15" s="12" t="s">
        <v>5</v>
      </c>
      <c r="C15" s="2229" t="s">
        <v>31</v>
      </c>
      <c r="D15" s="2230"/>
      <c r="E15" s="2230"/>
      <c r="F15" s="2230"/>
      <c r="G15" s="2230"/>
      <c r="H15" s="2230"/>
      <c r="I15" s="2230"/>
      <c r="J15" s="2230"/>
      <c r="K15" s="2230"/>
      <c r="L15" s="2230"/>
      <c r="M15" s="2230"/>
      <c r="N15" s="2231"/>
    </row>
    <row r="16" spans="1:43" ht="14.1" customHeight="1" x14ac:dyDescent="0.2">
      <c r="A16" s="1568" t="s">
        <v>5</v>
      </c>
      <c r="B16" s="1577" t="s">
        <v>5</v>
      </c>
      <c r="C16" s="1570" t="s">
        <v>5</v>
      </c>
      <c r="D16" s="2220" t="s">
        <v>431</v>
      </c>
      <c r="E16" s="2222" t="s">
        <v>86</v>
      </c>
      <c r="F16" s="1565" t="s">
        <v>43</v>
      </c>
      <c r="G16" s="40" t="s">
        <v>25</v>
      </c>
      <c r="H16" s="504">
        <f>2602.7+148+100+100+105-320.6</f>
        <v>2735.1</v>
      </c>
      <c r="I16" s="396">
        <f>838.9+367.6+1571.4+176.4+133.8+25</f>
        <v>3113.1</v>
      </c>
      <c r="J16" s="1604">
        <f>1460.6+714.1+735+115.5-1057.8+133.7</f>
        <v>2101.1</v>
      </c>
      <c r="K16" s="251"/>
      <c r="L16" s="252"/>
      <c r="M16" s="263"/>
      <c r="N16" s="254"/>
    </row>
    <row r="17" spans="1:16" ht="14.1" customHeight="1" x14ac:dyDescent="0.2">
      <c r="A17" s="1568"/>
      <c r="B17" s="1577"/>
      <c r="C17" s="1570"/>
      <c r="D17" s="2220"/>
      <c r="E17" s="2222"/>
      <c r="F17" s="1565"/>
      <c r="G17" s="40" t="s">
        <v>60</v>
      </c>
      <c r="H17" s="504">
        <f>286.9+132.3+10</f>
        <v>429.2</v>
      </c>
      <c r="I17" s="396"/>
      <c r="J17" s="502"/>
      <c r="K17" s="251"/>
      <c r="L17" s="252"/>
      <c r="M17" s="263"/>
      <c r="N17" s="254"/>
    </row>
    <row r="18" spans="1:16" ht="14.1" customHeight="1" x14ac:dyDescent="0.2">
      <c r="A18" s="1568"/>
      <c r="B18" s="1577"/>
      <c r="C18" s="1570"/>
      <c r="D18" s="2221"/>
      <c r="E18" s="2049"/>
      <c r="F18" s="1565"/>
      <c r="G18" s="40" t="s">
        <v>98</v>
      </c>
      <c r="H18" s="504">
        <f>151.9+328.7</f>
        <v>480.6</v>
      </c>
      <c r="I18" s="396"/>
      <c r="J18" s="502"/>
      <c r="K18" s="251"/>
      <c r="L18" s="252"/>
      <c r="M18" s="263"/>
      <c r="N18" s="254"/>
    </row>
    <row r="19" spans="1:16" ht="14.1" customHeight="1" x14ac:dyDescent="0.2">
      <c r="A19" s="1568"/>
      <c r="B19" s="1577"/>
      <c r="C19" s="1570"/>
      <c r="D19" s="47"/>
      <c r="E19" s="1572"/>
      <c r="F19" s="1565"/>
      <c r="G19" s="40" t="s">
        <v>99</v>
      </c>
      <c r="H19" s="504">
        <f>2475+243.1+200-378+57.4+320.6</f>
        <v>2918.1</v>
      </c>
      <c r="I19" s="396">
        <f>2744.3+500-59.1-157.4</f>
        <v>3027.8</v>
      </c>
      <c r="J19" s="502">
        <f>1400+1696.4+40.9-96.4</f>
        <v>3040.9</v>
      </c>
      <c r="K19" s="251"/>
      <c r="L19" s="252"/>
      <c r="M19" s="263"/>
      <c r="N19" s="254"/>
    </row>
    <row r="20" spans="1:16" ht="14.1" customHeight="1" x14ac:dyDescent="0.2">
      <c r="A20" s="1568"/>
      <c r="B20" s="1577"/>
      <c r="C20" s="1570"/>
      <c r="D20" s="47"/>
      <c r="E20" s="1572"/>
      <c r="F20" s="1565"/>
      <c r="G20" s="40" t="s">
        <v>222</v>
      </c>
      <c r="H20" s="504">
        <v>1482.2</v>
      </c>
      <c r="I20" s="396">
        <v>122.8</v>
      </c>
      <c r="J20" s="502"/>
      <c r="K20" s="251"/>
      <c r="L20" s="252"/>
      <c r="M20" s="263"/>
      <c r="N20" s="254"/>
    </row>
    <row r="21" spans="1:16" ht="14.1" customHeight="1" x14ac:dyDescent="0.2">
      <c r="A21" s="1568"/>
      <c r="B21" s="1577"/>
      <c r="C21" s="1570"/>
      <c r="D21" s="47"/>
      <c r="E21" s="1572"/>
      <c r="F21" s="1565"/>
      <c r="G21" s="40" t="s">
        <v>48</v>
      </c>
      <c r="H21" s="504">
        <v>1662.4</v>
      </c>
      <c r="I21" s="396"/>
      <c r="J21" s="502"/>
      <c r="K21" s="251"/>
      <c r="L21" s="252"/>
      <c r="M21" s="263"/>
      <c r="N21" s="254"/>
    </row>
    <row r="22" spans="1:16" ht="14.1" customHeight="1" x14ac:dyDescent="0.2">
      <c r="A22" s="1568"/>
      <c r="B22" s="1577"/>
      <c r="C22" s="1570"/>
      <c r="D22" s="47"/>
      <c r="E22" s="1572"/>
      <c r="F22" s="1565"/>
      <c r="G22" s="40" t="s">
        <v>241</v>
      </c>
      <c r="H22" s="504"/>
      <c r="I22" s="396">
        <v>5000</v>
      </c>
      <c r="J22" s="502">
        <f>44.7+8609.1-44.7</f>
        <v>8609.1</v>
      </c>
      <c r="K22" s="251"/>
      <c r="L22" s="252"/>
      <c r="M22" s="263"/>
      <c r="N22" s="254"/>
    </row>
    <row r="23" spans="1:16" ht="14.1" customHeight="1" x14ac:dyDescent="0.2">
      <c r="A23" s="1568"/>
      <c r="B23" s="1577"/>
      <c r="C23" s="1570"/>
      <c r="D23" s="47"/>
      <c r="E23" s="1572"/>
      <c r="F23" s="1565"/>
      <c r="G23" s="40" t="s">
        <v>298</v>
      </c>
      <c r="H23" s="504"/>
      <c r="I23" s="396">
        <v>10000</v>
      </c>
      <c r="J23" s="502"/>
      <c r="K23" s="251"/>
      <c r="L23" s="252"/>
      <c r="M23" s="263"/>
      <c r="N23" s="254"/>
    </row>
    <row r="24" spans="1:16" ht="14.1" customHeight="1" x14ac:dyDescent="0.2">
      <c r="A24" s="1568"/>
      <c r="B24" s="1577"/>
      <c r="C24" s="1866"/>
      <c r="D24" s="47"/>
      <c r="E24" s="1893"/>
      <c r="F24" s="1875"/>
      <c r="G24" s="40" t="s">
        <v>44</v>
      </c>
      <c r="H24" s="504"/>
      <c r="I24" s="396">
        <f>1275+629+250</f>
        <v>2154</v>
      </c>
      <c r="J24" s="502">
        <f>1754.7-690.3+629+250</f>
        <v>1943.4</v>
      </c>
      <c r="K24" s="251"/>
      <c r="L24" s="252"/>
      <c r="M24" s="263"/>
      <c r="N24" s="254"/>
    </row>
    <row r="25" spans="1:16" ht="14.1" customHeight="1" x14ac:dyDescent="0.2">
      <c r="A25" s="1568"/>
      <c r="B25" s="1577"/>
      <c r="C25" s="1975"/>
      <c r="D25" s="1244"/>
      <c r="E25" s="1902"/>
      <c r="F25" s="1876"/>
      <c r="G25" s="39" t="s">
        <v>45</v>
      </c>
      <c r="H25" s="1245">
        <f>104.9+21.5</f>
        <v>126.4</v>
      </c>
      <c r="I25" s="1606">
        <v>135</v>
      </c>
      <c r="J25" s="502"/>
      <c r="K25" s="251"/>
      <c r="L25" s="252"/>
      <c r="M25" s="263"/>
      <c r="N25" s="254"/>
    </row>
    <row r="26" spans="1:16" ht="14.1" customHeight="1" x14ac:dyDescent="0.2">
      <c r="A26" s="2031"/>
      <c r="B26" s="2032"/>
      <c r="C26" s="2033"/>
      <c r="D26" s="2002" t="s">
        <v>278</v>
      </c>
      <c r="E26" s="2022"/>
      <c r="F26" s="2033"/>
      <c r="G26" s="73"/>
      <c r="H26" s="1055"/>
      <c r="I26" s="1056"/>
      <c r="J26" s="790"/>
      <c r="K26" s="1999"/>
      <c r="L26" s="1908"/>
      <c r="M26" s="1908"/>
      <c r="N26" s="1912"/>
      <c r="O26" s="526"/>
      <c r="P26" s="526"/>
    </row>
    <row r="27" spans="1:16" ht="14.1" customHeight="1" x14ac:dyDescent="0.2">
      <c r="A27" s="2031"/>
      <c r="B27" s="2032"/>
      <c r="C27" s="2033"/>
      <c r="D27" s="2003"/>
      <c r="E27" s="2022"/>
      <c r="F27" s="2024"/>
      <c r="G27" s="54"/>
      <c r="H27" s="55"/>
      <c r="I27" s="1741"/>
      <c r="J27" s="55"/>
      <c r="K27" s="2004"/>
      <c r="L27" s="1909"/>
      <c r="M27" s="1909"/>
      <c r="N27" s="1913"/>
    </row>
    <row r="28" spans="1:16" ht="12.75" customHeight="1" x14ac:dyDescent="0.2">
      <c r="A28" s="2031"/>
      <c r="B28" s="2032"/>
      <c r="C28" s="2033"/>
      <c r="D28" s="2003"/>
      <c r="E28" s="2022"/>
      <c r="F28" s="2024"/>
      <c r="G28" s="54"/>
      <c r="H28" s="54"/>
      <c r="I28" s="1042"/>
      <c r="J28" s="54"/>
      <c r="K28" s="1895"/>
      <c r="L28" s="1909"/>
      <c r="M28" s="1909"/>
      <c r="N28" s="1913"/>
    </row>
    <row r="29" spans="1:16" ht="6" customHeight="1" x14ac:dyDescent="0.2">
      <c r="A29" s="2031"/>
      <c r="B29" s="2032"/>
      <c r="C29" s="2033"/>
      <c r="D29" s="1894"/>
      <c r="E29" s="2022"/>
      <c r="F29" s="2024"/>
      <c r="G29" s="54"/>
      <c r="H29" s="54"/>
      <c r="I29" s="85"/>
      <c r="J29" s="54"/>
      <c r="K29" s="1895"/>
      <c r="L29" s="1909"/>
      <c r="M29" s="1909"/>
      <c r="N29" s="1913"/>
    </row>
    <row r="30" spans="1:16" ht="25.5" customHeight="1" x14ac:dyDescent="0.2">
      <c r="A30" s="2031"/>
      <c r="B30" s="2032"/>
      <c r="C30" s="2033"/>
      <c r="D30" s="362" t="s">
        <v>147</v>
      </c>
      <c r="E30" s="2022"/>
      <c r="F30" s="2024"/>
      <c r="G30" s="54"/>
      <c r="H30" s="54"/>
      <c r="I30" s="85"/>
      <c r="J30" s="54"/>
      <c r="K30" s="71" t="s">
        <v>178</v>
      </c>
      <c r="L30" s="134">
        <v>100</v>
      </c>
      <c r="M30" s="134"/>
      <c r="N30" s="23"/>
    </row>
    <row r="31" spans="1:16" ht="40.5" customHeight="1" x14ac:dyDescent="0.2">
      <c r="A31" s="2031"/>
      <c r="B31" s="2032"/>
      <c r="C31" s="2033"/>
      <c r="D31" s="1869" t="s">
        <v>122</v>
      </c>
      <c r="E31" s="2022"/>
      <c r="F31" s="2024"/>
      <c r="G31" s="54"/>
      <c r="H31" s="54"/>
      <c r="I31" s="85"/>
      <c r="J31" s="54"/>
      <c r="K31" s="363" t="s">
        <v>179</v>
      </c>
      <c r="L31" s="41">
        <v>80</v>
      </c>
      <c r="M31" s="41">
        <v>100</v>
      </c>
      <c r="N31" s="20"/>
    </row>
    <row r="32" spans="1:16" ht="15" customHeight="1" x14ac:dyDescent="0.2">
      <c r="A32" s="1877"/>
      <c r="B32" s="1890"/>
      <c r="C32" s="1879"/>
      <c r="D32" s="2002" t="s">
        <v>59</v>
      </c>
      <c r="E32" s="2022"/>
      <c r="F32" s="2066"/>
      <c r="G32" s="54"/>
      <c r="H32" s="374"/>
      <c r="I32" s="85"/>
      <c r="J32" s="54"/>
      <c r="K32" s="2005" t="s">
        <v>180</v>
      </c>
      <c r="L32" s="1910">
        <v>100</v>
      </c>
      <c r="M32" s="961"/>
      <c r="N32" s="1912"/>
    </row>
    <row r="33" spans="1:14" ht="11.25" customHeight="1" x14ac:dyDescent="0.2">
      <c r="A33" s="1877"/>
      <c r="B33" s="1890"/>
      <c r="C33" s="1879"/>
      <c r="D33" s="2040"/>
      <c r="E33" s="2022"/>
      <c r="F33" s="2066"/>
      <c r="G33" s="54"/>
      <c r="H33" s="54"/>
      <c r="I33" s="85"/>
      <c r="J33" s="54"/>
      <c r="K33" s="2006"/>
      <c r="L33" s="1911"/>
      <c r="M33" s="232"/>
      <c r="N33" s="1913"/>
    </row>
    <row r="34" spans="1:14" ht="4.5" customHeight="1" x14ac:dyDescent="0.2">
      <c r="A34" s="1877"/>
      <c r="B34" s="1890"/>
      <c r="C34" s="1879"/>
      <c r="D34" s="2030"/>
      <c r="E34" s="2022"/>
      <c r="F34" s="2066"/>
      <c r="G34" s="54"/>
      <c r="H34" s="54"/>
      <c r="I34" s="85"/>
      <c r="J34" s="54"/>
      <c r="K34" s="1149"/>
      <c r="L34" s="19"/>
      <c r="M34" s="233"/>
      <c r="N34" s="20"/>
    </row>
    <row r="35" spans="1:14" ht="14.25" customHeight="1" x14ac:dyDescent="0.2">
      <c r="A35" s="1877"/>
      <c r="B35" s="1890"/>
      <c r="C35" s="1879"/>
      <c r="D35" s="2002" t="s">
        <v>195</v>
      </c>
      <c r="E35" s="1239"/>
      <c r="F35" s="1873"/>
      <c r="G35" s="54"/>
      <c r="H35" s="374"/>
      <c r="I35" s="1042"/>
      <c r="J35" s="54"/>
      <c r="K35" s="2000" t="s">
        <v>181</v>
      </c>
      <c r="L35" s="1583">
        <v>80</v>
      </c>
      <c r="M35" s="482">
        <v>100</v>
      </c>
      <c r="N35" s="250"/>
    </row>
    <row r="36" spans="1:14" ht="12.75" customHeight="1" x14ac:dyDescent="0.2">
      <c r="A36" s="1877"/>
      <c r="B36" s="1890"/>
      <c r="C36" s="1879"/>
      <c r="D36" s="2040"/>
      <c r="E36" s="2067"/>
      <c r="F36" s="1873"/>
      <c r="G36" s="1914"/>
      <c r="H36" s="1065"/>
      <c r="I36" s="85"/>
      <c r="J36" s="54"/>
      <c r="K36" s="2004"/>
      <c r="L36" s="1583"/>
      <c r="M36" s="482"/>
      <c r="N36" s="250"/>
    </row>
    <row r="37" spans="1:14" ht="12" customHeight="1" x14ac:dyDescent="0.2">
      <c r="A37" s="1877"/>
      <c r="B37" s="1890"/>
      <c r="C37" s="1879"/>
      <c r="D37" s="2030"/>
      <c r="E37" s="2067"/>
      <c r="F37" s="1873"/>
      <c r="G37" s="1927"/>
      <c r="H37" s="1928"/>
      <c r="I37" s="85"/>
      <c r="J37" s="54"/>
      <c r="K37" s="1900"/>
      <c r="L37" s="1868"/>
      <c r="M37" s="482"/>
      <c r="N37" s="250"/>
    </row>
    <row r="38" spans="1:14" ht="15.75" customHeight="1" x14ac:dyDescent="0.2">
      <c r="A38" s="2031"/>
      <c r="B38" s="2039"/>
      <c r="C38" s="2033"/>
      <c r="D38" s="2002" t="s">
        <v>197</v>
      </c>
      <c r="E38" s="1871"/>
      <c r="F38" s="2024"/>
      <c r="G38" s="54"/>
      <c r="H38" s="374"/>
      <c r="I38" s="85"/>
      <c r="J38" s="54"/>
      <c r="K38" s="1885" t="s">
        <v>160</v>
      </c>
      <c r="L38" s="360">
        <v>100</v>
      </c>
      <c r="M38" s="498"/>
      <c r="N38" s="361"/>
    </row>
    <row r="39" spans="1:14" ht="10.5" customHeight="1" x14ac:dyDescent="0.2">
      <c r="A39" s="2031"/>
      <c r="B39" s="2039"/>
      <c r="C39" s="2033"/>
      <c r="D39" s="2040"/>
      <c r="E39" s="1871"/>
      <c r="F39" s="2024"/>
      <c r="G39" s="54"/>
      <c r="H39" s="54"/>
      <c r="I39" s="85"/>
      <c r="J39" s="54"/>
      <c r="K39" s="1885"/>
      <c r="L39" s="360"/>
      <c r="M39" s="155"/>
      <c r="N39" s="166"/>
    </row>
    <row r="40" spans="1:14" ht="7.5" customHeight="1" x14ac:dyDescent="0.2">
      <c r="A40" s="2031"/>
      <c r="B40" s="2039"/>
      <c r="C40" s="2033"/>
      <c r="D40" s="2030"/>
      <c r="E40" s="1240"/>
      <c r="F40" s="2024"/>
      <c r="G40" s="55"/>
      <c r="H40" s="54"/>
      <c r="I40" s="85"/>
      <c r="J40" s="54"/>
      <c r="K40" s="324"/>
      <c r="L40" s="230"/>
      <c r="M40" s="499"/>
      <c r="N40" s="231"/>
    </row>
    <row r="41" spans="1:14" ht="16.5" customHeight="1" x14ac:dyDescent="0.2">
      <c r="A41" s="2038"/>
      <c r="B41" s="2039"/>
      <c r="C41" s="2033"/>
      <c r="D41" s="2010" t="s">
        <v>194</v>
      </c>
      <c r="E41" s="1871"/>
      <c r="F41" s="2024"/>
      <c r="G41" s="54"/>
      <c r="H41" s="54"/>
      <c r="I41" s="85"/>
      <c r="J41" s="54"/>
      <c r="K41" s="2007" t="s">
        <v>175</v>
      </c>
      <c r="L41" s="1605">
        <v>100</v>
      </c>
      <c r="M41" s="774"/>
      <c r="N41" s="775"/>
    </row>
    <row r="42" spans="1:14" ht="23.25" customHeight="1" x14ac:dyDescent="0.2">
      <c r="A42" s="2038"/>
      <c r="B42" s="2039"/>
      <c r="C42" s="2033"/>
      <c r="D42" s="2010"/>
      <c r="E42" s="1871"/>
      <c r="F42" s="2024"/>
      <c r="G42" s="54"/>
      <c r="H42" s="54"/>
      <c r="I42" s="85"/>
      <c r="J42" s="54"/>
      <c r="K42" s="2008"/>
      <c r="L42" s="474"/>
      <c r="M42" s="478"/>
      <c r="N42" s="589"/>
    </row>
    <row r="43" spans="1:14" ht="28.5" customHeight="1" x14ac:dyDescent="0.2">
      <c r="A43" s="2038"/>
      <c r="B43" s="2039"/>
      <c r="C43" s="2033"/>
      <c r="D43" s="2010"/>
      <c r="E43" s="1871"/>
      <c r="F43" s="2024"/>
      <c r="G43" s="1923"/>
      <c r="H43" s="54"/>
      <c r="I43" s="85"/>
      <c r="J43" s="54"/>
      <c r="K43" s="24" t="s">
        <v>176</v>
      </c>
      <c r="L43" s="1057" t="s">
        <v>400</v>
      </c>
      <c r="M43" s="1058">
        <v>80</v>
      </c>
      <c r="N43" s="1059">
        <v>100</v>
      </c>
    </row>
    <row r="44" spans="1:14" ht="41.25" customHeight="1" x14ac:dyDescent="0.2">
      <c r="A44" s="2038"/>
      <c r="B44" s="2039"/>
      <c r="C44" s="2033"/>
      <c r="D44" s="2010"/>
      <c r="E44" s="1871"/>
      <c r="F44" s="2024"/>
      <c r="G44" s="1923"/>
      <c r="H44" s="54"/>
      <c r="I44" s="85"/>
      <c r="J44" s="54"/>
      <c r="K44" s="1898" t="s">
        <v>149</v>
      </c>
      <c r="L44" s="1057" t="s">
        <v>55</v>
      </c>
      <c r="M44" s="1058"/>
      <c r="N44" s="1059"/>
    </row>
    <row r="45" spans="1:14" ht="51.75" customHeight="1" x14ac:dyDescent="0.2">
      <c r="A45" s="2038"/>
      <c r="B45" s="2039"/>
      <c r="C45" s="2033"/>
      <c r="D45" s="2010"/>
      <c r="E45" s="1871"/>
      <c r="F45" s="2024"/>
      <c r="G45" s="54"/>
      <c r="H45" s="54"/>
      <c r="I45" s="85"/>
      <c r="J45" s="54"/>
      <c r="K45" s="1919" t="s">
        <v>177</v>
      </c>
      <c r="L45" s="1920"/>
      <c r="M45" s="1921"/>
      <c r="N45" s="1922">
        <v>5</v>
      </c>
    </row>
    <row r="46" spans="1:14" ht="14.25" customHeight="1" x14ac:dyDescent="0.2">
      <c r="A46" s="1877"/>
      <c r="B46" s="1890"/>
      <c r="C46" s="1879"/>
      <c r="D46" s="2009" t="s">
        <v>127</v>
      </c>
      <c r="E46" s="2011" t="s">
        <v>370</v>
      </c>
      <c r="F46" s="1873"/>
      <c r="G46" s="55"/>
      <c r="H46" s="54"/>
      <c r="I46" s="85"/>
      <c r="J46" s="54"/>
      <c r="K46" s="1872" t="s">
        <v>46</v>
      </c>
      <c r="L46" s="232">
        <v>1</v>
      </c>
      <c r="M46" s="1909"/>
      <c r="N46" s="1913"/>
    </row>
    <row r="47" spans="1:14" ht="13.5" customHeight="1" x14ac:dyDescent="0.2">
      <c r="A47" s="1877"/>
      <c r="B47" s="1890"/>
      <c r="C47" s="1879"/>
      <c r="D47" s="2010"/>
      <c r="E47" s="2012"/>
      <c r="F47" s="1873"/>
      <c r="G47" s="55"/>
      <c r="H47" s="54"/>
      <c r="I47" s="85"/>
      <c r="J47" s="54"/>
      <c r="K47" s="2013" t="s">
        <v>233</v>
      </c>
      <c r="L47" s="232"/>
      <c r="M47" s="1909">
        <v>60</v>
      </c>
      <c r="N47" s="1913">
        <v>90</v>
      </c>
    </row>
    <row r="48" spans="1:14" ht="12.75" customHeight="1" x14ac:dyDescent="0.2">
      <c r="A48" s="1877"/>
      <c r="B48" s="1890"/>
      <c r="C48" s="1879"/>
      <c r="D48" s="2010"/>
      <c r="E48" s="2012"/>
      <c r="F48" s="1873"/>
      <c r="G48" s="55"/>
      <c r="H48" s="54"/>
      <c r="I48" s="85"/>
      <c r="J48" s="54"/>
      <c r="K48" s="2014"/>
      <c r="L48" s="232"/>
      <c r="M48" s="1909"/>
      <c r="N48" s="1913"/>
    </row>
    <row r="49" spans="1:14" ht="12.75" customHeight="1" x14ac:dyDescent="0.2">
      <c r="A49" s="1877"/>
      <c r="B49" s="1890"/>
      <c r="C49" s="1879"/>
      <c r="D49" s="2010"/>
      <c r="E49" s="1889"/>
      <c r="F49" s="1873"/>
      <c r="G49" s="55"/>
      <c r="H49" s="54"/>
      <c r="I49" s="85"/>
      <c r="J49" s="54"/>
      <c r="K49" s="1901"/>
      <c r="L49" s="232"/>
      <c r="M49" s="1909"/>
      <c r="N49" s="1913"/>
    </row>
    <row r="50" spans="1:14" ht="18.75" customHeight="1" x14ac:dyDescent="0.2">
      <c r="A50" s="1864"/>
      <c r="B50" s="1888"/>
      <c r="C50" s="2052" t="s">
        <v>409</v>
      </c>
      <c r="D50" s="1996" t="s">
        <v>211</v>
      </c>
      <c r="E50" s="619" t="s">
        <v>47</v>
      </c>
      <c r="F50" s="1875"/>
      <c r="G50" s="54"/>
      <c r="H50" s="54"/>
      <c r="I50" s="69"/>
      <c r="J50" s="54"/>
      <c r="K50" s="2054" t="s">
        <v>276</v>
      </c>
      <c r="L50" s="1905"/>
      <c r="M50" s="608" t="s">
        <v>55</v>
      </c>
      <c r="N50" s="337"/>
    </row>
    <row r="51" spans="1:14" ht="33" customHeight="1" x14ac:dyDescent="0.2">
      <c r="A51" s="1864"/>
      <c r="B51" s="1888"/>
      <c r="C51" s="2016"/>
      <c r="D51" s="2028"/>
      <c r="E51" s="2056" t="s">
        <v>231</v>
      </c>
      <c r="F51" s="1875"/>
      <c r="G51" s="54"/>
      <c r="H51" s="54"/>
      <c r="I51" s="69"/>
      <c r="J51" s="54"/>
      <c r="K51" s="2055"/>
      <c r="L51" s="609"/>
      <c r="M51" s="610"/>
      <c r="N51" s="397"/>
    </row>
    <row r="52" spans="1:14" ht="30.75" customHeight="1" x14ac:dyDescent="0.2">
      <c r="A52" s="1864"/>
      <c r="B52" s="1865"/>
      <c r="C52" s="2016"/>
      <c r="D52" s="2028"/>
      <c r="E52" s="2057"/>
      <c r="F52" s="1875"/>
      <c r="G52" s="54"/>
      <c r="H52" s="54"/>
      <c r="I52" s="54"/>
      <c r="J52" s="54"/>
      <c r="K52" s="167" t="s">
        <v>239</v>
      </c>
      <c r="L52" s="609"/>
      <c r="M52" s="610" t="s">
        <v>236</v>
      </c>
      <c r="N52" s="397" t="s">
        <v>237</v>
      </c>
    </row>
    <row r="53" spans="1:14" ht="17.25" customHeight="1" x14ac:dyDescent="0.2">
      <c r="A53" s="1877"/>
      <c r="B53" s="1890"/>
      <c r="C53" s="2016"/>
      <c r="D53" s="1996" t="s">
        <v>408</v>
      </c>
      <c r="E53" s="1870"/>
      <c r="F53" s="1873"/>
      <c r="G53" s="54"/>
      <c r="H53" s="54"/>
      <c r="I53" s="177"/>
      <c r="J53" s="54"/>
      <c r="K53" s="1770" t="s">
        <v>143</v>
      </c>
      <c r="L53" s="1789"/>
      <c r="M53" s="1789" t="s">
        <v>400</v>
      </c>
      <c r="N53" s="1790" t="s">
        <v>401</v>
      </c>
    </row>
    <row r="54" spans="1:14" ht="18.75" customHeight="1" x14ac:dyDescent="0.2">
      <c r="A54" s="1877"/>
      <c r="B54" s="1890"/>
      <c r="C54" s="2053"/>
      <c r="D54" s="2029"/>
      <c r="E54" s="1889"/>
      <c r="F54" s="1873"/>
      <c r="G54" s="54"/>
      <c r="H54" s="54"/>
      <c r="I54" s="177"/>
      <c r="J54" s="54"/>
      <c r="K54" s="1770"/>
      <c r="L54" s="1765"/>
      <c r="M54" s="1765"/>
      <c r="N54" s="1788"/>
    </row>
    <row r="55" spans="1:14" ht="27.75" customHeight="1" x14ac:dyDescent="0.2">
      <c r="A55" s="2031"/>
      <c r="B55" s="2032"/>
      <c r="C55" s="2042" t="s">
        <v>410</v>
      </c>
      <c r="D55" s="2046" t="s">
        <v>238</v>
      </c>
      <c r="E55" s="2015" t="s">
        <v>108</v>
      </c>
      <c r="F55" s="2024"/>
      <c r="G55" s="1915"/>
      <c r="H55" s="55"/>
      <c r="I55" s="85"/>
      <c r="J55" s="54"/>
      <c r="K55" s="1904" t="s">
        <v>136</v>
      </c>
      <c r="L55" s="1908">
        <v>2</v>
      </c>
      <c r="M55" s="1906"/>
      <c r="N55" s="337"/>
    </row>
    <row r="56" spans="1:14" ht="30" customHeight="1" x14ac:dyDescent="0.2">
      <c r="A56" s="2031"/>
      <c r="B56" s="2032"/>
      <c r="C56" s="2043"/>
      <c r="D56" s="2047"/>
      <c r="E56" s="2016"/>
      <c r="F56" s="2024"/>
      <c r="G56" s="1915"/>
      <c r="H56" s="55"/>
      <c r="I56" s="85"/>
      <c r="J56" s="54"/>
      <c r="K56" s="38" t="s">
        <v>226</v>
      </c>
      <c r="L56" s="267">
        <v>1</v>
      </c>
      <c r="M56" s="497"/>
      <c r="N56" s="397"/>
    </row>
    <row r="57" spans="1:14" ht="13.5" customHeight="1" x14ac:dyDescent="0.2">
      <c r="A57" s="2031"/>
      <c r="B57" s="2032"/>
      <c r="C57" s="2043"/>
      <c r="D57" s="2047"/>
      <c r="E57" s="2016"/>
      <c r="F57" s="2024"/>
      <c r="G57" s="1915"/>
      <c r="H57" s="55"/>
      <c r="I57" s="85"/>
      <c r="J57" s="54"/>
      <c r="K57" s="2048" t="s">
        <v>246</v>
      </c>
      <c r="L57" s="1909"/>
      <c r="M57" s="159"/>
      <c r="N57" s="262" t="s">
        <v>43</v>
      </c>
    </row>
    <row r="58" spans="1:14" ht="11.25" customHeight="1" x14ac:dyDescent="0.2">
      <c r="A58" s="2031"/>
      <c r="B58" s="2032"/>
      <c r="C58" s="2043"/>
      <c r="D58" s="2047"/>
      <c r="E58" s="1897"/>
      <c r="F58" s="2024"/>
      <c r="G58" s="1915"/>
      <c r="H58" s="55"/>
      <c r="I58" s="69"/>
      <c r="J58" s="54"/>
      <c r="K58" s="2004"/>
      <c r="L58" s="1909"/>
      <c r="M58" s="159"/>
      <c r="N58" s="262"/>
    </row>
    <row r="59" spans="1:14" ht="9" customHeight="1" x14ac:dyDescent="0.2">
      <c r="A59" s="2031"/>
      <c r="B59" s="2032"/>
      <c r="C59" s="2043"/>
      <c r="D59" s="2041"/>
      <c r="E59" s="1896"/>
      <c r="F59" s="2024"/>
      <c r="G59" s="1915"/>
      <c r="H59" s="55"/>
      <c r="I59" s="85"/>
      <c r="J59" s="54"/>
      <c r="K59" s="363"/>
      <c r="L59" s="41"/>
      <c r="M59" s="1907"/>
      <c r="N59" s="340"/>
    </row>
    <row r="60" spans="1:14" ht="13.5" customHeight="1" x14ac:dyDescent="0.2">
      <c r="A60" s="1877"/>
      <c r="B60" s="1878"/>
      <c r="C60" s="2044"/>
      <c r="D60" s="2009" t="s">
        <v>196</v>
      </c>
      <c r="E60" s="2015" t="s">
        <v>108</v>
      </c>
      <c r="F60" s="74"/>
      <c r="G60" s="54"/>
      <c r="H60" s="54"/>
      <c r="I60" s="85"/>
      <c r="J60" s="54"/>
      <c r="K60" s="2007" t="s">
        <v>368</v>
      </c>
      <c r="L60" s="1908">
        <v>1</v>
      </c>
      <c r="M60" s="968"/>
      <c r="N60" s="958"/>
    </row>
    <row r="61" spans="1:14" ht="12.75" customHeight="1" x14ac:dyDescent="0.2">
      <c r="A61" s="1877"/>
      <c r="B61" s="1878"/>
      <c r="C61" s="2044"/>
      <c r="D61" s="2010"/>
      <c r="E61" s="2049"/>
      <c r="F61" s="74"/>
      <c r="G61" s="54"/>
      <c r="H61" s="54"/>
      <c r="I61" s="85"/>
      <c r="J61" s="54"/>
      <c r="K61" s="2004"/>
      <c r="L61" s="1909"/>
      <c r="M61" s="294"/>
      <c r="N61" s="250"/>
    </row>
    <row r="62" spans="1:14" ht="29.25" customHeight="1" x14ac:dyDescent="0.2">
      <c r="A62" s="1877"/>
      <c r="B62" s="1878"/>
      <c r="C62" s="2044"/>
      <c r="D62" s="2021"/>
      <c r="E62" s="2049"/>
      <c r="F62" s="1873"/>
      <c r="G62" s="54"/>
      <c r="H62" s="54"/>
      <c r="I62" s="85"/>
      <c r="J62" s="54"/>
      <c r="K62" s="779" t="s">
        <v>369</v>
      </c>
      <c r="L62" s="780"/>
      <c r="M62" s="780">
        <v>1</v>
      </c>
      <c r="N62" s="781"/>
    </row>
    <row r="63" spans="1:14" ht="15" customHeight="1" x14ac:dyDescent="0.2">
      <c r="A63" s="2031"/>
      <c r="B63" s="2039"/>
      <c r="C63" s="2044"/>
      <c r="D63" s="2009" t="s">
        <v>146</v>
      </c>
      <c r="E63" s="2015" t="s">
        <v>108</v>
      </c>
      <c r="F63" s="2024"/>
      <c r="G63" s="54"/>
      <c r="H63" s="54"/>
      <c r="I63" s="85"/>
      <c r="J63" s="54"/>
      <c r="K63" s="1999" t="s">
        <v>367</v>
      </c>
      <c r="L63" s="385"/>
      <c r="M63" s="598"/>
      <c r="N63" s="386"/>
    </row>
    <row r="64" spans="1:14" ht="11.25" customHeight="1" x14ac:dyDescent="0.2">
      <c r="A64" s="2031"/>
      <c r="B64" s="2039"/>
      <c r="C64" s="2044"/>
      <c r="D64" s="2010"/>
      <c r="E64" s="2049"/>
      <c r="F64" s="2024"/>
      <c r="G64" s="54"/>
      <c r="H64" s="54"/>
      <c r="I64" s="85"/>
      <c r="J64" s="54"/>
      <c r="K64" s="2051"/>
      <c r="L64" s="434"/>
      <c r="M64" s="434"/>
      <c r="N64" s="435"/>
    </row>
    <row r="65" spans="1:14" ht="12.75" customHeight="1" x14ac:dyDescent="0.2">
      <c r="A65" s="2031"/>
      <c r="B65" s="2039"/>
      <c r="C65" s="2045"/>
      <c r="D65" s="2021"/>
      <c r="E65" s="2050"/>
      <c r="F65" s="2024"/>
      <c r="G65" s="54"/>
      <c r="H65" s="1929"/>
      <c r="I65" s="1930"/>
      <c r="J65" s="1929"/>
      <c r="K65" s="1149"/>
      <c r="L65" s="41"/>
      <c r="M65" s="132"/>
      <c r="N65" s="25"/>
    </row>
    <row r="66" spans="1:14" ht="18" customHeight="1" x14ac:dyDescent="0.2">
      <c r="A66" s="1877"/>
      <c r="B66" s="1890"/>
      <c r="C66" s="1879"/>
      <c r="D66" s="2009" t="s">
        <v>200</v>
      </c>
      <c r="E66" s="1239"/>
      <c r="F66" s="1873"/>
      <c r="G66" s="54"/>
      <c r="H66" s="374"/>
      <c r="I66" s="85"/>
      <c r="J66" s="54"/>
      <c r="K66" s="1999" t="s">
        <v>204</v>
      </c>
      <c r="L66" s="1583">
        <v>10</v>
      </c>
      <c r="M66" s="554">
        <v>40</v>
      </c>
      <c r="N66" s="564">
        <v>80</v>
      </c>
    </row>
    <row r="67" spans="1:14" ht="19.5" customHeight="1" x14ac:dyDescent="0.2">
      <c r="A67" s="1877"/>
      <c r="B67" s="1890"/>
      <c r="C67" s="1879"/>
      <c r="D67" s="2018"/>
      <c r="E67" s="531"/>
      <c r="F67" s="1873"/>
      <c r="G67" s="54"/>
      <c r="H67" s="374"/>
      <c r="I67" s="1042"/>
      <c r="J67" s="54"/>
      <c r="K67" s="2037"/>
      <c r="L67" s="1868"/>
      <c r="M67" s="480"/>
      <c r="N67" s="25"/>
    </row>
    <row r="68" spans="1:14" ht="18.75" customHeight="1" x14ac:dyDescent="0.2">
      <c r="A68" s="2038"/>
      <c r="B68" s="2039"/>
      <c r="C68" s="2033"/>
      <c r="D68" s="2009" t="s">
        <v>58</v>
      </c>
      <c r="E68" s="1879"/>
      <c r="F68" s="2024"/>
      <c r="G68" s="54"/>
      <c r="H68" s="54"/>
      <c r="I68" s="85"/>
      <c r="J68" s="54"/>
      <c r="K68" s="1999" t="s">
        <v>144</v>
      </c>
      <c r="L68" s="1867">
        <v>5</v>
      </c>
      <c r="M68" s="479">
        <v>50</v>
      </c>
      <c r="N68" s="958">
        <v>80</v>
      </c>
    </row>
    <row r="69" spans="1:14" ht="12" customHeight="1" x14ac:dyDescent="0.2">
      <c r="A69" s="2038"/>
      <c r="B69" s="2039"/>
      <c r="C69" s="2033"/>
      <c r="D69" s="2010"/>
      <c r="E69" s="1879"/>
      <c r="F69" s="2024"/>
      <c r="G69" s="54"/>
      <c r="H69" s="54"/>
      <c r="I69" s="85"/>
      <c r="J69" s="54"/>
      <c r="K69" s="2004"/>
      <c r="L69" s="1583"/>
      <c r="M69" s="482"/>
      <c r="N69" s="250"/>
    </row>
    <row r="70" spans="1:14" ht="9.75" customHeight="1" x14ac:dyDescent="0.2">
      <c r="A70" s="2038"/>
      <c r="B70" s="2039"/>
      <c r="C70" s="2033"/>
      <c r="D70" s="2021"/>
      <c r="E70" s="1879"/>
      <c r="F70" s="2024"/>
      <c r="G70" s="55"/>
      <c r="H70" s="54"/>
      <c r="I70" s="85"/>
      <c r="J70" s="54"/>
      <c r="K70" s="197"/>
      <c r="L70" s="1868"/>
      <c r="M70" s="480"/>
      <c r="N70" s="25"/>
    </row>
    <row r="71" spans="1:14" ht="15" customHeight="1" x14ac:dyDescent="0.2">
      <c r="A71" s="1877"/>
      <c r="B71" s="1890"/>
      <c r="C71" s="1873"/>
      <c r="D71" s="2002" t="s">
        <v>279</v>
      </c>
      <c r="E71" s="1918" t="s">
        <v>47</v>
      </c>
      <c r="F71" s="2024"/>
      <c r="G71" s="54"/>
      <c r="H71" s="54"/>
      <c r="I71" s="1042"/>
      <c r="J71" s="374"/>
      <c r="K71" s="1886" t="s">
        <v>46</v>
      </c>
      <c r="L71" s="334">
        <v>1</v>
      </c>
      <c r="M71" s="481"/>
      <c r="N71" s="563"/>
    </row>
    <row r="72" spans="1:14" ht="13.5" customHeight="1" x14ac:dyDescent="0.2">
      <c r="A72" s="1877"/>
      <c r="B72" s="1890"/>
      <c r="C72" s="1873"/>
      <c r="D72" s="2040"/>
      <c r="E72" s="1874"/>
      <c r="F72" s="2024"/>
      <c r="G72" s="54"/>
      <c r="H72" s="54"/>
      <c r="I72" s="85"/>
      <c r="J72" s="54"/>
      <c r="K72" s="1885" t="s">
        <v>143</v>
      </c>
      <c r="L72" s="341"/>
      <c r="M72" s="343">
        <v>30</v>
      </c>
      <c r="N72" s="437">
        <v>60</v>
      </c>
    </row>
    <row r="73" spans="1:14" ht="12.75" customHeight="1" x14ac:dyDescent="0.2">
      <c r="A73" s="1877"/>
      <c r="B73" s="1890"/>
      <c r="C73" s="1873"/>
      <c r="D73" s="2040"/>
      <c r="E73" s="1874"/>
      <c r="F73" s="2024"/>
      <c r="G73" s="54"/>
      <c r="H73" s="54"/>
      <c r="I73" s="1042"/>
      <c r="J73" s="374"/>
      <c r="K73" s="1885"/>
      <c r="L73" s="341"/>
      <c r="M73" s="343"/>
      <c r="N73" s="437"/>
    </row>
    <row r="74" spans="1:14" ht="15.75" customHeight="1" x14ac:dyDescent="0.2">
      <c r="A74" s="1877"/>
      <c r="B74" s="1890"/>
      <c r="C74" s="1873"/>
      <c r="D74" s="2041"/>
      <c r="E74" s="1889"/>
      <c r="F74" s="2024"/>
      <c r="G74" s="55"/>
      <c r="H74" s="54"/>
      <c r="I74" s="85"/>
      <c r="J74" s="54"/>
      <c r="K74" s="1887"/>
      <c r="L74" s="342"/>
      <c r="M74" s="389"/>
      <c r="N74" s="349"/>
    </row>
    <row r="75" spans="1:14" ht="16.5" customHeight="1" x14ac:dyDescent="0.2">
      <c r="A75" s="1877"/>
      <c r="B75" s="1890"/>
      <c r="C75" s="1879"/>
      <c r="D75" s="2009" t="s">
        <v>129</v>
      </c>
      <c r="E75" s="2011" t="s">
        <v>370</v>
      </c>
      <c r="F75" s="1873"/>
      <c r="G75" s="69"/>
      <c r="H75" s="54"/>
      <c r="I75" s="85"/>
      <c r="J75" s="54"/>
      <c r="K75" s="963" t="s">
        <v>46</v>
      </c>
      <c r="L75" s="1867">
        <v>1</v>
      </c>
      <c r="M75" s="479"/>
      <c r="N75" s="958"/>
    </row>
    <row r="76" spans="1:14" ht="21" customHeight="1" x14ac:dyDescent="0.2">
      <c r="A76" s="1877"/>
      <c r="B76" s="1890"/>
      <c r="C76" s="1873"/>
      <c r="D76" s="2010"/>
      <c r="E76" s="2019"/>
      <c r="F76" s="1873"/>
      <c r="G76" s="69"/>
      <c r="H76" s="54"/>
      <c r="I76" s="85"/>
      <c r="J76" s="54"/>
      <c r="K76" s="1885"/>
      <c r="L76" s="1583"/>
      <c r="M76" s="482"/>
      <c r="N76" s="250"/>
    </row>
    <row r="77" spans="1:14" ht="16.5" customHeight="1" x14ac:dyDescent="0.2">
      <c r="A77" s="1877"/>
      <c r="B77" s="1890"/>
      <c r="C77" s="1873"/>
      <c r="D77" s="2018"/>
      <c r="E77" s="2020"/>
      <c r="F77" s="1873"/>
      <c r="G77" s="69"/>
      <c r="H77" s="54"/>
      <c r="I77" s="85"/>
      <c r="J77" s="54"/>
      <c r="K77" s="1887"/>
      <c r="L77" s="19"/>
      <c r="M77" s="233"/>
      <c r="N77" s="20"/>
    </row>
    <row r="78" spans="1:14" ht="21.75" customHeight="1" x14ac:dyDescent="0.2">
      <c r="A78" s="1877"/>
      <c r="B78" s="1890"/>
      <c r="C78" s="1873"/>
      <c r="D78" s="2010" t="s">
        <v>274</v>
      </c>
      <c r="E78" s="2022" t="s">
        <v>229</v>
      </c>
      <c r="F78" s="2024"/>
      <c r="G78" s="255"/>
      <c r="H78" s="54"/>
      <c r="I78" s="69"/>
      <c r="J78" s="54"/>
      <c r="K78" s="1999" t="s">
        <v>46</v>
      </c>
      <c r="L78" s="1911">
        <v>1</v>
      </c>
      <c r="M78" s="232"/>
      <c r="N78" s="1913"/>
    </row>
    <row r="79" spans="1:14" ht="17.25" customHeight="1" x14ac:dyDescent="0.2">
      <c r="A79" s="1877"/>
      <c r="B79" s="1890"/>
      <c r="C79" s="1873"/>
      <c r="D79" s="2021"/>
      <c r="E79" s="2023"/>
      <c r="F79" s="2024"/>
      <c r="G79" s="1931"/>
      <c r="H79" s="374"/>
      <c r="I79" s="69"/>
      <c r="J79" s="54"/>
      <c r="K79" s="2025"/>
      <c r="L79" s="19"/>
      <c r="M79" s="233"/>
      <c r="N79" s="20"/>
    </row>
    <row r="80" spans="1:14" ht="17.25" customHeight="1" x14ac:dyDescent="0.2">
      <c r="A80" s="1877"/>
      <c r="B80" s="1878"/>
      <c r="C80" s="74"/>
      <c r="D80" s="2009" t="s">
        <v>199</v>
      </c>
      <c r="E80" s="2011"/>
      <c r="F80" s="2024"/>
      <c r="G80" s="69"/>
      <c r="H80" s="55"/>
      <c r="I80" s="255"/>
      <c r="J80" s="55"/>
      <c r="K80" s="1903" t="s">
        <v>92</v>
      </c>
      <c r="L80" s="334">
        <v>1</v>
      </c>
      <c r="M80" s="961"/>
      <c r="N80" s="1912"/>
    </row>
    <row r="81" spans="1:14" ht="21.75" customHeight="1" x14ac:dyDescent="0.2">
      <c r="A81" s="1877"/>
      <c r="B81" s="1878"/>
      <c r="C81" s="74"/>
      <c r="D81" s="2010"/>
      <c r="E81" s="2023"/>
      <c r="F81" s="2024"/>
      <c r="G81" s="69"/>
      <c r="H81" s="1932"/>
      <c r="I81" s="1934"/>
      <c r="J81" s="1932"/>
      <c r="K81" s="18"/>
      <c r="L81" s="342"/>
      <c r="M81" s="233"/>
      <c r="N81" s="20"/>
    </row>
    <row r="82" spans="1:14" ht="14.25" customHeight="1" x14ac:dyDescent="0.2">
      <c r="A82" s="2031"/>
      <c r="B82" s="2032"/>
      <c r="C82" s="2033"/>
      <c r="D82" s="2009" t="s">
        <v>240</v>
      </c>
      <c r="E82" s="2011"/>
      <c r="F82" s="2034"/>
      <c r="G82" s="40"/>
      <c r="H82" s="54"/>
      <c r="I82" s="69"/>
      <c r="J82" s="54"/>
      <c r="K82" s="1886" t="s">
        <v>46</v>
      </c>
      <c r="L82" s="1910">
        <v>1</v>
      </c>
      <c r="M82" s="961"/>
      <c r="N82" s="1912"/>
    </row>
    <row r="83" spans="1:14" ht="21" customHeight="1" x14ac:dyDescent="0.2">
      <c r="A83" s="2031"/>
      <c r="B83" s="2032"/>
      <c r="C83" s="2033"/>
      <c r="D83" s="2010"/>
      <c r="E83" s="2022"/>
      <c r="F83" s="2034"/>
      <c r="G83" s="69"/>
      <c r="H83" s="54"/>
      <c r="I83" s="69"/>
      <c r="J83" s="54"/>
      <c r="K83" s="2035" t="s">
        <v>135</v>
      </c>
      <c r="L83" s="1911"/>
      <c r="M83" s="232">
        <v>50</v>
      </c>
      <c r="N83" s="1913">
        <v>100</v>
      </c>
    </row>
    <row r="84" spans="1:14" ht="18.75" customHeight="1" x14ac:dyDescent="0.2">
      <c r="A84" s="2031"/>
      <c r="B84" s="2032"/>
      <c r="C84" s="2033"/>
      <c r="D84" s="2021"/>
      <c r="E84" s="2023"/>
      <c r="F84" s="2034"/>
      <c r="G84" s="255"/>
      <c r="H84" s="54"/>
      <c r="I84" s="69"/>
      <c r="J84" s="54"/>
      <c r="K84" s="2036"/>
      <c r="L84" s="19"/>
      <c r="M84" s="233"/>
      <c r="N84" s="20"/>
    </row>
    <row r="85" spans="1:14" ht="15" customHeight="1" x14ac:dyDescent="0.2">
      <c r="A85" s="1877"/>
      <c r="B85" s="1890"/>
      <c r="C85" s="1879"/>
      <c r="D85" s="2002" t="s">
        <v>221</v>
      </c>
      <c r="E85" s="89"/>
      <c r="F85" s="1873"/>
      <c r="G85" s="69"/>
      <c r="H85" s="54"/>
      <c r="I85" s="69"/>
      <c r="J85" s="54"/>
      <c r="K85" s="963" t="s">
        <v>46</v>
      </c>
      <c r="L85" s="411"/>
      <c r="M85" s="2026">
        <v>1</v>
      </c>
      <c r="N85" s="250"/>
    </row>
    <row r="86" spans="1:14" ht="12.75" customHeight="1" x14ac:dyDescent="0.2">
      <c r="A86" s="1877"/>
      <c r="B86" s="1890"/>
      <c r="C86" s="1879"/>
      <c r="D86" s="2017"/>
      <c r="E86" s="410"/>
      <c r="F86" s="1873"/>
      <c r="G86" s="69"/>
      <c r="H86" s="54"/>
      <c r="I86" s="69"/>
      <c r="J86" s="54"/>
      <c r="K86" s="1242"/>
      <c r="L86" s="1868"/>
      <c r="M86" s="2027"/>
      <c r="N86" s="25"/>
    </row>
    <row r="87" spans="1:14" ht="17.25" customHeight="1" x14ac:dyDescent="0.2">
      <c r="A87" s="1877"/>
      <c r="B87" s="1878"/>
      <c r="C87" s="172"/>
      <c r="D87" s="2028" t="s">
        <v>202</v>
      </c>
      <c r="E87" s="1243" t="s">
        <v>229</v>
      </c>
      <c r="F87" s="1873"/>
      <c r="G87" s="69"/>
      <c r="H87" s="54"/>
      <c r="I87" s="139"/>
      <c r="J87" s="137"/>
      <c r="K87" s="1885" t="s">
        <v>46</v>
      </c>
      <c r="L87" s="1909">
        <v>1</v>
      </c>
      <c r="M87" s="1909"/>
      <c r="N87" s="1913"/>
    </row>
    <row r="88" spans="1:14" ht="18" customHeight="1" x14ac:dyDescent="0.2">
      <c r="A88" s="1877"/>
      <c r="B88" s="1878"/>
      <c r="C88" s="79"/>
      <c r="D88" s="2029"/>
      <c r="E88" s="593"/>
      <c r="F88" s="1873"/>
      <c r="G88" s="69"/>
      <c r="H88" s="137"/>
      <c r="I88" s="139"/>
      <c r="J88" s="137"/>
      <c r="K88" s="167"/>
      <c r="L88" s="41"/>
      <c r="M88" s="41"/>
      <c r="N88" s="20"/>
    </row>
    <row r="89" spans="1:14" ht="13.5" customHeight="1" x14ac:dyDescent="0.2">
      <c r="A89" s="1877"/>
      <c r="B89" s="1878"/>
      <c r="C89" s="1879"/>
      <c r="D89" s="1996" t="s">
        <v>198</v>
      </c>
      <c r="E89" s="1870" t="s">
        <v>47</v>
      </c>
      <c r="F89" s="2024"/>
      <c r="G89" s="69"/>
      <c r="H89" s="54"/>
      <c r="I89" s="69"/>
      <c r="J89" s="54"/>
      <c r="K89" s="1885" t="s">
        <v>46</v>
      </c>
      <c r="L89" s="1911"/>
      <c r="M89" s="232"/>
      <c r="N89" s="1913">
        <v>1</v>
      </c>
    </row>
    <row r="90" spans="1:14" ht="9.75" customHeight="1" x14ac:dyDescent="0.2">
      <c r="A90" s="1877"/>
      <c r="B90" s="1878"/>
      <c r="C90" s="1879"/>
      <c r="D90" s="2029"/>
      <c r="E90" s="1889"/>
      <c r="F90" s="2024"/>
      <c r="G90" s="69"/>
      <c r="H90" s="54"/>
      <c r="I90" s="69"/>
      <c r="J90" s="54"/>
      <c r="K90" s="1887"/>
      <c r="L90" s="19"/>
      <c r="M90" s="233"/>
      <c r="N90" s="20"/>
    </row>
    <row r="91" spans="1:14" ht="16.5" customHeight="1" x14ac:dyDescent="0.2">
      <c r="A91" s="1877"/>
      <c r="B91" s="1878"/>
      <c r="C91" s="74"/>
      <c r="D91" s="2009" t="s">
        <v>184</v>
      </c>
      <c r="E91" s="2011" t="s">
        <v>47</v>
      </c>
      <c r="F91" s="2024"/>
      <c r="G91" s="69"/>
      <c r="H91" s="55"/>
      <c r="I91" s="255"/>
      <c r="J91" s="55"/>
      <c r="K91" s="604" t="s">
        <v>92</v>
      </c>
      <c r="L91" s="1911"/>
      <c r="M91" s="232">
        <v>1</v>
      </c>
      <c r="N91" s="1913"/>
    </row>
    <row r="92" spans="1:14" ht="17.25" customHeight="1" x14ac:dyDescent="0.2">
      <c r="A92" s="1877"/>
      <c r="B92" s="1890"/>
      <c r="C92" s="1879"/>
      <c r="D92" s="2021"/>
      <c r="E92" s="2023"/>
      <c r="F92" s="2024"/>
      <c r="G92" s="1933"/>
      <c r="H92" s="54"/>
      <c r="I92" s="69"/>
      <c r="J92" s="54"/>
      <c r="K92" s="18"/>
      <c r="L92" s="19"/>
      <c r="M92" s="233"/>
      <c r="N92" s="20"/>
    </row>
    <row r="93" spans="1:14" ht="17.25" customHeight="1" x14ac:dyDescent="0.2">
      <c r="A93" s="1877"/>
      <c r="B93" s="1890"/>
      <c r="C93" s="1879"/>
      <c r="D93" s="2002" t="s">
        <v>403</v>
      </c>
      <c r="E93" s="2011"/>
      <c r="F93" s="1873"/>
      <c r="G93" s="69"/>
      <c r="H93" s="54"/>
      <c r="I93" s="1736"/>
      <c r="J93" s="54"/>
      <c r="K93" s="1269" t="s">
        <v>92</v>
      </c>
      <c r="L93" s="1916"/>
      <c r="M93" s="1917">
        <v>1</v>
      </c>
      <c r="N93" s="1913"/>
    </row>
    <row r="94" spans="1:14" ht="21" customHeight="1" x14ac:dyDescent="0.2">
      <c r="A94" s="1877"/>
      <c r="B94" s="1890"/>
      <c r="C94" s="1879"/>
      <c r="D94" s="2030"/>
      <c r="E94" s="2023"/>
      <c r="F94" s="1873"/>
      <c r="G94" s="1933"/>
      <c r="H94" s="54"/>
      <c r="I94" s="105"/>
      <c r="J94" s="54"/>
      <c r="K94" s="18"/>
      <c r="L94" s="1911"/>
      <c r="M94" s="232"/>
      <c r="N94" s="1913"/>
    </row>
    <row r="95" spans="1:14" ht="13.5" customHeight="1" x14ac:dyDescent="0.2">
      <c r="A95" s="1877"/>
      <c r="B95" s="1890"/>
      <c r="C95" s="79"/>
      <c r="D95" s="1996" t="s">
        <v>375</v>
      </c>
      <c r="E95" s="1884"/>
      <c r="F95" s="1879"/>
      <c r="G95" s="69"/>
      <c r="H95" s="54"/>
      <c r="I95" s="69"/>
      <c r="J95" s="54"/>
      <c r="K95" s="1999" t="s">
        <v>132</v>
      </c>
      <c r="L95" s="1910">
        <v>100</v>
      </c>
      <c r="M95" s="961">
        <v>100</v>
      </c>
      <c r="N95" s="1912">
        <v>100</v>
      </c>
    </row>
    <row r="96" spans="1:14" ht="16.5" customHeight="1" x14ac:dyDescent="0.2">
      <c r="A96" s="1877"/>
      <c r="B96" s="1890"/>
      <c r="C96" s="79"/>
      <c r="D96" s="1997"/>
      <c r="E96" s="1880"/>
      <c r="F96" s="1873"/>
      <c r="G96" s="69"/>
      <c r="H96" s="54"/>
      <c r="I96" s="69"/>
      <c r="J96" s="54"/>
      <c r="K96" s="2000"/>
      <c r="L96" s="1911"/>
      <c r="M96" s="232"/>
      <c r="N96" s="1913"/>
    </row>
    <row r="97" spans="1:14" s="8" customFormat="1" ht="42.75" customHeight="1" x14ac:dyDescent="0.2">
      <c r="A97" s="1877"/>
      <c r="B97" s="1890"/>
      <c r="C97" s="1879"/>
      <c r="D97" s="1998"/>
      <c r="E97" s="1880"/>
      <c r="F97" s="1873"/>
      <c r="G97" s="561"/>
      <c r="H97" s="260"/>
      <c r="I97" s="505"/>
      <c r="J97" s="260"/>
      <c r="K97" s="2001"/>
      <c r="L97" s="1924"/>
      <c r="M97" s="1925"/>
      <c r="N97" s="1926"/>
    </row>
    <row r="98" spans="1:14" ht="16.5" customHeight="1" thickBot="1" x14ac:dyDescent="0.25">
      <c r="A98" s="58"/>
      <c r="B98" s="1882"/>
      <c r="C98" s="81"/>
      <c r="D98" s="1899"/>
      <c r="E98" s="592"/>
      <c r="F98" s="81"/>
      <c r="G98" s="165" t="s">
        <v>6</v>
      </c>
      <c r="H98" s="165">
        <f>SUM(H16:H25)</f>
        <v>9834</v>
      </c>
      <c r="I98" s="165">
        <f>SUM(I16:I25)</f>
        <v>23552.7</v>
      </c>
      <c r="J98" s="165">
        <f>SUM(J16:J25)</f>
        <v>15694.5</v>
      </c>
      <c r="K98" s="1608"/>
      <c r="L98" s="1609"/>
      <c r="M98" s="393"/>
      <c r="N98" s="1610"/>
    </row>
    <row r="99" spans="1:14" ht="17.25" customHeight="1" thickBot="1" x14ac:dyDescent="0.25">
      <c r="A99" s="64" t="s">
        <v>5</v>
      </c>
      <c r="B99" s="207" t="s">
        <v>5</v>
      </c>
      <c r="C99" s="2188" t="s">
        <v>8</v>
      </c>
      <c r="D99" s="2160"/>
      <c r="E99" s="2160"/>
      <c r="F99" s="2160"/>
      <c r="G99" s="2161"/>
      <c r="H99" s="261">
        <f>H98</f>
        <v>9834</v>
      </c>
      <c r="I99" s="114">
        <f t="shared" ref="I99:J99" si="0">I98</f>
        <v>23552.7</v>
      </c>
      <c r="J99" s="975">
        <f t="shared" si="0"/>
        <v>15694.5</v>
      </c>
      <c r="K99" s="1891"/>
      <c r="L99" s="1891"/>
      <c r="M99" s="1891"/>
      <c r="N99" s="1892"/>
    </row>
    <row r="100" spans="1:14" ht="17.25" customHeight="1" thickBot="1" x14ac:dyDescent="0.25">
      <c r="A100" s="64" t="s">
        <v>5</v>
      </c>
      <c r="B100" s="207" t="s">
        <v>7</v>
      </c>
      <c r="C100" s="2164" t="s">
        <v>32</v>
      </c>
      <c r="D100" s="2165"/>
      <c r="E100" s="2165"/>
      <c r="F100" s="2165"/>
      <c r="G100" s="2165"/>
      <c r="H100" s="2165"/>
      <c r="I100" s="2165"/>
      <c r="J100" s="2165"/>
      <c r="K100" s="2165"/>
      <c r="L100" s="2165"/>
      <c r="M100" s="2165"/>
      <c r="N100" s="2166"/>
    </row>
    <row r="101" spans="1:14" ht="15" customHeight="1" x14ac:dyDescent="0.2">
      <c r="A101" s="1881" t="s">
        <v>5</v>
      </c>
      <c r="B101" s="206" t="s">
        <v>7</v>
      </c>
      <c r="C101" s="967" t="s">
        <v>5</v>
      </c>
      <c r="D101" s="173" t="s">
        <v>56</v>
      </c>
      <c r="E101" s="2192" t="s">
        <v>112</v>
      </c>
      <c r="F101" s="1883">
        <v>6</v>
      </c>
      <c r="G101" s="170" t="s">
        <v>25</v>
      </c>
      <c r="H101" s="147">
        <f>5098.3-2062.6+118.8+31.2-5</f>
        <v>3180.7</v>
      </c>
      <c r="I101" s="170">
        <f>5248-99+5+194+93.4</f>
        <v>5441.4</v>
      </c>
      <c r="J101" s="170">
        <f>5151.4+93.4+194</f>
        <v>5438.8</v>
      </c>
      <c r="K101" s="886"/>
      <c r="L101" s="889"/>
      <c r="M101" s="890"/>
      <c r="N101" s="891"/>
    </row>
    <row r="102" spans="1:14" ht="13.5" customHeight="1" x14ac:dyDescent="0.2">
      <c r="A102" s="1877"/>
      <c r="B102" s="1890"/>
      <c r="C102" s="1879"/>
      <c r="D102" s="269"/>
      <c r="E102" s="2193"/>
      <c r="F102" s="1875"/>
      <c r="G102" s="69" t="s">
        <v>60</v>
      </c>
      <c r="H102" s="54">
        <v>2062.6</v>
      </c>
      <c r="I102" s="69"/>
      <c r="J102" s="69"/>
      <c r="K102" s="139"/>
      <c r="L102" s="138"/>
      <c r="M102" s="387"/>
      <c r="N102" s="406"/>
    </row>
    <row r="103" spans="1:14" ht="16.5" customHeight="1" x14ac:dyDescent="0.2">
      <c r="A103" s="1877"/>
      <c r="B103" s="1890"/>
      <c r="C103" s="1879"/>
      <c r="D103" s="269"/>
      <c r="E103" s="2193"/>
      <c r="F103" s="1873"/>
      <c r="G103" s="69" t="s">
        <v>68</v>
      </c>
      <c r="H103" s="54">
        <v>198.7</v>
      </c>
      <c r="I103" s="69">
        <v>295.7</v>
      </c>
      <c r="J103" s="69">
        <v>107</v>
      </c>
      <c r="K103" s="139"/>
      <c r="L103" s="138"/>
      <c r="M103" s="387"/>
      <c r="N103" s="406"/>
    </row>
    <row r="104" spans="1:14" ht="24.75" customHeight="1" x14ac:dyDescent="0.2">
      <c r="A104" s="1877"/>
      <c r="B104" s="1890"/>
      <c r="C104" s="1879"/>
      <c r="D104" s="270"/>
      <c r="E104" s="2194"/>
      <c r="F104" s="1104"/>
      <c r="G104" s="72" t="s">
        <v>75</v>
      </c>
      <c r="H104" s="791">
        <f>350+55+139.1</f>
        <v>544.1</v>
      </c>
      <c r="I104" s="72"/>
      <c r="J104" s="72"/>
      <c r="K104" s="163"/>
      <c r="L104" s="162"/>
      <c r="M104" s="388"/>
      <c r="N104" s="892"/>
    </row>
    <row r="105" spans="1:14" ht="14.25" customHeight="1" x14ac:dyDescent="0.2">
      <c r="A105" s="1566"/>
      <c r="B105" s="1581"/>
      <c r="C105" s="1567"/>
      <c r="D105" s="1571" t="s">
        <v>52</v>
      </c>
      <c r="E105" s="1587"/>
      <c r="F105" s="1570"/>
      <c r="G105" s="68"/>
      <c r="H105" s="893"/>
      <c r="I105" s="894"/>
      <c r="J105" s="894"/>
      <c r="K105" s="888"/>
      <c r="L105" s="138"/>
      <c r="M105" s="387"/>
      <c r="N105" s="406"/>
    </row>
    <row r="106" spans="1:14" ht="15.75" customHeight="1" x14ac:dyDescent="0.2">
      <c r="A106" s="1566"/>
      <c r="B106" s="1581"/>
      <c r="C106" s="1567"/>
      <c r="D106" s="2189" t="s">
        <v>78</v>
      </c>
      <c r="E106" s="1587"/>
      <c r="F106" s="1567"/>
      <c r="G106" s="69"/>
      <c r="H106" s="54"/>
      <c r="I106" s="105"/>
      <c r="J106" s="105"/>
      <c r="K106" s="1573" t="s">
        <v>41</v>
      </c>
      <c r="L106" s="177">
        <v>6</v>
      </c>
      <c r="M106" s="177">
        <v>6</v>
      </c>
      <c r="N106" s="34">
        <v>6</v>
      </c>
    </row>
    <row r="107" spans="1:14" ht="14.25" customHeight="1" x14ac:dyDescent="0.2">
      <c r="A107" s="1566"/>
      <c r="B107" s="1581"/>
      <c r="C107" s="1567"/>
      <c r="D107" s="2189"/>
      <c r="E107" s="1580"/>
      <c r="F107" s="1567"/>
      <c r="G107" s="69"/>
      <c r="H107" s="54"/>
      <c r="I107" s="105"/>
      <c r="J107" s="105"/>
      <c r="K107" s="1029"/>
      <c r="L107" s="525"/>
      <c r="M107" s="242"/>
      <c r="N107" s="552"/>
    </row>
    <row r="108" spans="1:14" ht="26.25" customHeight="1" x14ac:dyDescent="0.2">
      <c r="A108" s="1566"/>
      <c r="B108" s="1581"/>
      <c r="C108" s="1567"/>
      <c r="D108" s="1120" t="s">
        <v>79</v>
      </c>
      <c r="E108" s="1580"/>
      <c r="F108" s="1567"/>
      <c r="G108" s="69"/>
      <c r="H108" s="54"/>
      <c r="I108" s="105"/>
      <c r="J108" s="69"/>
      <c r="K108" s="71" t="s">
        <v>350</v>
      </c>
      <c r="L108" s="153">
        <v>2</v>
      </c>
      <c r="M108" s="992">
        <v>2</v>
      </c>
      <c r="N108" s="571">
        <v>2</v>
      </c>
    </row>
    <row r="109" spans="1:14" ht="16.5" customHeight="1" x14ac:dyDescent="0.2">
      <c r="A109" s="1566"/>
      <c r="B109" s="1581"/>
      <c r="C109" s="1567"/>
      <c r="D109" s="1110"/>
      <c r="E109" s="1580"/>
      <c r="F109" s="1567"/>
      <c r="G109" s="69"/>
      <c r="H109" s="54"/>
      <c r="I109" s="105"/>
      <c r="J109" s="54"/>
      <c r="K109" s="1029" t="s">
        <v>137</v>
      </c>
      <c r="L109" s="28">
        <v>4</v>
      </c>
      <c r="M109" s="484">
        <v>4</v>
      </c>
      <c r="N109" s="29">
        <v>4</v>
      </c>
    </row>
    <row r="110" spans="1:14" ht="26.25" customHeight="1" x14ac:dyDescent="0.2">
      <c r="A110" s="1566"/>
      <c r="B110" s="1581"/>
      <c r="C110" s="1567"/>
      <c r="D110" s="223" t="s">
        <v>80</v>
      </c>
      <c r="E110" s="1580"/>
      <c r="F110" s="1567"/>
      <c r="G110" s="68"/>
      <c r="H110" s="54"/>
      <c r="I110" s="105"/>
      <c r="J110" s="54"/>
      <c r="K110" s="1029" t="s">
        <v>138</v>
      </c>
      <c r="L110" s="153">
        <v>24.8</v>
      </c>
      <c r="M110" s="327">
        <v>24.8</v>
      </c>
      <c r="N110" s="571">
        <v>24.8</v>
      </c>
    </row>
    <row r="111" spans="1:14" ht="21.75" customHeight="1" x14ac:dyDescent="0.2">
      <c r="A111" s="1566"/>
      <c r="B111" s="1581"/>
      <c r="C111" s="1567"/>
      <c r="D111" s="2190" t="s">
        <v>128</v>
      </c>
      <c r="E111" s="1580"/>
      <c r="F111" s="1567"/>
      <c r="G111" s="69"/>
      <c r="H111" s="54"/>
      <c r="I111" s="105"/>
      <c r="J111" s="105"/>
      <c r="K111" s="2048" t="s">
        <v>304</v>
      </c>
      <c r="L111" s="384">
        <v>6</v>
      </c>
      <c r="M111" s="383">
        <v>3</v>
      </c>
      <c r="N111" s="164">
        <v>3</v>
      </c>
    </row>
    <row r="112" spans="1:14" ht="15.75" customHeight="1" x14ac:dyDescent="0.2">
      <c r="A112" s="1566"/>
      <c r="B112" s="1581"/>
      <c r="C112" s="1567"/>
      <c r="D112" s="2191"/>
      <c r="E112" s="1587"/>
      <c r="F112" s="1567"/>
      <c r="G112" s="69"/>
      <c r="H112" s="54"/>
      <c r="I112" s="69"/>
      <c r="J112" s="69"/>
      <c r="K112" s="2025"/>
      <c r="L112" s="41"/>
      <c r="M112" s="19"/>
      <c r="N112" s="1594"/>
    </row>
    <row r="113" spans="1:14" ht="14.25" customHeight="1" x14ac:dyDescent="0.2">
      <c r="A113" s="1566"/>
      <c r="B113" s="1581"/>
      <c r="C113" s="1567"/>
      <c r="D113" s="213" t="s">
        <v>154</v>
      </c>
      <c r="E113" s="1587"/>
      <c r="F113" s="1567"/>
      <c r="G113" s="122"/>
      <c r="H113" s="887"/>
      <c r="I113" s="117"/>
      <c r="J113" s="117"/>
      <c r="K113" s="1573"/>
      <c r="L113" s="159"/>
      <c r="M113" s="373"/>
      <c r="N113" s="238"/>
    </row>
    <row r="114" spans="1:14" ht="52.5" customHeight="1" x14ac:dyDescent="0.2">
      <c r="A114" s="1566"/>
      <c r="B114" s="1581"/>
      <c r="C114" s="1567"/>
      <c r="D114" s="214" t="s">
        <v>155</v>
      </c>
      <c r="E114" s="1587"/>
      <c r="F114" s="1567"/>
      <c r="G114" s="69"/>
      <c r="H114" s="54"/>
      <c r="I114" s="105"/>
      <c r="J114" s="54"/>
      <c r="K114" s="38" t="s">
        <v>151</v>
      </c>
      <c r="L114" s="240">
        <v>21</v>
      </c>
      <c r="M114" s="267">
        <v>21</v>
      </c>
      <c r="N114" s="552">
        <v>21</v>
      </c>
    </row>
    <row r="115" spans="1:14" ht="22.5" customHeight="1" x14ac:dyDescent="0.2">
      <c r="A115" s="1566"/>
      <c r="B115" s="1581"/>
      <c r="C115" s="1567"/>
      <c r="D115" s="2199" t="s">
        <v>156</v>
      </c>
      <c r="E115" s="1587"/>
      <c r="F115" s="1567"/>
      <c r="G115" s="69"/>
      <c r="H115" s="54"/>
      <c r="I115" s="105"/>
      <c r="J115" s="105"/>
      <c r="K115" s="2201" t="s">
        <v>206</v>
      </c>
      <c r="L115" s="239">
        <v>18</v>
      </c>
      <c r="M115" s="1590">
        <v>18</v>
      </c>
      <c r="N115" s="1594">
        <v>18</v>
      </c>
    </row>
    <row r="116" spans="1:14" ht="21" customHeight="1" x14ac:dyDescent="0.2">
      <c r="A116" s="1566"/>
      <c r="B116" s="1581"/>
      <c r="C116" s="1567"/>
      <c r="D116" s="2200"/>
      <c r="E116" s="1587"/>
      <c r="F116" s="1567"/>
      <c r="G116" s="72"/>
      <c r="H116" s="791"/>
      <c r="I116" s="106"/>
      <c r="J116" s="106"/>
      <c r="K116" s="2037"/>
      <c r="L116" s="237"/>
      <c r="M116" s="41"/>
      <c r="N116" s="20"/>
    </row>
    <row r="117" spans="1:14" ht="18" customHeight="1" x14ac:dyDescent="0.2">
      <c r="A117" s="2031"/>
      <c r="B117" s="2039"/>
      <c r="C117" s="2033"/>
      <c r="D117" s="1996" t="s">
        <v>42</v>
      </c>
      <c r="E117" s="2022"/>
      <c r="F117" s="2033"/>
      <c r="G117" s="69"/>
      <c r="H117" s="54"/>
      <c r="I117" s="105"/>
      <c r="J117" s="105"/>
      <c r="K117" s="2185" t="s">
        <v>54</v>
      </c>
      <c r="L117" s="2202">
        <v>7</v>
      </c>
      <c r="M117" s="2204">
        <v>7</v>
      </c>
      <c r="N117" s="2206">
        <v>7</v>
      </c>
    </row>
    <row r="118" spans="1:14" ht="15" customHeight="1" x14ac:dyDescent="0.2">
      <c r="A118" s="2031"/>
      <c r="B118" s="2039"/>
      <c r="C118" s="2033"/>
      <c r="D118" s="2029"/>
      <c r="E118" s="2022"/>
      <c r="F118" s="2033"/>
      <c r="G118" s="72"/>
      <c r="H118" s="791"/>
      <c r="I118" s="106"/>
      <c r="J118" s="106"/>
      <c r="K118" s="2186"/>
      <c r="L118" s="2203"/>
      <c r="M118" s="2205"/>
      <c r="N118" s="2207"/>
    </row>
    <row r="119" spans="1:14" ht="15" customHeight="1" x14ac:dyDescent="0.2">
      <c r="A119" s="2031"/>
      <c r="B119" s="2032"/>
      <c r="C119" s="2033"/>
      <c r="D119" s="2174" t="s">
        <v>295</v>
      </c>
      <c r="E119" s="2187"/>
      <c r="F119" s="2024"/>
      <c r="G119" s="73"/>
      <c r="H119" s="790"/>
      <c r="I119" s="104"/>
      <c r="J119" s="790"/>
      <c r="K119" s="1574" t="s">
        <v>174</v>
      </c>
      <c r="L119" s="961"/>
      <c r="M119" s="1589"/>
      <c r="N119" s="1593"/>
    </row>
    <row r="120" spans="1:14" ht="15" customHeight="1" x14ac:dyDescent="0.2">
      <c r="A120" s="2031"/>
      <c r="B120" s="2032"/>
      <c r="C120" s="2033"/>
      <c r="D120" s="2110"/>
      <c r="E120" s="2187"/>
      <c r="F120" s="2024"/>
      <c r="G120" s="69"/>
      <c r="H120" s="54"/>
      <c r="I120" s="105"/>
      <c r="J120" s="54"/>
      <c r="K120" s="1573" t="s">
        <v>318</v>
      </c>
      <c r="L120" s="232">
        <v>1</v>
      </c>
      <c r="M120" s="1590">
        <v>1</v>
      </c>
      <c r="N120" s="1594">
        <v>1</v>
      </c>
    </row>
    <row r="121" spans="1:14" ht="25.5" customHeight="1" x14ac:dyDescent="0.2">
      <c r="A121" s="2031"/>
      <c r="B121" s="2032"/>
      <c r="C121" s="2033"/>
      <c r="D121" s="2110"/>
      <c r="E121" s="2187"/>
      <c r="F121" s="2024"/>
      <c r="G121" s="69"/>
      <c r="H121" s="54"/>
      <c r="I121" s="69"/>
      <c r="J121" s="54"/>
      <c r="K121" s="1573" t="s">
        <v>317</v>
      </c>
      <c r="L121" s="232">
        <v>1</v>
      </c>
      <c r="M121" s="1590">
        <v>1</v>
      </c>
      <c r="N121" s="1594">
        <v>1</v>
      </c>
    </row>
    <row r="122" spans="1:14" ht="12.75" customHeight="1" x14ac:dyDescent="0.2">
      <c r="A122" s="1566"/>
      <c r="B122" s="1581"/>
      <c r="C122" s="1567"/>
      <c r="D122" s="1571"/>
      <c r="E122" s="1580"/>
      <c r="F122" s="1576"/>
      <c r="G122" s="69"/>
      <c r="H122" s="54"/>
      <c r="I122" s="85"/>
      <c r="J122" s="54"/>
      <c r="K122" s="1573" t="s">
        <v>249</v>
      </c>
      <c r="L122" s="232">
        <v>1</v>
      </c>
      <c r="M122" s="1590">
        <v>1</v>
      </c>
      <c r="N122" s="1594"/>
    </row>
    <row r="123" spans="1:14" ht="15" customHeight="1" x14ac:dyDescent="0.2">
      <c r="A123" s="1566"/>
      <c r="B123" s="1581"/>
      <c r="C123" s="1567"/>
      <c r="D123" s="1571"/>
      <c r="E123" s="1587"/>
      <c r="F123" s="1576"/>
      <c r="G123" s="69"/>
      <c r="H123" s="54"/>
      <c r="I123" s="85"/>
      <c r="J123" s="54"/>
      <c r="K123" s="1573" t="s">
        <v>248</v>
      </c>
      <c r="L123" s="232">
        <v>1</v>
      </c>
      <c r="M123" s="1590">
        <v>1</v>
      </c>
      <c r="N123" s="1594">
        <v>1</v>
      </c>
    </row>
    <row r="124" spans="1:14" ht="16.5" customHeight="1" x14ac:dyDescent="0.2">
      <c r="A124" s="1939"/>
      <c r="B124" s="1940"/>
      <c r="C124" s="1941"/>
      <c r="D124" s="1948"/>
      <c r="E124" s="1947"/>
      <c r="F124" s="1936"/>
      <c r="G124" s="69"/>
      <c r="H124" s="54"/>
      <c r="I124" s="85"/>
      <c r="J124" s="54"/>
      <c r="K124" s="1935" t="s">
        <v>414</v>
      </c>
      <c r="L124" s="232"/>
      <c r="M124" s="1961">
        <v>1</v>
      </c>
      <c r="N124" s="1961">
        <v>1</v>
      </c>
    </row>
    <row r="125" spans="1:14" ht="22.5" customHeight="1" x14ac:dyDescent="0.2">
      <c r="A125" s="2031"/>
      <c r="B125" s="2032"/>
      <c r="C125" s="2033"/>
      <c r="D125" s="1996" t="s">
        <v>126</v>
      </c>
      <c r="E125" s="2011" t="s">
        <v>302</v>
      </c>
      <c r="F125" s="2024"/>
      <c r="G125" s="73"/>
      <c r="H125" s="790"/>
      <c r="I125" s="99"/>
      <c r="J125" s="790"/>
      <c r="K125" s="1584" t="s">
        <v>250</v>
      </c>
      <c r="L125" s="1977">
        <v>205</v>
      </c>
      <c r="M125" s="1978"/>
      <c r="N125" s="441"/>
    </row>
    <row r="126" spans="1:14" ht="26.25" customHeight="1" x14ac:dyDescent="0.2">
      <c r="A126" s="2031"/>
      <c r="B126" s="2032"/>
      <c r="C126" s="2033"/>
      <c r="D126" s="2029"/>
      <c r="E126" s="2023"/>
      <c r="F126" s="2024"/>
      <c r="G126" s="72"/>
      <c r="H126" s="791"/>
      <c r="I126" s="72"/>
      <c r="J126" s="791"/>
      <c r="K126" s="1575" t="s">
        <v>251</v>
      </c>
      <c r="L126" s="883">
        <f>65+18</f>
        <v>83</v>
      </c>
      <c r="M126" s="884">
        <v>100</v>
      </c>
      <c r="N126" s="442"/>
    </row>
    <row r="127" spans="1:14" ht="19.5" customHeight="1" x14ac:dyDescent="0.2">
      <c r="A127" s="1585"/>
      <c r="B127" s="1581"/>
      <c r="C127" s="172"/>
      <c r="D127" s="2110" t="s">
        <v>190</v>
      </c>
      <c r="E127" s="1578"/>
      <c r="F127" s="1576"/>
      <c r="G127" s="69"/>
      <c r="H127" s="54"/>
      <c r="I127" s="69"/>
      <c r="J127" s="54"/>
      <c r="K127" s="1579" t="s">
        <v>191</v>
      </c>
      <c r="L127" s="199">
        <v>1</v>
      </c>
      <c r="M127" s="332"/>
      <c r="N127" s="1588"/>
    </row>
    <row r="128" spans="1:14" ht="15" customHeight="1" x14ac:dyDescent="0.2">
      <c r="A128" s="1585"/>
      <c r="B128" s="1581"/>
      <c r="C128" s="172"/>
      <c r="D128" s="2110"/>
      <c r="E128" s="1578"/>
      <c r="F128" s="1576"/>
      <c r="G128" s="72"/>
      <c r="H128" s="791"/>
      <c r="I128" s="106"/>
      <c r="J128" s="106"/>
      <c r="K128" s="1579"/>
      <c r="L128" s="248"/>
      <c r="M128" s="232"/>
      <c r="N128" s="1594"/>
    </row>
    <row r="129" spans="1:14" ht="16.5" customHeight="1" thickBot="1" x14ac:dyDescent="0.25">
      <c r="A129" s="58"/>
      <c r="B129" s="1569"/>
      <c r="C129" s="81"/>
      <c r="D129" s="181"/>
      <c r="E129" s="592"/>
      <c r="F129" s="81"/>
      <c r="G129" s="143" t="s">
        <v>6</v>
      </c>
      <c r="H129" s="75">
        <f>SUM(H101:H128)</f>
        <v>5986.1</v>
      </c>
      <c r="I129" s="75">
        <f>SUM(I101:I128)</f>
        <v>5737.1</v>
      </c>
      <c r="J129" s="75">
        <f>SUM(J101:J128)</f>
        <v>5545.8</v>
      </c>
      <c r="K129" s="572"/>
      <c r="L129" s="149"/>
      <c r="M129" s="485"/>
      <c r="N129" s="403"/>
    </row>
    <row r="130" spans="1:14" ht="27.75" customHeight="1" x14ac:dyDescent="0.2">
      <c r="A130" s="1093" t="s">
        <v>5</v>
      </c>
      <c r="B130" s="1094" t="s">
        <v>7</v>
      </c>
      <c r="C130" s="1097" t="s">
        <v>7</v>
      </c>
      <c r="D130" s="731" t="s">
        <v>270</v>
      </c>
      <c r="E130" s="722"/>
      <c r="F130" s="725"/>
      <c r="G130" s="60"/>
      <c r="H130" s="77"/>
      <c r="I130" s="726"/>
      <c r="J130" s="56"/>
      <c r="K130" s="727"/>
      <c r="L130" s="728"/>
      <c r="M130" s="729"/>
      <c r="N130" s="730"/>
    </row>
    <row r="131" spans="1:14" ht="14.25" customHeight="1" x14ac:dyDescent="0.2">
      <c r="A131" s="1090"/>
      <c r="B131" s="1091"/>
      <c r="C131" s="172"/>
      <c r="D131" s="1996" t="s">
        <v>119</v>
      </c>
      <c r="E131" s="2011" t="s">
        <v>228</v>
      </c>
      <c r="F131" s="1100">
        <v>6</v>
      </c>
      <c r="G131" s="73" t="s">
        <v>68</v>
      </c>
      <c r="H131" s="790">
        <f>33.4+48</f>
        <v>81.400000000000006</v>
      </c>
      <c r="I131" s="790">
        <v>80</v>
      </c>
      <c r="J131" s="790"/>
      <c r="K131" s="1099" t="s">
        <v>193</v>
      </c>
      <c r="L131" s="1101">
        <v>8</v>
      </c>
      <c r="M131" s="1101">
        <v>5</v>
      </c>
      <c r="N131" s="1102"/>
    </row>
    <row r="132" spans="1:14" ht="13.5" customHeight="1" x14ac:dyDescent="0.2">
      <c r="A132" s="1090"/>
      <c r="B132" s="1091"/>
      <c r="C132" s="172"/>
      <c r="D132" s="2028"/>
      <c r="E132" s="2022"/>
      <c r="F132" s="1100"/>
      <c r="G132" s="69" t="s">
        <v>75</v>
      </c>
      <c r="H132" s="54">
        <v>6.8</v>
      </c>
      <c r="I132" s="54"/>
      <c r="J132" s="54"/>
      <c r="K132" s="1029"/>
      <c r="L132" s="525"/>
      <c r="M132" s="525"/>
      <c r="N132" s="552"/>
    </row>
    <row r="133" spans="1:14" ht="30" customHeight="1" x14ac:dyDescent="0.2">
      <c r="A133" s="1090"/>
      <c r="B133" s="1091"/>
      <c r="C133" s="172"/>
      <c r="D133" s="2184"/>
      <c r="E133" s="92"/>
      <c r="F133" s="1104"/>
      <c r="G133" s="72"/>
      <c r="H133" s="791"/>
      <c r="I133" s="791"/>
      <c r="J133" s="791"/>
      <c r="K133" s="167" t="s">
        <v>120</v>
      </c>
      <c r="L133" s="19">
        <v>8</v>
      </c>
      <c r="M133" s="233">
        <v>5</v>
      </c>
      <c r="N133" s="20"/>
    </row>
    <row r="134" spans="1:14" ht="16.5" customHeight="1" x14ac:dyDescent="0.2">
      <c r="A134" s="249"/>
      <c r="B134" s="1095"/>
      <c r="C134" s="1100"/>
      <c r="D134" s="1996" t="s">
        <v>271</v>
      </c>
      <c r="E134" s="1092" t="s">
        <v>47</v>
      </c>
      <c r="F134" s="1087" t="s">
        <v>43</v>
      </c>
      <c r="G134" s="449" t="s">
        <v>68</v>
      </c>
      <c r="H134" s="54">
        <v>462.4</v>
      </c>
      <c r="I134" s="85">
        <v>160</v>
      </c>
      <c r="J134" s="54">
        <v>354.4</v>
      </c>
      <c r="K134" s="1029" t="s">
        <v>243</v>
      </c>
      <c r="L134" s="610" t="s">
        <v>242</v>
      </c>
      <c r="M134" s="497"/>
      <c r="N134" s="397"/>
    </row>
    <row r="135" spans="1:14" ht="15" customHeight="1" x14ac:dyDescent="0.2">
      <c r="A135" s="249"/>
      <c r="B135" s="1095"/>
      <c r="C135" s="1100"/>
      <c r="D135" s="2068"/>
      <c r="E135" s="1092"/>
      <c r="F135" s="1087"/>
      <c r="G135" s="449" t="s">
        <v>60</v>
      </c>
      <c r="H135" s="54">
        <v>0.4</v>
      </c>
      <c r="I135" s="85"/>
      <c r="J135" s="54"/>
      <c r="K135" s="962" t="s">
        <v>207</v>
      </c>
      <c r="L135" s="379" t="s">
        <v>55</v>
      </c>
      <c r="M135" s="159"/>
      <c r="N135" s="262"/>
    </row>
    <row r="136" spans="1:14" ht="15.75" customHeight="1" x14ac:dyDescent="0.2">
      <c r="A136" s="249"/>
      <c r="B136" s="1095"/>
      <c r="C136" s="1100"/>
      <c r="D136" s="2068"/>
      <c r="E136" s="1092"/>
      <c r="F136" s="1087"/>
      <c r="G136" s="449"/>
      <c r="H136" s="54"/>
      <c r="I136" s="85"/>
      <c r="J136" s="54"/>
      <c r="K136" s="506" t="s">
        <v>244</v>
      </c>
      <c r="L136" s="379"/>
      <c r="M136" s="159"/>
      <c r="N136" s="262" t="s">
        <v>182</v>
      </c>
    </row>
    <row r="137" spans="1:14" ht="40.5" customHeight="1" x14ac:dyDescent="0.2">
      <c r="A137" s="249"/>
      <c r="B137" s="1095"/>
      <c r="C137" s="1100"/>
      <c r="D137" s="1088"/>
      <c r="E137" s="1092"/>
      <c r="F137" s="1087"/>
      <c r="G137" s="1034"/>
      <c r="H137" s="791"/>
      <c r="I137" s="124"/>
      <c r="J137" s="791"/>
      <c r="K137" s="1089" t="s">
        <v>309</v>
      </c>
      <c r="L137" s="744"/>
      <c r="M137" s="338" t="s">
        <v>55</v>
      </c>
      <c r="N137" s="339"/>
    </row>
    <row r="138" spans="1:14" ht="16.5" customHeight="1" thickBot="1" x14ac:dyDescent="0.25">
      <c r="A138" s="1123"/>
      <c r="B138" s="1096"/>
      <c r="C138" s="1124"/>
      <c r="D138" s="181"/>
      <c r="E138" s="592"/>
      <c r="F138" s="1098"/>
      <c r="G138" s="165" t="s">
        <v>6</v>
      </c>
      <c r="H138" s="111">
        <f>SUM(H131:H137)</f>
        <v>551</v>
      </c>
      <c r="I138" s="111">
        <f t="shared" ref="I138:J138" si="1">SUM(I131:I137)</f>
        <v>240</v>
      </c>
      <c r="J138" s="111">
        <f t="shared" si="1"/>
        <v>354.4</v>
      </c>
      <c r="K138" s="572"/>
      <c r="L138" s="149"/>
      <c r="M138" s="485"/>
      <c r="N138" s="403"/>
    </row>
    <row r="139" spans="1:14" ht="12.75" customHeight="1" x14ac:dyDescent="0.2">
      <c r="A139" s="2062" t="s">
        <v>5</v>
      </c>
      <c r="B139" s="2064" t="s">
        <v>7</v>
      </c>
      <c r="C139" s="2058" t="s">
        <v>28</v>
      </c>
      <c r="D139" s="2028" t="s">
        <v>118</v>
      </c>
      <c r="E139" s="591" t="s">
        <v>47</v>
      </c>
      <c r="F139" s="2058">
        <v>5</v>
      </c>
      <c r="G139" s="69" t="s">
        <v>60</v>
      </c>
      <c r="H139" s="147">
        <f>344.9+113</f>
        <v>457.9</v>
      </c>
      <c r="I139" s="85"/>
      <c r="J139" s="54"/>
      <c r="K139" s="2208" t="s">
        <v>208</v>
      </c>
      <c r="L139" s="1101">
        <v>18</v>
      </c>
      <c r="M139" s="232"/>
      <c r="N139" s="1103"/>
    </row>
    <row r="140" spans="1:14" ht="14.25" customHeight="1" x14ac:dyDescent="0.2">
      <c r="A140" s="2062"/>
      <c r="B140" s="2064"/>
      <c r="C140" s="2058"/>
      <c r="D140" s="2028"/>
      <c r="E140" s="591" t="s">
        <v>229</v>
      </c>
      <c r="F140" s="2058"/>
      <c r="G140" s="69" t="s">
        <v>25</v>
      </c>
      <c r="H140" s="54">
        <v>294.60000000000002</v>
      </c>
      <c r="I140" s="85"/>
      <c r="J140" s="54"/>
      <c r="K140" s="2208"/>
      <c r="L140" s="838"/>
      <c r="M140" s="232"/>
      <c r="N140" s="833"/>
    </row>
    <row r="141" spans="1:14" ht="15" customHeight="1" x14ac:dyDescent="0.2">
      <c r="A141" s="2062"/>
      <c r="B141" s="2064"/>
      <c r="C141" s="2058"/>
      <c r="D141" s="2028"/>
      <c r="E141" s="591"/>
      <c r="F141" s="2058"/>
      <c r="G141" s="69" t="s">
        <v>222</v>
      </c>
      <c r="H141" s="54">
        <v>4264.5</v>
      </c>
      <c r="I141" s="85"/>
      <c r="J141" s="54"/>
      <c r="K141" s="2209"/>
      <c r="L141" s="838"/>
      <c r="M141" s="232"/>
      <c r="N141" s="833"/>
    </row>
    <row r="142" spans="1:14" ht="16.5" customHeight="1" thickBot="1" x14ac:dyDescent="0.25">
      <c r="A142" s="2063"/>
      <c r="B142" s="2065"/>
      <c r="C142" s="2059"/>
      <c r="D142" s="181"/>
      <c r="E142" s="592"/>
      <c r="F142" s="2059"/>
      <c r="G142" s="143" t="s">
        <v>6</v>
      </c>
      <c r="H142" s="75">
        <f>SUM(H139:H141)</f>
        <v>5017</v>
      </c>
      <c r="I142" s="209">
        <f>SUM(I139:I141)</f>
        <v>0</v>
      </c>
      <c r="J142" s="75">
        <f>SUM(J139:J141)</f>
        <v>0</v>
      </c>
      <c r="K142" s="572"/>
      <c r="L142" s="149"/>
      <c r="M142" s="485"/>
      <c r="N142" s="403"/>
    </row>
    <row r="143" spans="1:14" ht="12.75" customHeight="1" x14ac:dyDescent="0.2">
      <c r="A143" s="2062" t="s">
        <v>5</v>
      </c>
      <c r="B143" s="2064" t="s">
        <v>7</v>
      </c>
      <c r="C143" s="2058" t="s">
        <v>33</v>
      </c>
      <c r="D143" s="2028" t="s">
        <v>432</v>
      </c>
      <c r="E143" s="591" t="s">
        <v>229</v>
      </c>
      <c r="F143" s="2058" t="s">
        <v>55</v>
      </c>
      <c r="G143" s="69" t="s">
        <v>60</v>
      </c>
      <c r="H143" s="54">
        <v>665</v>
      </c>
      <c r="I143" s="85"/>
      <c r="J143" s="147"/>
      <c r="K143" s="2060" t="s">
        <v>404</v>
      </c>
      <c r="L143" s="1796">
        <v>100</v>
      </c>
      <c r="M143" s="232"/>
      <c r="N143" s="1786"/>
    </row>
    <row r="144" spans="1:14" ht="14.25" customHeight="1" x14ac:dyDescent="0.2">
      <c r="A144" s="2062"/>
      <c r="B144" s="2064"/>
      <c r="C144" s="2058"/>
      <c r="D144" s="2028"/>
      <c r="E144" s="591"/>
      <c r="F144" s="2058"/>
      <c r="G144" s="69"/>
      <c r="H144" s="54"/>
      <c r="I144" s="85"/>
      <c r="J144" s="54"/>
      <c r="K144" s="2061"/>
      <c r="L144" s="1785"/>
      <c r="M144" s="232"/>
      <c r="N144" s="1786"/>
    </row>
    <row r="145" spans="1:14" ht="15" customHeight="1" x14ac:dyDescent="0.2">
      <c r="A145" s="2062"/>
      <c r="B145" s="2064"/>
      <c r="C145" s="2058"/>
      <c r="D145" s="2028"/>
      <c r="E145" s="591"/>
      <c r="F145" s="2058"/>
      <c r="G145" s="69"/>
      <c r="H145" s="54"/>
      <c r="I145" s="85"/>
      <c r="J145" s="54"/>
      <c r="K145" s="2061"/>
      <c r="L145" s="1785"/>
      <c r="M145" s="232"/>
      <c r="N145" s="1786"/>
    </row>
    <row r="146" spans="1:14" ht="16.5" customHeight="1" thickBot="1" x14ac:dyDescent="0.25">
      <c r="A146" s="2063"/>
      <c r="B146" s="2065"/>
      <c r="C146" s="2059"/>
      <c r="D146" s="1784"/>
      <c r="E146" s="592"/>
      <c r="F146" s="2059"/>
      <c r="G146" s="143" t="s">
        <v>6</v>
      </c>
      <c r="H146" s="75">
        <f>SUM(H143:H145)</f>
        <v>665</v>
      </c>
      <c r="I146" s="209">
        <f>SUM(I143:I145)</f>
        <v>0</v>
      </c>
      <c r="J146" s="75">
        <f>SUM(J143:J145)</f>
        <v>0</v>
      </c>
      <c r="K146" s="572"/>
      <c r="L146" s="149"/>
      <c r="M146" s="485"/>
      <c r="N146" s="403"/>
    </row>
    <row r="147" spans="1:14" ht="14.25" customHeight="1" thickBot="1" x14ac:dyDescent="0.25">
      <c r="A147" s="76" t="s">
        <v>5</v>
      </c>
      <c r="B147" s="207" t="s">
        <v>7</v>
      </c>
      <c r="C147" s="2188" t="s">
        <v>8</v>
      </c>
      <c r="D147" s="2160"/>
      <c r="E147" s="2160"/>
      <c r="F147" s="2160"/>
      <c r="G147" s="2160"/>
      <c r="H147" s="114">
        <f>H142+H138+H129+H146</f>
        <v>12219.1</v>
      </c>
      <c r="I147" s="114">
        <f t="shared" ref="I147:J147" si="2">I142+I138+I129</f>
        <v>5977.1</v>
      </c>
      <c r="J147" s="114">
        <f t="shared" si="2"/>
        <v>5900.2</v>
      </c>
      <c r="K147" s="2162"/>
      <c r="L147" s="2162"/>
      <c r="M147" s="2162"/>
      <c r="N147" s="2163"/>
    </row>
    <row r="148" spans="1:14" ht="18" customHeight="1" thickBot="1" x14ac:dyDescent="0.25">
      <c r="A148" s="64" t="s">
        <v>5</v>
      </c>
      <c r="B148" s="207" t="s">
        <v>28</v>
      </c>
      <c r="C148" s="2164" t="s">
        <v>110</v>
      </c>
      <c r="D148" s="2165"/>
      <c r="E148" s="2165"/>
      <c r="F148" s="2165"/>
      <c r="G148" s="2165"/>
      <c r="H148" s="2165"/>
      <c r="I148" s="2165"/>
      <c r="J148" s="2165"/>
      <c r="K148" s="2165"/>
      <c r="L148" s="2165"/>
      <c r="M148" s="2165"/>
      <c r="N148" s="2166"/>
    </row>
    <row r="149" spans="1:14" ht="14.1" customHeight="1" x14ac:dyDescent="0.2">
      <c r="A149" s="826" t="s">
        <v>5</v>
      </c>
      <c r="B149" s="206" t="s">
        <v>28</v>
      </c>
      <c r="C149" s="873" t="s">
        <v>5</v>
      </c>
      <c r="D149" s="2196" t="s">
        <v>107</v>
      </c>
      <c r="E149" s="591" t="s">
        <v>229</v>
      </c>
      <c r="F149" s="304" t="s">
        <v>37</v>
      </c>
      <c r="G149" s="147" t="s">
        <v>25</v>
      </c>
      <c r="H149" s="264">
        <f>76.5+40</f>
        <v>116.5</v>
      </c>
      <c r="I149" s="264"/>
      <c r="J149" s="264"/>
      <c r="K149" s="257"/>
      <c r="L149" s="175"/>
      <c r="M149" s="175"/>
      <c r="N149" s="176"/>
    </row>
    <row r="150" spans="1:14" ht="14.1" customHeight="1" x14ac:dyDescent="0.2">
      <c r="A150" s="847"/>
      <c r="B150" s="861"/>
      <c r="C150" s="845"/>
      <c r="D150" s="2197"/>
      <c r="E150" s="369"/>
      <c r="F150" s="859"/>
      <c r="G150" s="54" t="s">
        <v>68</v>
      </c>
      <c r="H150" s="105">
        <v>821.1</v>
      </c>
      <c r="I150" s="105">
        <v>777.8</v>
      </c>
      <c r="J150" s="105">
        <v>787.8</v>
      </c>
      <c r="K150" s="854"/>
      <c r="L150" s="33"/>
      <c r="M150" s="33"/>
      <c r="N150" s="34"/>
    </row>
    <row r="151" spans="1:14" ht="14.1" customHeight="1" x14ac:dyDescent="0.2">
      <c r="A151" s="847"/>
      <c r="B151" s="861"/>
      <c r="C151" s="845"/>
      <c r="D151" s="2197"/>
      <c r="E151" s="369"/>
      <c r="F151" s="859"/>
      <c r="G151" s="54" t="s">
        <v>75</v>
      </c>
      <c r="H151" s="105">
        <f>36.6+1.4-4.7</f>
        <v>33.299999999999997</v>
      </c>
      <c r="I151" s="69"/>
      <c r="J151" s="69"/>
      <c r="K151" s="854"/>
      <c r="L151" s="33"/>
      <c r="M151" s="33"/>
      <c r="N151" s="34"/>
    </row>
    <row r="152" spans="1:14" ht="14.1" customHeight="1" x14ac:dyDescent="0.2">
      <c r="A152" s="847"/>
      <c r="B152" s="861"/>
      <c r="C152" s="845"/>
      <c r="D152" s="2198"/>
      <c r="E152" s="369"/>
      <c r="F152" s="859"/>
      <c r="G152" s="791" t="s">
        <v>99</v>
      </c>
      <c r="H152" s="106">
        <f>344-125</f>
        <v>219</v>
      </c>
      <c r="I152" s="106">
        <f>240+169</f>
        <v>409</v>
      </c>
      <c r="J152" s="106">
        <v>240</v>
      </c>
      <c r="K152" s="879"/>
      <c r="L152" s="35"/>
      <c r="M152" s="35"/>
      <c r="N152" s="37"/>
    </row>
    <row r="153" spans="1:14" ht="25.5" customHeight="1" x14ac:dyDescent="0.2">
      <c r="A153" s="814"/>
      <c r="B153" s="820"/>
      <c r="C153" s="845"/>
      <c r="D153" s="860" t="s">
        <v>105</v>
      </c>
      <c r="E153" s="2042" t="s">
        <v>76</v>
      </c>
      <c r="F153" s="862"/>
      <c r="G153" s="62"/>
      <c r="H153" s="105"/>
      <c r="I153" s="54"/>
      <c r="J153" s="54"/>
      <c r="K153" s="875" t="s">
        <v>111</v>
      </c>
      <c r="L153" s="177">
        <v>14.5</v>
      </c>
      <c r="M153" s="33">
        <v>14.5</v>
      </c>
      <c r="N153" s="34">
        <v>14.5</v>
      </c>
    </row>
    <row r="154" spans="1:14" ht="15" customHeight="1" x14ac:dyDescent="0.2">
      <c r="A154" s="814"/>
      <c r="B154" s="820"/>
      <c r="C154" s="845"/>
      <c r="D154" s="842"/>
      <c r="E154" s="2215"/>
      <c r="F154" s="859"/>
      <c r="G154" s="54"/>
      <c r="H154" s="105"/>
      <c r="I154" s="54"/>
      <c r="J154" s="54"/>
      <c r="K154" s="901" t="s">
        <v>38</v>
      </c>
      <c r="L154" s="22">
        <f>66+5</f>
        <v>71</v>
      </c>
      <c r="M154" s="134">
        <v>71</v>
      </c>
      <c r="N154" s="23">
        <v>71</v>
      </c>
    </row>
    <row r="155" spans="1:14" ht="15.75" customHeight="1" x14ac:dyDescent="0.2">
      <c r="A155" s="814"/>
      <c r="B155" s="820"/>
      <c r="C155" s="845"/>
      <c r="D155" s="842"/>
      <c r="E155" s="2216"/>
      <c r="F155" s="859"/>
      <c r="G155" s="54"/>
      <c r="H155" s="105"/>
      <c r="I155" s="54"/>
      <c r="J155" s="54"/>
      <c r="K155" s="655" t="s">
        <v>294</v>
      </c>
      <c r="L155" s="22">
        <v>100</v>
      </c>
      <c r="M155" s="679"/>
      <c r="N155" s="680"/>
    </row>
    <row r="156" spans="1:14" ht="13.5" customHeight="1" x14ac:dyDescent="0.2">
      <c r="A156" s="814"/>
      <c r="B156" s="820"/>
      <c r="C156" s="845"/>
      <c r="D156" s="842"/>
      <c r="E156" s="828"/>
      <c r="F156" s="817"/>
      <c r="G156" s="54"/>
      <c r="H156" s="105"/>
      <c r="I156" s="54"/>
      <c r="J156" s="54"/>
      <c r="K156" s="2210" t="s">
        <v>319</v>
      </c>
      <c r="L156" s="876">
        <v>10</v>
      </c>
      <c r="M156" s="834">
        <v>100</v>
      </c>
      <c r="N156" s="34"/>
    </row>
    <row r="157" spans="1:14" ht="14.25" customHeight="1" x14ac:dyDescent="0.2">
      <c r="A157" s="814"/>
      <c r="B157" s="820"/>
      <c r="C157" s="845"/>
      <c r="D157" s="842"/>
      <c r="E157" s="828"/>
      <c r="F157" s="817"/>
      <c r="G157" s="54"/>
      <c r="H157" s="105"/>
      <c r="I157" s="54"/>
      <c r="J157" s="54"/>
      <c r="K157" s="2211"/>
      <c r="L157" s="525"/>
      <c r="M157" s="653"/>
      <c r="N157" s="654"/>
    </row>
    <row r="158" spans="1:14" ht="27" customHeight="1" x14ac:dyDescent="0.2">
      <c r="A158" s="814"/>
      <c r="B158" s="820"/>
      <c r="C158" s="845"/>
      <c r="D158" s="842"/>
      <c r="E158" s="828"/>
      <c r="F158" s="817"/>
      <c r="G158" s="54"/>
      <c r="H158" s="105"/>
      <c r="I158" s="54"/>
      <c r="J158" s="54"/>
      <c r="K158" s="901" t="s">
        <v>320</v>
      </c>
      <c r="L158" s="22">
        <v>1</v>
      </c>
      <c r="M158" s="657"/>
      <c r="N158" s="658"/>
    </row>
    <row r="159" spans="1:14" ht="19.5" customHeight="1" x14ac:dyDescent="0.2">
      <c r="A159" s="814"/>
      <c r="B159" s="820"/>
      <c r="C159" s="845"/>
      <c r="D159" s="842"/>
      <c r="E159" s="828"/>
      <c r="F159" s="817"/>
      <c r="G159" s="54"/>
      <c r="H159" s="301"/>
      <c r="I159" s="198"/>
      <c r="J159" s="198"/>
      <c r="K159" s="2212" t="s">
        <v>346</v>
      </c>
      <c r="L159" s="876">
        <v>5</v>
      </c>
      <c r="M159" s="1068">
        <v>3</v>
      </c>
      <c r="N159" s="440"/>
    </row>
    <row r="160" spans="1:14" ht="60" customHeight="1" x14ac:dyDescent="0.2">
      <c r="A160" s="814"/>
      <c r="B160" s="820"/>
      <c r="C160" s="845"/>
      <c r="D160" s="842"/>
      <c r="E160" s="828"/>
      <c r="F160" s="817"/>
      <c r="G160" s="791"/>
      <c r="H160" s="650"/>
      <c r="I160" s="649"/>
      <c r="J160" s="649"/>
      <c r="K160" s="2213"/>
      <c r="L160" s="525"/>
      <c r="M160" s="573"/>
      <c r="N160" s="473"/>
    </row>
    <row r="161" spans="1:14" ht="14.25" customHeight="1" x14ac:dyDescent="0.2">
      <c r="A161" s="814"/>
      <c r="B161" s="820"/>
      <c r="C161" s="845"/>
      <c r="D161" s="860" t="s">
        <v>64</v>
      </c>
      <c r="E161" s="247"/>
      <c r="F161" s="816"/>
      <c r="G161" s="54"/>
      <c r="H161" s="104"/>
      <c r="I161" s="790"/>
      <c r="J161" s="790"/>
      <c r="K161" s="866" t="s">
        <v>81</v>
      </c>
      <c r="L161" s="868">
        <v>1</v>
      </c>
      <c r="M161" s="871">
        <v>1</v>
      </c>
      <c r="N161" s="877">
        <v>1</v>
      </c>
    </row>
    <row r="162" spans="1:14" ht="6.75" customHeight="1" x14ac:dyDescent="0.2">
      <c r="A162" s="814"/>
      <c r="B162" s="820"/>
      <c r="C162" s="845"/>
      <c r="D162" s="848"/>
      <c r="E162" s="112"/>
      <c r="F162" s="816"/>
      <c r="G162" s="791"/>
      <c r="H162" s="106"/>
      <c r="I162" s="72"/>
      <c r="J162" s="72"/>
      <c r="K162" s="167"/>
      <c r="L162" s="19"/>
      <c r="M162" s="233"/>
      <c r="N162" s="20"/>
    </row>
    <row r="163" spans="1:14" ht="13.5" customHeight="1" x14ac:dyDescent="0.2">
      <c r="A163" s="814"/>
      <c r="B163" s="820"/>
      <c r="C163" s="845"/>
      <c r="D163" s="2046" t="s">
        <v>113</v>
      </c>
      <c r="E163" s="575"/>
      <c r="F163" s="348"/>
      <c r="G163" s="790"/>
      <c r="H163" s="104"/>
      <c r="I163" s="104"/>
      <c r="J163" s="104"/>
      <c r="K163" s="2054" t="s">
        <v>321</v>
      </c>
      <c r="L163" s="868">
        <v>14</v>
      </c>
      <c r="M163" s="867">
        <v>14</v>
      </c>
      <c r="N163" s="877">
        <v>14</v>
      </c>
    </row>
    <row r="164" spans="1:14" ht="15.75" customHeight="1" x14ac:dyDescent="0.2">
      <c r="A164" s="814"/>
      <c r="B164" s="820"/>
      <c r="C164" s="845"/>
      <c r="D164" s="2214"/>
      <c r="E164" s="451"/>
      <c r="F164" s="348"/>
      <c r="G164" s="791"/>
      <c r="H164" s="72"/>
      <c r="I164" s="72"/>
      <c r="J164" s="72"/>
      <c r="K164" s="2217"/>
      <c r="L164" s="19"/>
      <c r="M164" s="233"/>
      <c r="N164" s="20"/>
    </row>
    <row r="165" spans="1:14" ht="29.25" customHeight="1" x14ac:dyDescent="0.2">
      <c r="A165" s="814"/>
      <c r="B165" s="820"/>
      <c r="C165" s="845"/>
      <c r="D165" s="458" t="s">
        <v>106</v>
      </c>
      <c r="E165" s="902"/>
      <c r="F165" s="524"/>
      <c r="G165" s="791"/>
      <c r="H165" s="560"/>
      <c r="I165" s="560"/>
      <c r="J165" s="560"/>
      <c r="K165" s="167" t="s">
        <v>133</v>
      </c>
      <c r="L165" s="46">
        <v>172</v>
      </c>
      <c r="M165" s="46">
        <v>174</v>
      </c>
      <c r="N165" s="903">
        <v>175</v>
      </c>
    </row>
    <row r="166" spans="1:14" ht="14.25" customHeight="1" x14ac:dyDescent="0.2">
      <c r="A166" s="819"/>
      <c r="B166" s="820"/>
      <c r="C166" s="172"/>
      <c r="D166" s="2110" t="s">
        <v>148</v>
      </c>
      <c r="E166" s="863" t="s">
        <v>47</v>
      </c>
      <c r="F166" s="448"/>
      <c r="G166" s="54"/>
      <c r="H166" s="69"/>
      <c r="I166" s="69"/>
      <c r="J166" s="69"/>
      <c r="K166" s="2013" t="s">
        <v>130</v>
      </c>
      <c r="L166" s="350">
        <v>15</v>
      </c>
      <c r="M166" s="360"/>
      <c r="N166" s="166"/>
    </row>
    <row r="167" spans="1:14" ht="14.25" customHeight="1" x14ac:dyDescent="0.2">
      <c r="A167" s="819"/>
      <c r="B167" s="820"/>
      <c r="C167" s="79"/>
      <c r="D167" s="2110"/>
      <c r="E167" s="905"/>
      <c r="F167" s="862"/>
      <c r="G167" s="791"/>
      <c r="H167" s="106"/>
      <c r="I167" s="106"/>
      <c r="J167" s="106"/>
      <c r="K167" s="2176"/>
      <c r="L167" s="350"/>
      <c r="M167" s="360"/>
      <c r="N167" s="166"/>
    </row>
    <row r="168" spans="1:14" ht="16.5" customHeight="1" thickBot="1" x14ac:dyDescent="0.25">
      <c r="A168" s="864"/>
      <c r="B168" s="861"/>
      <c r="C168" s="86"/>
      <c r="D168" s="181"/>
      <c r="E168" s="904"/>
      <c r="F168" s="74"/>
      <c r="G168" s="111" t="s">
        <v>6</v>
      </c>
      <c r="H168" s="123">
        <f>SUM(H149:H167)</f>
        <v>1189.9000000000001</v>
      </c>
      <c r="I168" s="123">
        <f>SUM(I149:I167)</f>
        <v>1186.8</v>
      </c>
      <c r="J168" s="123">
        <f>SUM(J149:J167)</f>
        <v>1027.8</v>
      </c>
      <c r="K168" s="390"/>
      <c r="L168" s="149"/>
      <c r="M168" s="485"/>
      <c r="N168" s="403"/>
    </row>
    <row r="169" spans="1:14" ht="13.5" customHeight="1" x14ac:dyDescent="0.2">
      <c r="A169" s="2104" t="s">
        <v>5</v>
      </c>
      <c r="B169" s="2106" t="s">
        <v>28</v>
      </c>
      <c r="C169" s="2108" t="s">
        <v>7</v>
      </c>
      <c r="D169" s="2109" t="s">
        <v>297</v>
      </c>
      <c r="E169" s="2112" t="s">
        <v>229</v>
      </c>
      <c r="F169" s="2177" t="s">
        <v>55</v>
      </c>
      <c r="G169" s="82" t="s">
        <v>25</v>
      </c>
      <c r="H169" s="147">
        <v>136.80000000000001</v>
      </c>
      <c r="I169" s="170">
        <v>146.69999999999999</v>
      </c>
      <c r="J169" s="170">
        <v>146.69999999999999</v>
      </c>
      <c r="K169" s="182" t="s">
        <v>67</v>
      </c>
      <c r="L169" s="202">
        <v>18</v>
      </c>
      <c r="M169" s="477">
        <v>18</v>
      </c>
      <c r="N169" s="500">
        <v>18</v>
      </c>
    </row>
    <row r="170" spans="1:14" ht="12.75" customHeight="1" x14ac:dyDescent="0.2">
      <c r="A170" s="2031"/>
      <c r="B170" s="2039"/>
      <c r="C170" s="2058"/>
      <c r="D170" s="2110"/>
      <c r="E170" s="2113"/>
      <c r="F170" s="2024"/>
      <c r="G170" s="61"/>
      <c r="H170" s="49"/>
      <c r="I170" s="120"/>
      <c r="J170" s="49"/>
      <c r="K170" s="822" t="s">
        <v>82</v>
      </c>
      <c r="L170" s="838">
        <v>7</v>
      </c>
      <c r="M170" s="232">
        <v>7</v>
      </c>
      <c r="N170" s="833">
        <v>7</v>
      </c>
    </row>
    <row r="171" spans="1:14" ht="16.5" customHeight="1" thickBot="1" x14ac:dyDescent="0.25">
      <c r="A171" s="2105"/>
      <c r="B171" s="2107"/>
      <c r="C171" s="2059"/>
      <c r="D171" s="2111"/>
      <c r="E171" s="2114"/>
      <c r="F171" s="2178"/>
      <c r="G171" s="111" t="s">
        <v>6</v>
      </c>
      <c r="H171" s="123">
        <f>SUM(H169:H170)</f>
        <v>136.80000000000001</v>
      </c>
      <c r="I171" s="165">
        <f>SUM(I169:I170)</f>
        <v>146.69999999999999</v>
      </c>
      <c r="J171" s="165">
        <f>SUM(J169:J170)</f>
        <v>146.69999999999999</v>
      </c>
      <c r="K171" s="390"/>
      <c r="L171" s="149"/>
      <c r="M171" s="485"/>
      <c r="N171" s="403"/>
    </row>
    <row r="172" spans="1:14" ht="12" customHeight="1" x14ac:dyDescent="0.2">
      <c r="A172" s="823" t="s">
        <v>5</v>
      </c>
      <c r="B172" s="443" t="s">
        <v>28</v>
      </c>
      <c r="C172" s="858" t="s">
        <v>28</v>
      </c>
      <c r="D172" s="2179" t="s">
        <v>165</v>
      </c>
      <c r="E172" s="2181" t="s">
        <v>228</v>
      </c>
      <c r="F172" s="439">
        <v>5</v>
      </c>
      <c r="G172" s="147" t="s">
        <v>25</v>
      </c>
      <c r="H172" s="147">
        <f>263.9+2.8</f>
        <v>266.7</v>
      </c>
      <c r="I172" s="147">
        <f>55.6+3.5+0.8</f>
        <v>59.9</v>
      </c>
      <c r="J172" s="147">
        <v>5</v>
      </c>
      <c r="K172" s="447"/>
      <c r="L172" s="144"/>
      <c r="M172" s="171"/>
      <c r="N172" s="176"/>
    </row>
    <row r="173" spans="1:14" ht="11.25" customHeight="1" x14ac:dyDescent="0.2">
      <c r="A173" s="839"/>
      <c r="B173" s="840"/>
      <c r="C173" s="841"/>
      <c r="D173" s="2180"/>
      <c r="E173" s="2182"/>
      <c r="F173" s="859"/>
      <c r="G173" s="54" t="s">
        <v>60</v>
      </c>
      <c r="H173" s="54">
        <v>289.60000000000002</v>
      </c>
      <c r="I173" s="54"/>
      <c r="J173" s="54"/>
      <c r="K173" s="1168"/>
      <c r="L173" s="177"/>
      <c r="M173" s="85"/>
      <c r="N173" s="34"/>
    </row>
    <row r="174" spans="1:14" ht="11.25" customHeight="1" x14ac:dyDescent="0.2">
      <c r="A174" s="839"/>
      <c r="B174" s="840"/>
      <c r="C174" s="841"/>
      <c r="D174" s="2180"/>
      <c r="E174" s="2182"/>
      <c r="F174" s="859"/>
      <c r="G174" s="54" t="s">
        <v>48</v>
      </c>
      <c r="H174" s="54"/>
      <c r="I174" s="69">
        <v>1500</v>
      </c>
      <c r="J174" s="54">
        <v>1000</v>
      </c>
      <c r="K174" s="1168"/>
      <c r="L174" s="177"/>
      <c r="M174" s="85"/>
      <c r="N174" s="34"/>
    </row>
    <row r="175" spans="1:14" ht="12.75" customHeight="1" x14ac:dyDescent="0.2">
      <c r="A175" s="942"/>
      <c r="B175" s="944"/>
      <c r="C175" s="943"/>
      <c r="D175" s="2180"/>
      <c r="E175" s="2182"/>
      <c r="F175" s="941"/>
      <c r="G175" s="54" t="s">
        <v>222</v>
      </c>
      <c r="H175" s="54">
        <v>83.3</v>
      </c>
      <c r="I175" s="69"/>
      <c r="J175" s="54"/>
      <c r="K175" s="1168"/>
      <c r="L175" s="177"/>
      <c r="M175" s="85"/>
      <c r="N175" s="34"/>
    </row>
    <row r="176" spans="1:14" ht="13.5" customHeight="1" x14ac:dyDescent="0.2">
      <c r="A176" s="824"/>
      <c r="B176" s="830"/>
      <c r="C176" s="841"/>
      <c r="D176" s="2068"/>
      <c r="E176" s="2183"/>
      <c r="F176" s="836"/>
      <c r="G176" s="791" t="s">
        <v>44</v>
      </c>
      <c r="H176" s="791">
        <v>919.1</v>
      </c>
      <c r="I176" s="791">
        <v>442</v>
      </c>
      <c r="J176" s="791">
        <v>126.2</v>
      </c>
      <c r="K176" s="1168"/>
      <c r="L176" s="177"/>
      <c r="M176" s="85"/>
      <c r="N176" s="34"/>
    </row>
    <row r="177" spans="1:14" ht="14.1" customHeight="1" x14ac:dyDescent="0.2">
      <c r="A177" s="839"/>
      <c r="B177" s="840"/>
      <c r="C177" s="841"/>
      <c r="D177" s="753"/>
      <c r="E177" s="907"/>
      <c r="F177" s="459" t="s">
        <v>37</v>
      </c>
      <c r="G177" s="790" t="s">
        <v>68</v>
      </c>
      <c r="H177" s="790">
        <v>12</v>
      </c>
      <c r="I177" s="73">
        <v>6</v>
      </c>
      <c r="J177" s="790">
        <v>6</v>
      </c>
      <c r="K177" s="1168"/>
      <c r="L177" s="177"/>
      <c r="M177" s="85"/>
      <c r="N177" s="34"/>
    </row>
    <row r="178" spans="1:14" ht="14.1" customHeight="1" x14ac:dyDescent="0.2">
      <c r="A178" s="839"/>
      <c r="B178" s="840"/>
      <c r="C178" s="841"/>
      <c r="D178" s="753"/>
      <c r="E178" s="906"/>
      <c r="F178" s="882"/>
      <c r="G178" s="791" t="s">
        <v>75</v>
      </c>
      <c r="H178" s="791">
        <v>24.2</v>
      </c>
      <c r="I178" s="365"/>
      <c r="J178" s="364"/>
      <c r="K178" s="1173"/>
      <c r="L178" s="36"/>
      <c r="M178" s="124"/>
      <c r="N178" s="37"/>
    </row>
    <row r="179" spans="1:14" ht="24.75" customHeight="1" x14ac:dyDescent="0.2">
      <c r="A179" s="2062"/>
      <c r="B179" s="2171"/>
      <c r="C179" s="2058"/>
      <c r="D179" s="2174" t="s">
        <v>322</v>
      </c>
      <c r="E179" s="2042" t="s">
        <v>232</v>
      </c>
      <c r="F179" s="829">
        <v>5</v>
      </c>
      <c r="G179" s="790"/>
      <c r="H179" s="790"/>
      <c r="I179" s="73"/>
      <c r="J179" s="790"/>
      <c r="K179" s="1171" t="s">
        <v>125</v>
      </c>
      <c r="L179" s="1169"/>
      <c r="M179" s="486"/>
      <c r="N179" s="1170">
        <v>100</v>
      </c>
    </row>
    <row r="180" spans="1:14" ht="24.75" customHeight="1" x14ac:dyDescent="0.2">
      <c r="A180" s="2062"/>
      <c r="B180" s="2171"/>
      <c r="C180" s="2058"/>
      <c r="D180" s="2175"/>
      <c r="E180" s="2118"/>
      <c r="F180" s="817"/>
      <c r="G180" s="791"/>
      <c r="H180" s="791"/>
      <c r="I180" s="72"/>
      <c r="J180" s="791"/>
      <c r="K180" s="909" t="s">
        <v>215</v>
      </c>
      <c r="L180" s="402">
        <v>1</v>
      </c>
      <c r="M180" s="681"/>
      <c r="N180" s="910"/>
    </row>
    <row r="181" spans="1:14" ht="15.75" customHeight="1" x14ac:dyDescent="0.2">
      <c r="A181" s="2062"/>
      <c r="B181" s="2171"/>
      <c r="C181" s="2058"/>
      <c r="D181" s="2028" t="s">
        <v>185</v>
      </c>
      <c r="E181" s="2043" t="s">
        <v>230</v>
      </c>
      <c r="F181" s="825"/>
      <c r="G181" s="54"/>
      <c r="H181" s="54"/>
      <c r="I181" s="69"/>
      <c r="J181" s="54"/>
      <c r="K181" s="908" t="s">
        <v>157</v>
      </c>
      <c r="L181" s="267">
        <v>1</v>
      </c>
      <c r="M181" s="1175"/>
      <c r="N181" s="1177"/>
    </row>
    <row r="182" spans="1:14" ht="20.25" customHeight="1" x14ac:dyDescent="0.2">
      <c r="A182" s="2062"/>
      <c r="B182" s="2171"/>
      <c r="C182" s="2058"/>
      <c r="D182" s="1997"/>
      <c r="E182" s="2172"/>
      <c r="F182" s="816"/>
      <c r="G182" s="54"/>
      <c r="H182" s="54"/>
      <c r="I182" s="69"/>
      <c r="J182" s="54"/>
      <c r="K182" s="2167" t="s">
        <v>186</v>
      </c>
      <c r="L182" s="384"/>
      <c r="M182" s="383"/>
      <c r="N182" s="164">
        <v>1</v>
      </c>
    </row>
    <row r="183" spans="1:14" ht="19.5" customHeight="1" x14ac:dyDescent="0.2">
      <c r="A183" s="249"/>
      <c r="B183" s="830"/>
      <c r="C183" s="911"/>
      <c r="D183" s="1997"/>
      <c r="E183" s="2173"/>
      <c r="F183" s="816"/>
      <c r="G183" s="54"/>
      <c r="H183" s="54"/>
      <c r="I183" s="69"/>
      <c r="J183" s="54"/>
      <c r="K183" s="2168"/>
      <c r="L183" s="41"/>
      <c r="M183" s="19"/>
      <c r="N183" s="552"/>
    </row>
    <row r="184" spans="1:14" ht="14.25" customHeight="1" x14ac:dyDescent="0.2">
      <c r="A184" s="2031"/>
      <c r="B184" s="2039"/>
      <c r="C184" s="2058"/>
      <c r="D184" s="1996" t="s">
        <v>153</v>
      </c>
      <c r="E184" s="2042" t="s">
        <v>121</v>
      </c>
      <c r="F184" s="2058"/>
      <c r="G184" s="156"/>
      <c r="H184" s="790"/>
      <c r="I184" s="73"/>
      <c r="J184" s="790"/>
      <c r="K184" s="1172" t="s">
        <v>187</v>
      </c>
      <c r="L184" s="294">
        <v>6</v>
      </c>
      <c r="M184" s="569"/>
      <c r="N184" s="1170"/>
    </row>
    <row r="185" spans="1:14" ht="11.25" customHeight="1" x14ac:dyDescent="0.2">
      <c r="A185" s="2031"/>
      <c r="B185" s="2039"/>
      <c r="C185" s="2058"/>
      <c r="D185" s="1997"/>
      <c r="E185" s="2169"/>
      <c r="F185" s="2058"/>
      <c r="G185" s="54"/>
      <c r="H185" s="54"/>
      <c r="I185" s="69"/>
      <c r="J185" s="54"/>
      <c r="K185" s="1172"/>
      <c r="L185" s="294"/>
      <c r="M185" s="1175"/>
      <c r="N185" s="1177"/>
    </row>
    <row r="186" spans="1:14" ht="14.25" customHeight="1" x14ac:dyDescent="0.2">
      <c r="A186" s="2031"/>
      <c r="B186" s="2039"/>
      <c r="C186" s="2058"/>
      <c r="D186" s="1998"/>
      <c r="E186" s="2170"/>
      <c r="F186" s="2058"/>
      <c r="G186" s="61"/>
      <c r="H186" s="791"/>
      <c r="I186" s="72"/>
      <c r="J186" s="49"/>
      <c r="K186" s="18"/>
      <c r="L186" s="46"/>
      <c r="M186" s="41"/>
      <c r="N186" s="20"/>
    </row>
    <row r="187" spans="1:14" ht="14.25" customHeight="1" x14ac:dyDescent="0.2">
      <c r="A187" s="2031"/>
      <c r="B187" s="2039"/>
      <c r="C187" s="2058"/>
      <c r="D187" s="1996" t="s">
        <v>352</v>
      </c>
      <c r="E187" s="2042" t="s">
        <v>121</v>
      </c>
      <c r="F187" s="2058"/>
      <c r="G187" s="156"/>
      <c r="H187" s="790"/>
      <c r="I187" s="73"/>
      <c r="J187" s="790"/>
      <c r="K187" s="1172" t="s">
        <v>359</v>
      </c>
      <c r="L187" s="294"/>
      <c r="M187" s="569"/>
      <c r="N187" s="262" t="s">
        <v>55</v>
      </c>
    </row>
    <row r="188" spans="1:14" ht="11.25" customHeight="1" x14ac:dyDescent="0.2">
      <c r="A188" s="2031"/>
      <c r="B188" s="2039"/>
      <c r="C188" s="2058"/>
      <c r="D188" s="1997"/>
      <c r="E188" s="2115"/>
      <c r="F188" s="2058"/>
      <c r="G188" s="54"/>
      <c r="H188" s="54"/>
      <c r="I188" s="69"/>
      <c r="J188" s="54"/>
      <c r="K188" s="1172"/>
      <c r="L188" s="294"/>
      <c r="M188" s="1175"/>
      <c r="N188" s="262"/>
    </row>
    <row r="189" spans="1:14" ht="14.25" customHeight="1" x14ac:dyDescent="0.2">
      <c r="A189" s="2031"/>
      <c r="B189" s="2039"/>
      <c r="C189" s="2058"/>
      <c r="D189" s="1998"/>
      <c r="E189" s="2116"/>
      <c r="F189" s="2058"/>
      <c r="G189" s="61"/>
      <c r="H189" s="791"/>
      <c r="I189" s="72"/>
      <c r="J189" s="49"/>
      <c r="K189" s="18"/>
      <c r="L189" s="46"/>
      <c r="M189" s="41"/>
      <c r="N189" s="20"/>
    </row>
    <row r="190" spans="1:14" ht="14.25" customHeight="1" x14ac:dyDescent="0.2">
      <c r="A190" s="2031"/>
      <c r="B190" s="2039"/>
      <c r="C190" s="2058"/>
      <c r="D190" s="1996" t="s">
        <v>358</v>
      </c>
      <c r="E190" s="2042" t="s">
        <v>121</v>
      </c>
      <c r="F190" s="2058"/>
      <c r="G190" s="156"/>
      <c r="H190" s="790"/>
      <c r="I190" s="73"/>
      <c r="J190" s="566"/>
      <c r="K190" s="1172" t="s">
        <v>359</v>
      </c>
      <c r="L190" s="294"/>
      <c r="M190" s="569"/>
      <c r="N190" s="750" t="s">
        <v>357</v>
      </c>
    </row>
    <row r="191" spans="1:14" ht="11.25" customHeight="1" x14ac:dyDescent="0.2">
      <c r="A191" s="2031"/>
      <c r="B191" s="2039"/>
      <c r="C191" s="2058"/>
      <c r="D191" s="1997"/>
      <c r="E191" s="2117"/>
      <c r="F191" s="2058"/>
      <c r="G191" s="54"/>
      <c r="H191" s="54"/>
      <c r="I191" s="69"/>
      <c r="J191" s="374"/>
      <c r="K191" s="1172"/>
      <c r="L191" s="294"/>
      <c r="M191" s="1175"/>
      <c r="N191" s="1177"/>
    </row>
    <row r="192" spans="1:14" ht="14.25" customHeight="1" x14ac:dyDescent="0.2">
      <c r="A192" s="2031"/>
      <c r="B192" s="2039"/>
      <c r="C192" s="2058"/>
      <c r="D192" s="1998"/>
      <c r="E192" s="2118"/>
      <c r="F192" s="2058"/>
      <c r="G192" s="61"/>
      <c r="H192" s="791"/>
      <c r="I192" s="72"/>
      <c r="J192" s="578"/>
      <c r="K192" s="18"/>
      <c r="L192" s="46"/>
      <c r="M192" s="41"/>
      <c r="N192" s="20"/>
    </row>
    <row r="193" spans="1:14" ht="39" customHeight="1" x14ac:dyDescent="0.2">
      <c r="A193" s="814"/>
      <c r="B193" s="815"/>
      <c r="C193" s="845"/>
      <c r="D193" s="851" t="s">
        <v>323</v>
      </c>
      <c r="E193" s="475" t="s">
        <v>161</v>
      </c>
      <c r="F193" s="459" t="s">
        <v>37</v>
      </c>
      <c r="G193" s="367"/>
      <c r="H193" s="367"/>
      <c r="I193" s="462"/>
      <c r="J193" s="461"/>
      <c r="K193" s="59" t="s">
        <v>83</v>
      </c>
      <c r="L193" s="456">
        <v>1</v>
      </c>
      <c r="M193" s="456"/>
      <c r="N193" s="457"/>
    </row>
    <row r="194" spans="1:14" ht="15.75" customHeight="1" x14ac:dyDescent="0.2">
      <c r="A194" s="2031"/>
      <c r="B194" s="2039"/>
      <c r="C194" s="2058"/>
      <c r="D194" s="1996" t="s">
        <v>210</v>
      </c>
      <c r="E194" s="2042" t="s">
        <v>121</v>
      </c>
      <c r="F194" s="2100"/>
      <c r="G194" s="790"/>
      <c r="H194" s="790"/>
      <c r="I194" s="73"/>
      <c r="J194" s="790"/>
      <c r="K194" s="1999" t="s">
        <v>225</v>
      </c>
      <c r="L194" s="968">
        <v>11</v>
      </c>
      <c r="M194" s="1174">
        <v>12</v>
      </c>
      <c r="N194" s="1176">
        <v>14</v>
      </c>
    </row>
    <row r="195" spans="1:14" ht="9" customHeight="1" x14ac:dyDescent="0.2">
      <c r="A195" s="2031"/>
      <c r="B195" s="2039"/>
      <c r="C195" s="2058"/>
      <c r="D195" s="2028"/>
      <c r="E195" s="2043"/>
      <c r="F195" s="2100"/>
      <c r="G195" s="54"/>
      <c r="H195" s="55"/>
      <c r="I195" s="69"/>
      <c r="J195" s="54"/>
      <c r="K195" s="2051"/>
      <c r="L195" s="294"/>
      <c r="M195" s="1175"/>
      <c r="N195" s="1177"/>
    </row>
    <row r="196" spans="1:14" ht="13.5" customHeight="1" x14ac:dyDescent="0.2">
      <c r="A196" s="2031"/>
      <c r="B196" s="2039"/>
      <c r="C196" s="2058"/>
      <c r="D196" s="1997"/>
      <c r="E196" s="2117"/>
      <c r="F196" s="2100"/>
      <c r="G196" s="791"/>
      <c r="H196" s="568"/>
      <c r="I196" s="914"/>
      <c r="J196" s="568"/>
      <c r="K196" s="1172"/>
      <c r="L196" s="294"/>
      <c r="M196" s="1175"/>
      <c r="N196" s="1177"/>
    </row>
    <row r="197" spans="1:14" ht="16.5" customHeight="1" thickBot="1" x14ac:dyDescent="0.25">
      <c r="A197" s="864"/>
      <c r="B197" s="844"/>
      <c r="C197" s="911"/>
      <c r="D197" s="912"/>
      <c r="E197" s="913"/>
      <c r="F197" s="911"/>
      <c r="G197" s="111" t="s">
        <v>6</v>
      </c>
      <c r="H197" s="123">
        <f>SUM(H172:H196)</f>
        <v>1594.9</v>
      </c>
      <c r="I197" s="123">
        <f>SUM(I172:I196)</f>
        <v>2007.9</v>
      </c>
      <c r="J197" s="123">
        <f>SUM(J172:J196)</f>
        <v>1137.2</v>
      </c>
      <c r="K197" s="390"/>
      <c r="L197" s="149"/>
      <c r="M197" s="485"/>
      <c r="N197" s="403"/>
    </row>
    <row r="198" spans="1:14" ht="14.25" customHeight="1" thickBot="1" x14ac:dyDescent="0.25">
      <c r="A198" s="76" t="s">
        <v>5</v>
      </c>
      <c r="B198" s="65" t="s">
        <v>28</v>
      </c>
      <c r="C198" s="2160" t="s">
        <v>8</v>
      </c>
      <c r="D198" s="2160"/>
      <c r="E198" s="2160"/>
      <c r="F198" s="2160"/>
      <c r="G198" s="2161"/>
      <c r="H198" s="168">
        <f>H197+H171+H168</f>
        <v>2921.6</v>
      </c>
      <c r="I198" s="168">
        <f>I197+I171+I168</f>
        <v>3341.4</v>
      </c>
      <c r="J198" s="168">
        <f>J197+J171+J168</f>
        <v>2311.6999999999998</v>
      </c>
      <c r="K198" s="2162"/>
      <c r="L198" s="2162"/>
      <c r="M198" s="2162"/>
      <c r="N198" s="2163"/>
    </row>
    <row r="199" spans="1:14" ht="14.25" customHeight="1" thickBot="1" x14ac:dyDescent="0.25">
      <c r="A199" s="64" t="s">
        <v>5</v>
      </c>
      <c r="B199" s="65" t="s">
        <v>33</v>
      </c>
      <c r="C199" s="2164" t="s">
        <v>164</v>
      </c>
      <c r="D199" s="2165"/>
      <c r="E199" s="2165"/>
      <c r="F199" s="2165"/>
      <c r="G199" s="2165"/>
      <c r="H199" s="2165"/>
      <c r="I199" s="2165"/>
      <c r="J199" s="2165"/>
      <c r="K199" s="2165"/>
      <c r="L199" s="2165"/>
      <c r="M199" s="2165"/>
      <c r="N199" s="2166"/>
    </row>
    <row r="200" spans="1:14" ht="12" customHeight="1" x14ac:dyDescent="0.2">
      <c r="A200" s="855" t="s">
        <v>5</v>
      </c>
      <c r="B200" s="856" t="s">
        <v>33</v>
      </c>
      <c r="C200" s="196" t="s">
        <v>5</v>
      </c>
      <c r="D200" s="2196" t="s">
        <v>104</v>
      </c>
      <c r="E200" s="268"/>
      <c r="F200" s="858">
        <v>6</v>
      </c>
      <c r="G200" s="147" t="s">
        <v>25</v>
      </c>
      <c r="H200" s="144">
        <f>1730.7-40+28.9</f>
        <v>1719.6</v>
      </c>
      <c r="I200" s="147">
        <v>1816.4</v>
      </c>
      <c r="J200" s="147">
        <v>1822.7</v>
      </c>
      <c r="K200" s="508"/>
      <c r="L200" s="144"/>
      <c r="M200" s="171"/>
      <c r="N200" s="176"/>
    </row>
    <row r="201" spans="1:14" ht="12" customHeight="1" x14ac:dyDescent="0.2">
      <c r="A201" s="847"/>
      <c r="B201" s="844"/>
      <c r="C201" s="172"/>
      <c r="D201" s="2197"/>
      <c r="E201" s="846"/>
      <c r="F201" s="849"/>
      <c r="G201" s="54" t="s">
        <v>60</v>
      </c>
      <c r="H201" s="177">
        <f>134.9+31.9</f>
        <v>166.8</v>
      </c>
      <c r="I201" s="54"/>
      <c r="J201" s="54"/>
      <c r="K201" s="870"/>
      <c r="L201" s="177"/>
      <c r="M201" s="85"/>
      <c r="N201" s="34"/>
    </row>
    <row r="202" spans="1:14" ht="12" customHeight="1" x14ac:dyDescent="0.2">
      <c r="A202" s="847"/>
      <c r="B202" s="844"/>
      <c r="C202" s="172"/>
      <c r="D202" s="2197"/>
      <c r="E202" s="846"/>
      <c r="F202" s="849"/>
      <c r="G202" s="54" t="s">
        <v>68</v>
      </c>
      <c r="H202" s="177">
        <f>268-48-30+5</f>
        <v>195</v>
      </c>
      <c r="I202" s="54">
        <f>447-30+34.1</f>
        <v>451.1</v>
      </c>
      <c r="J202" s="54">
        <f>417+98.4</f>
        <v>515.4</v>
      </c>
      <c r="K202" s="870"/>
      <c r="L202" s="177"/>
      <c r="M202" s="85"/>
      <c r="N202" s="34"/>
    </row>
    <row r="203" spans="1:14" ht="14.1" customHeight="1" x14ac:dyDescent="0.2">
      <c r="A203" s="847"/>
      <c r="B203" s="844"/>
      <c r="C203" s="172"/>
      <c r="D203" s="2197"/>
      <c r="E203" s="846"/>
      <c r="F203" s="849"/>
      <c r="G203" s="54" t="s">
        <v>75</v>
      </c>
      <c r="H203" s="177">
        <f>270+17.9+4.7</f>
        <v>292.60000000000002</v>
      </c>
      <c r="I203" s="54"/>
      <c r="J203" s="54"/>
      <c r="K203" s="870"/>
      <c r="L203" s="177"/>
      <c r="M203" s="85"/>
      <c r="N203" s="34"/>
    </row>
    <row r="204" spans="1:14" ht="16.5" customHeight="1" x14ac:dyDescent="0.2">
      <c r="A204" s="847"/>
      <c r="B204" s="844"/>
      <c r="C204" s="80"/>
      <c r="D204" s="2198"/>
      <c r="E204" s="846"/>
      <c r="F204" s="849"/>
      <c r="G204" s="791" t="s">
        <v>99</v>
      </c>
      <c r="H204" s="36">
        <v>1729.3</v>
      </c>
      <c r="I204" s="791">
        <v>1538.3</v>
      </c>
      <c r="J204" s="791">
        <v>1600.3</v>
      </c>
      <c r="K204" s="870"/>
      <c r="L204" s="177"/>
      <c r="M204" s="85"/>
      <c r="N204" s="34"/>
    </row>
    <row r="205" spans="1:14" ht="15.75" customHeight="1" x14ac:dyDescent="0.2">
      <c r="A205" s="847"/>
      <c r="B205" s="844"/>
      <c r="C205" s="935"/>
      <c r="D205" s="330" t="s">
        <v>101</v>
      </c>
      <c r="E205" s="936"/>
      <c r="F205" s="937"/>
      <c r="G205" s="367"/>
      <c r="H205" s="367"/>
      <c r="I205" s="367"/>
      <c r="J205" s="367"/>
      <c r="K205" s="183"/>
      <c r="L205" s="938"/>
      <c r="M205" s="939"/>
      <c r="N205" s="940"/>
    </row>
    <row r="206" spans="1:14" ht="14.25" customHeight="1" x14ac:dyDescent="0.2">
      <c r="A206" s="847"/>
      <c r="B206" s="844"/>
      <c r="C206" s="2101" t="s">
        <v>168</v>
      </c>
      <c r="D206" s="853" t="s">
        <v>256</v>
      </c>
      <c r="E206" s="846"/>
      <c r="F206" s="849"/>
      <c r="G206" s="54"/>
      <c r="H206" s="54"/>
      <c r="I206" s="54"/>
      <c r="J206" s="54"/>
      <c r="K206" s="854" t="s">
        <v>66</v>
      </c>
      <c r="L206" s="177">
        <v>5.9</v>
      </c>
      <c r="M206" s="85"/>
      <c r="N206" s="34"/>
    </row>
    <row r="207" spans="1:14" ht="13.5" customHeight="1" x14ac:dyDescent="0.2">
      <c r="A207" s="847"/>
      <c r="B207" s="844"/>
      <c r="C207" s="2101"/>
      <c r="D207" s="180" t="s">
        <v>170</v>
      </c>
      <c r="E207" s="846"/>
      <c r="F207" s="849"/>
      <c r="G207" s="54"/>
      <c r="H207" s="54"/>
      <c r="I207" s="54"/>
      <c r="J207" s="54"/>
      <c r="K207" s="854"/>
      <c r="L207" s="177"/>
      <c r="M207" s="85"/>
      <c r="N207" s="34"/>
    </row>
    <row r="208" spans="1:14" ht="14.25" customHeight="1" x14ac:dyDescent="0.2">
      <c r="A208" s="847"/>
      <c r="B208" s="844"/>
      <c r="C208" s="2101"/>
      <c r="D208" s="180" t="s">
        <v>167</v>
      </c>
      <c r="E208" s="846"/>
      <c r="F208" s="849"/>
      <c r="G208" s="54"/>
      <c r="H208" s="54"/>
      <c r="I208" s="54"/>
      <c r="J208" s="54"/>
      <c r="K208" s="854"/>
      <c r="L208" s="177"/>
      <c r="M208" s="85"/>
      <c r="N208" s="34"/>
    </row>
    <row r="209" spans="1:14" ht="14.25" customHeight="1" x14ac:dyDescent="0.2">
      <c r="A209" s="847"/>
      <c r="B209" s="844"/>
      <c r="C209" s="2101"/>
      <c r="D209" s="853" t="s">
        <v>172</v>
      </c>
      <c r="E209" s="846"/>
      <c r="F209" s="849"/>
      <c r="G209" s="54"/>
      <c r="H209" s="54"/>
      <c r="I209" s="54"/>
      <c r="J209" s="54"/>
      <c r="K209" s="854"/>
      <c r="L209" s="177"/>
      <c r="M209" s="85"/>
      <c r="N209" s="34"/>
    </row>
    <row r="210" spans="1:14" ht="29.25" customHeight="1" x14ac:dyDescent="0.2">
      <c r="A210" s="847"/>
      <c r="B210" s="844"/>
      <c r="C210" s="2101"/>
      <c r="D210" s="180" t="s">
        <v>324</v>
      </c>
      <c r="E210" s="846"/>
      <c r="F210" s="849"/>
      <c r="G210" s="54"/>
      <c r="H210" s="54"/>
      <c r="I210" s="54"/>
      <c r="J210" s="54"/>
      <c r="K210" s="854"/>
      <c r="L210" s="177"/>
      <c r="M210" s="85"/>
      <c r="N210" s="34"/>
    </row>
    <row r="211" spans="1:14" ht="26.25" customHeight="1" x14ac:dyDescent="0.2">
      <c r="A211" s="847"/>
      <c r="B211" s="844"/>
      <c r="C211" s="2101"/>
      <c r="D211" s="915" t="s">
        <v>325</v>
      </c>
      <c r="E211" s="846"/>
      <c r="F211" s="849"/>
      <c r="G211" s="54"/>
      <c r="H211" s="54"/>
      <c r="I211" s="54"/>
      <c r="J211" s="54"/>
      <c r="K211" s="854"/>
      <c r="L211" s="177"/>
      <c r="M211" s="85"/>
      <c r="N211" s="34"/>
    </row>
    <row r="212" spans="1:14" ht="27" customHeight="1" x14ac:dyDescent="0.2">
      <c r="A212" s="847"/>
      <c r="B212" s="844"/>
      <c r="C212" s="2101"/>
      <c r="D212" s="180" t="s">
        <v>327</v>
      </c>
      <c r="E212" s="846"/>
      <c r="F212" s="849"/>
      <c r="G212" s="54"/>
      <c r="H212" s="54"/>
      <c r="I212" s="54"/>
      <c r="J212" s="54"/>
      <c r="K212" s="854"/>
      <c r="L212" s="177"/>
      <c r="M212" s="85"/>
      <c r="N212" s="34"/>
    </row>
    <row r="213" spans="1:14" ht="27" customHeight="1" x14ac:dyDescent="0.2">
      <c r="A213" s="847"/>
      <c r="B213" s="844"/>
      <c r="C213" s="926"/>
      <c r="D213" s="923" t="s">
        <v>326</v>
      </c>
      <c r="E213" s="846"/>
      <c r="F213" s="849"/>
      <c r="G213" s="54"/>
      <c r="H213" s="54"/>
      <c r="I213" s="54"/>
      <c r="J213" s="54"/>
      <c r="K213" s="854"/>
      <c r="L213" s="177"/>
      <c r="M213" s="85"/>
      <c r="N213" s="34"/>
    </row>
    <row r="214" spans="1:14" ht="15" customHeight="1" x14ac:dyDescent="0.2">
      <c r="A214" s="847"/>
      <c r="B214" s="844"/>
      <c r="C214" s="2102" t="s">
        <v>341</v>
      </c>
      <c r="D214" s="931" t="s">
        <v>171</v>
      </c>
      <c r="E214" s="932"/>
      <c r="F214" s="933"/>
      <c r="G214" s="62"/>
      <c r="H214" s="62"/>
      <c r="I214" s="62"/>
      <c r="J214" s="62"/>
      <c r="K214" s="920" t="s">
        <v>66</v>
      </c>
      <c r="L214" s="595"/>
      <c r="M214" s="701">
        <v>7.9</v>
      </c>
      <c r="N214" s="934">
        <v>7.5</v>
      </c>
    </row>
    <row r="215" spans="1:14" ht="16.5" customHeight="1" x14ac:dyDescent="0.2">
      <c r="A215" s="847"/>
      <c r="B215" s="844"/>
      <c r="C215" s="2101"/>
      <c r="D215" s="915" t="s">
        <v>166</v>
      </c>
      <c r="E215" s="921"/>
      <c r="F215" s="922"/>
      <c r="G215" s="54"/>
      <c r="H215" s="54"/>
      <c r="I215" s="54"/>
      <c r="J215" s="54"/>
      <c r="K215" s="927"/>
      <c r="L215" s="177"/>
      <c r="M215" s="85"/>
      <c r="N215" s="34"/>
    </row>
    <row r="216" spans="1:14" ht="15.75" customHeight="1" x14ac:dyDescent="0.2">
      <c r="A216" s="847"/>
      <c r="B216" s="844"/>
      <c r="C216" s="2101"/>
      <c r="D216" s="180" t="s">
        <v>173</v>
      </c>
      <c r="E216" s="921"/>
      <c r="F216" s="922"/>
      <c r="G216" s="54"/>
      <c r="H216" s="54"/>
      <c r="I216" s="54"/>
      <c r="J216" s="54"/>
      <c r="K216" s="927"/>
      <c r="L216" s="177"/>
      <c r="M216" s="85"/>
      <c r="N216" s="34"/>
    </row>
    <row r="217" spans="1:14" ht="15.75" customHeight="1" x14ac:dyDescent="0.2">
      <c r="A217" s="847"/>
      <c r="B217" s="844"/>
      <c r="C217" s="2101"/>
      <c r="D217" s="180" t="s">
        <v>261</v>
      </c>
      <c r="E217" s="921"/>
      <c r="F217" s="922"/>
      <c r="G217" s="54"/>
      <c r="H217" s="54"/>
      <c r="I217" s="54"/>
      <c r="J217" s="54"/>
      <c r="K217" s="927"/>
      <c r="L217" s="177"/>
      <c r="M217" s="85"/>
      <c r="N217" s="34"/>
    </row>
    <row r="218" spans="1:14" ht="14.25" customHeight="1" x14ac:dyDescent="0.2">
      <c r="A218" s="847"/>
      <c r="B218" s="844"/>
      <c r="C218" s="2103"/>
      <c r="D218" s="924" t="s">
        <v>328</v>
      </c>
      <c r="E218" s="929"/>
      <c r="F218" s="925"/>
      <c r="G218" s="791"/>
      <c r="H218" s="791"/>
      <c r="I218" s="791"/>
      <c r="J218" s="791"/>
      <c r="K218" s="928"/>
      <c r="L218" s="36"/>
      <c r="M218" s="35"/>
      <c r="N218" s="37"/>
    </row>
    <row r="219" spans="1:14" ht="27" customHeight="1" x14ac:dyDescent="0.2">
      <c r="A219" s="847"/>
      <c r="B219" s="844"/>
      <c r="C219" s="172"/>
      <c r="D219" s="2010" t="s">
        <v>103</v>
      </c>
      <c r="E219" s="921"/>
      <c r="F219" s="859"/>
      <c r="G219" s="54"/>
      <c r="H219" s="177"/>
      <c r="I219" s="54"/>
      <c r="J219" s="54"/>
      <c r="K219" s="930" t="s">
        <v>287</v>
      </c>
      <c r="L219" s="31" t="s">
        <v>286</v>
      </c>
      <c r="M219" s="751" t="s">
        <v>286</v>
      </c>
      <c r="N219" s="752" t="s">
        <v>286</v>
      </c>
    </row>
    <row r="220" spans="1:14" ht="27" customHeight="1" x14ac:dyDescent="0.2">
      <c r="A220" s="1129"/>
      <c r="B220" s="1130"/>
      <c r="C220" s="172"/>
      <c r="D220" s="2010"/>
      <c r="E220" s="1131"/>
      <c r="F220" s="1132"/>
      <c r="G220" s="54"/>
      <c r="H220" s="177"/>
      <c r="I220" s="54"/>
      <c r="J220" s="54"/>
      <c r="K220" s="71" t="s">
        <v>355</v>
      </c>
      <c r="L220" s="154" t="s">
        <v>356</v>
      </c>
      <c r="M220" s="489"/>
      <c r="N220" s="580"/>
    </row>
    <row r="221" spans="1:14" ht="26.25" customHeight="1" x14ac:dyDescent="0.2">
      <c r="A221" s="847"/>
      <c r="B221" s="844"/>
      <c r="C221" s="172"/>
      <c r="D221" s="2010"/>
      <c r="E221" s="846"/>
      <c r="F221" s="859"/>
      <c r="G221" s="54"/>
      <c r="H221" s="177"/>
      <c r="I221" s="54"/>
      <c r="J221" s="54"/>
      <c r="K221" s="1029" t="s">
        <v>40</v>
      </c>
      <c r="L221" s="609" t="s">
        <v>288</v>
      </c>
      <c r="M221" s="1141" t="s">
        <v>288</v>
      </c>
      <c r="N221" s="1146" t="s">
        <v>288</v>
      </c>
    </row>
    <row r="222" spans="1:14" ht="17.25" customHeight="1" x14ac:dyDescent="0.2">
      <c r="A222" s="847"/>
      <c r="B222" s="844"/>
      <c r="C222" s="172"/>
      <c r="D222" s="2021"/>
      <c r="E222" s="878"/>
      <c r="F222" s="859"/>
      <c r="G222" s="61"/>
      <c r="H222" s="791"/>
      <c r="I222" s="791"/>
      <c r="J222" s="791"/>
      <c r="K222" s="879" t="s">
        <v>65</v>
      </c>
      <c r="L222" s="812" t="s">
        <v>282</v>
      </c>
      <c r="M222" s="745" t="s">
        <v>282</v>
      </c>
      <c r="N222" s="746" t="s">
        <v>282</v>
      </c>
    </row>
    <row r="223" spans="1:14" ht="15.75" customHeight="1" x14ac:dyDescent="0.2">
      <c r="A223" s="2031"/>
      <c r="B223" s="2039"/>
      <c r="C223" s="2033"/>
      <c r="D223" s="2002" t="s">
        <v>53</v>
      </c>
      <c r="E223" s="846"/>
      <c r="F223" s="859"/>
      <c r="G223" s="54"/>
      <c r="H223" s="54"/>
      <c r="I223" s="54"/>
      <c r="J223" s="54"/>
      <c r="K223" s="1999" t="s">
        <v>284</v>
      </c>
      <c r="L223" s="271" t="s">
        <v>283</v>
      </c>
      <c r="M223" s="608" t="s">
        <v>283</v>
      </c>
      <c r="N223" s="337" t="s">
        <v>283</v>
      </c>
    </row>
    <row r="224" spans="1:14" ht="18" customHeight="1" x14ac:dyDescent="0.2">
      <c r="A224" s="2031"/>
      <c r="B224" s="2039"/>
      <c r="C224" s="2033"/>
      <c r="D224" s="2030"/>
      <c r="E224" s="878"/>
      <c r="F224" s="859"/>
      <c r="G224" s="581"/>
      <c r="H224" s="581"/>
      <c r="I224" s="581"/>
      <c r="J224" s="791"/>
      <c r="K224" s="2159"/>
      <c r="L224" s="36"/>
      <c r="M224" s="124"/>
      <c r="N224" s="37"/>
    </row>
    <row r="225" spans="1:14" ht="14.25" customHeight="1" x14ac:dyDescent="0.2">
      <c r="A225" s="2031"/>
      <c r="B225" s="2039"/>
      <c r="C225" s="2033"/>
      <c r="D225" s="1996" t="s">
        <v>269</v>
      </c>
      <c r="E225" s="2043"/>
      <c r="F225" s="2033"/>
      <c r="G225" s="54"/>
      <c r="H225" s="54"/>
      <c r="I225" s="54"/>
      <c r="J225" s="54"/>
      <c r="K225" s="874" t="s">
        <v>289</v>
      </c>
      <c r="L225" s="609" t="s">
        <v>347</v>
      </c>
      <c r="M225" s="497" t="s">
        <v>293</v>
      </c>
      <c r="N225" s="397" t="s">
        <v>293</v>
      </c>
    </row>
    <row r="226" spans="1:14" ht="13.5" customHeight="1" x14ac:dyDescent="0.2">
      <c r="A226" s="2031"/>
      <c r="B226" s="2039"/>
      <c r="C226" s="2033"/>
      <c r="D226" s="2068"/>
      <c r="E226" s="2043"/>
      <c r="F226" s="2033"/>
      <c r="G226" s="54"/>
      <c r="H226" s="54"/>
      <c r="I226" s="54"/>
      <c r="J226" s="54"/>
      <c r="K226" s="854" t="s">
        <v>285</v>
      </c>
      <c r="L226" s="31" t="s">
        <v>348</v>
      </c>
      <c r="M226" s="31" t="s">
        <v>306</v>
      </c>
      <c r="N226" s="262" t="s">
        <v>306</v>
      </c>
    </row>
    <row r="227" spans="1:14" ht="28.5" customHeight="1" x14ac:dyDescent="0.2">
      <c r="A227" s="2031"/>
      <c r="B227" s="2039"/>
      <c r="C227" s="2033"/>
      <c r="D227" s="753"/>
      <c r="E227" s="2043"/>
      <c r="F227" s="2033"/>
      <c r="G227" s="54"/>
      <c r="H227" s="54"/>
      <c r="I227" s="54"/>
      <c r="J227" s="54"/>
      <c r="K227" s="1023" t="s">
        <v>329</v>
      </c>
      <c r="L227" s="289"/>
      <c r="M227" s="289" t="s">
        <v>280</v>
      </c>
      <c r="N227" s="339"/>
    </row>
    <row r="228" spans="1:14" ht="39" customHeight="1" x14ac:dyDescent="0.2">
      <c r="A228" s="2031"/>
      <c r="B228" s="2039"/>
      <c r="C228" s="2024"/>
      <c r="D228" s="753"/>
      <c r="E228" s="2043"/>
      <c r="F228" s="2033"/>
      <c r="G228" s="54"/>
      <c r="H228" s="54"/>
      <c r="I228" s="54"/>
      <c r="J228" s="54"/>
      <c r="K228" s="71" t="s">
        <v>291</v>
      </c>
      <c r="L228" s="154"/>
      <c r="M228" s="154" t="s">
        <v>281</v>
      </c>
      <c r="N228" s="1025"/>
    </row>
    <row r="229" spans="1:14" ht="25.5" customHeight="1" x14ac:dyDescent="0.2">
      <c r="A229" s="2031"/>
      <c r="B229" s="2039"/>
      <c r="C229" s="2024"/>
      <c r="D229" s="850"/>
      <c r="E229" s="2043"/>
      <c r="F229" s="2033"/>
      <c r="G229" s="791"/>
      <c r="H229" s="791"/>
      <c r="I229" s="791"/>
      <c r="J229" s="791"/>
      <c r="K229" s="1024" t="s">
        <v>340</v>
      </c>
      <c r="L229" s="236" t="s">
        <v>55</v>
      </c>
      <c r="M229" s="380"/>
      <c r="N229" s="340"/>
    </row>
    <row r="230" spans="1:14" ht="17.25" customHeight="1" x14ac:dyDescent="0.2">
      <c r="A230" s="847"/>
      <c r="B230" s="844"/>
      <c r="C230" s="859"/>
      <c r="D230" s="2028" t="s">
        <v>102</v>
      </c>
      <c r="E230" s="846"/>
      <c r="F230" s="859"/>
      <c r="G230" s="54"/>
      <c r="H230" s="54"/>
      <c r="I230" s="54"/>
      <c r="J230" s="54"/>
      <c r="K230" s="2000" t="s">
        <v>145</v>
      </c>
      <c r="L230" s="1186">
        <v>14</v>
      </c>
      <c r="M230" s="332">
        <v>12</v>
      </c>
      <c r="N230" s="872">
        <v>6</v>
      </c>
    </row>
    <row r="231" spans="1:14" ht="15" customHeight="1" x14ac:dyDescent="0.2">
      <c r="A231" s="847"/>
      <c r="B231" s="844"/>
      <c r="C231" s="859"/>
      <c r="D231" s="2153"/>
      <c r="E231" s="878"/>
      <c r="F231" s="859"/>
      <c r="G231" s="791"/>
      <c r="H231" s="791"/>
      <c r="I231" s="791"/>
      <c r="J231" s="791"/>
      <c r="K231" s="2001"/>
      <c r="L231" s="19"/>
      <c r="M231" s="233"/>
      <c r="N231" s="20"/>
    </row>
    <row r="232" spans="1:14" ht="15.75" customHeight="1" x14ac:dyDescent="0.2">
      <c r="A232" s="864"/>
      <c r="B232" s="844"/>
      <c r="C232" s="859"/>
      <c r="D232" s="2002" t="s">
        <v>39</v>
      </c>
      <c r="E232" s="852"/>
      <c r="F232" s="859"/>
      <c r="G232" s="50"/>
      <c r="H232" s="54"/>
      <c r="I232" s="54"/>
      <c r="J232" s="54"/>
      <c r="K232" s="843" t="s">
        <v>268</v>
      </c>
      <c r="L232" s="868">
        <v>14</v>
      </c>
      <c r="M232" s="871">
        <v>14</v>
      </c>
      <c r="N232" s="877">
        <v>14</v>
      </c>
    </row>
    <row r="233" spans="1:14" ht="16.5" customHeight="1" x14ac:dyDescent="0.2">
      <c r="A233" s="864"/>
      <c r="B233" s="844"/>
      <c r="C233" s="859"/>
      <c r="D233" s="2030"/>
      <c r="E233" s="878"/>
      <c r="F233" s="859"/>
      <c r="G233" s="791"/>
      <c r="H233" s="791"/>
      <c r="I233" s="791"/>
      <c r="J233" s="72"/>
      <c r="K233" s="854"/>
      <c r="L233" s="19"/>
      <c r="M233" s="233"/>
      <c r="N233" s="20"/>
    </row>
    <row r="234" spans="1:14" ht="15" customHeight="1" x14ac:dyDescent="0.2">
      <c r="A234" s="864"/>
      <c r="B234" s="844"/>
      <c r="C234" s="859"/>
      <c r="D234" s="2002" t="s">
        <v>234</v>
      </c>
      <c r="E234" s="846"/>
      <c r="F234" s="859"/>
      <c r="G234" s="788"/>
      <c r="H234" s="790"/>
      <c r="I234" s="790"/>
      <c r="J234" s="790"/>
      <c r="K234" s="640" t="s">
        <v>92</v>
      </c>
      <c r="L234" s="525">
        <v>1</v>
      </c>
      <c r="M234" s="232"/>
      <c r="N234" s="869"/>
    </row>
    <row r="235" spans="1:14" ht="27.75" customHeight="1" x14ac:dyDescent="0.2">
      <c r="A235" s="864"/>
      <c r="B235" s="844"/>
      <c r="C235" s="859"/>
      <c r="D235" s="2030"/>
      <c r="E235" s="846"/>
      <c r="F235" s="859"/>
      <c r="G235" s="789"/>
      <c r="H235" s="791"/>
      <c r="I235" s="791"/>
      <c r="J235" s="791"/>
      <c r="K235" s="1080" t="s">
        <v>247</v>
      </c>
      <c r="L235" s="646"/>
      <c r="M235" s="646">
        <v>100</v>
      </c>
      <c r="N235" s="648"/>
    </row>
    <row r="236" spans="1:14" ht="14.25" customHeight="1" x14ac:dyDescent="0.2">
      <c r="A236" s="864"/>
      <c r="B236" s="844"/>
      <c r="C236" s="845"/>
      <c r="D236" s="860" t="s">
        <v>331</v>
      </c>
      <c r="E236" s="113"/>
      <c r="F236" s="859"/>
      <c r="G236" s="700"/>
      <c r="H236" s="62"/>
      <c r="I236" s="701"/>
      <c r="J236" s="790"/>
      <c r="K236" s="702" t="s">
        <v>46</v>
      </c>
      <c r="L236" s="383">
        <v>3</v>
      </c>
      <c r="M236" s="383"/>
      <c r="N236" s="164"/>
    </row>
    <row r="237" spans="1:14" ht="26.25" customHeight="1" x14ac:dyDescent="0.2">
      <c r="A237" s="839"/>
      <c r="B237" s="840"/>
      <c r="C237" s="841"/>
      <c r="D237" s="703" t="s">
        <v>334</v>
      </c>
      <c r="E237" s="2078"/>
      <c r="F237" s="2034"/>
      <c r="G237" s="696"/>
      <c r="H237" s="55"/>
      <c r="I237" s="85"/>
      <c r="J237" s="54"/>
      <c r="K237" s="358" t="s">
        <v>263</v>
      </c>
      <c r="L237" s="1054"/>
      <c r="M237" s="1054">
        <v>50</v>
      </c>
      <c r="N237" s="250">
        <v>100</v>
      </c>
    </row>
    <row r="238" spans="1:14" ht="12.75" customHeight="1" x14ac:dyDescent="0.2">
      <c r="A238" s="839"/>
      <c r="B238" s="840"/>
      <c r="C238" s="841"/>
      <c r="D238" s="703" t="s">
        <v>332</v>
      </c>
      <c r="E238" s="2078"/>
      <c r="F238" s="2034"/>
      <c r="G238" s="696"/>
      <c r="H238" s="55"/>
      <c r="I238" s="85"/>
      <c r="J238" s="54"/>
      <c r="K238" s="358"/>
      <c r="L238" s="1054"/>
      <c r="M238" s="1054"/>
      <c r="N238" s="250"/>
    </row>
    <row r="239" spans="1:14" ht="13.5" customHeight="1" x14ac:dyDescent="0.2">
      <c r="A239" s="839"/>
      <c r="B239" s="840"/>
      <c r="C239" s="841"/>
      <c r="D239" s="865" t="s">
        <v>333</v>
      </c>
      <c r="E239" s="2079"/>
      <c r="F239" s="2080"/>
      <c r="G239" s="697"/>
      <c r="H239" s="789"/>
      <c r="I239" s="124"/>
      <c r="J239" s="791"/>
      <c r="K239" s="359"/>
      <c r="L239" s="1054"/>
      <c r="M239" s="294"/>
      <c r="N239" s="250"/>
    </row>
    <row r="240" spans="1:14" ht="13.5" customHeight="1" x14ac:dyDescent="0.2">
      <c r="A240" s="864"/>
      <c r="B240" s="861"/>
      <c r="C240" s="79"/>
      <c r="D240" s="2002" t="s">
        <v>330</v>
      </c>
      <c r="E240" s="756" t="s">
        <v>47</v>
      </c>
      <c r="F240" s="459"/>
      <c r="G240" s="792"/>
      <c r="H240" s="790"/>
      <c r="I240" s="790"/>
      <c r="J240" s="790"/>
      <c r="K240" s="640" t="s">
        <v>92</v>
      </c>
      <c r="L240" s="641">
        <v>1</v>
      </c>
      <c r="M240" s="642"/>
      <c r="N240" s="643"/>
    </row>
    <row r="241" spans="1:32" ht="25.5" customHeight="1" x14ac:dyDescent="0.2">
      <c r="A241" s="864"/>
      <c r="B241" s="861"/>
      <c r="C241" s="79"/>
      <c r="D241" s="2040"/>
      <c r="E241" s="258"/>
      <c r="F241" s="862"/>
      <c r="G241" s="793"/>
      <c r="H241" s="791"/>
      <c r="I241" s="791"/>
      <c r="J241" s="791"/>
      <c r="K241" s="358" t="s">
        <v>277</v>
      </c>
      <c r="L241" s="916"/>
      <c r="M241" s="383">
        <v>20</v>
      </c>
      <c r="N241" s="917">
        <v>100</v>
      </c>
    </row>
    <row r="242" spans="1:32" ht="16.5" customHeight="1" thickBot="1" x14ac:dyDescent="0.25">
      <c r="A242" s="58"/>
      <c r="B242" s="857"/>
      <c r="C242" s="45"/>
      <c r="D242" s="912"/>
      <c r="E242" s="913"/>
      <c r="F242" s="45"/>
      <c r="G242" s="111" t="s">
        <v>6</v>
      </c>
      <c r="H242" s="123">
        <f>SUM(H200:H241)</f>
        <v>4103.3</v>
      </c>
      <c r="I242" s="123">
        <f>SUM(I200:I241)</f>
        <v>3805.8</v>
      </c>
      <c r="J242" s="123">
        <f>SUM(J200:J241)</f>
        <v>3938.4</v>
      </c>
      <c r="K242" s="390"/>
      <c r="L242" s="149"/>
      <c r="M242" s="485"/>
      <c r="N242" s="403"/>
    </row>
    <row r="243" spans="1:32" ht="26.25" customHeight="1" x14ac:dyDescent="0.2">
      <c r="A243" s="819" t="s">
        <v>5</v>
      </c>
      <c r="B243" s="815" t="s">
        <v>33</v>
      </c>
      <c r="C243" s="172" t="s">
        <v>7</v>
      </c>
      <c r="D243" s="2040" t="s">
        <v>131</v>
      </c>
      <c r="E243" s="2122" t="s">
        <v>47</v>
      </c>
      <c r="F243" s="2124" t="s">
        <v>43</v>
      </c>
      <c r="G243" s="54" t="s">
        <v>25</v>
      </c>
      <c r="H243" s="54"/>
      <c r="I243" s="54">
        <v>111</v>
      </c>
      <c r="J243" s="54">
        <v>199.3</v>
      </c>
      <c r="K243" s="874" t="s">
        <v>139</v>
      </c>
      <c r="L243" s="525"/>
      <c r="M243" s="242">
        <v>1</v>
      </c>
      <c r="N243" s="552"/>
    </row>
    <row r="244" spans="1:32" ht="26.25" customHeight="1" x14ac:dyDescent="0.2">
      <c r="A244" s="819"/>
      <c r="B244" s="815"/>
      <c r="C244" s="172"/>
      <c r="D244" s="2040"/>
      <c r="E244" s="2122"/>
      <c r="F244" s="2124"/>
      <c r="G244" s="54" t="s">
        <v>60</v>
      </c>
      <c r="H244" s="54">
        <v>83.9</v>
      </c>
      <c r="I244" s="54"/>
      <c r="J244" s="54"/>
      <c r="K244" s="71" t="s">
        <v>209</v>
      </c>
      <c r="L244" s="22">
        <v>100</v>
      </c>
      <c r="M244" s="241"/>
      <c r="N244" s="23"/>
    </row>
    <row r="245" spans="1:32" ht="26.25" customHeight="1" x14ac:dyDescent="0.2">
      <c r="A245" s="819"/>
      <c r="B245" s="815"/>
      <c r="C245" s="172"/>
      <c r="D245" s="2040"/>
      <c r="E245" s="2122"/>
      <c r="F245" s="2125"/>
      <c r="G245" s="791"/>
      <c r="H245" s="791"/>
      <c r="I245" s="791"/>
      <c r="J245" s="791"/>
      <c r="K245" s="835" t="s">
        <v>134</v>
      </c>
      <c r="L245" s="289"/>
      <c r="M245" s="782">
        <v>30</v>
      </c>
      <c r="N245" s="164">
        <v>100</v>
      </c>
    </row>
    <row r="246" spans="1:32" ht="17.25" customHeight="1" thickBot="1" x14ac:dyDescent="0.25">
      <c r="A246" s="58"/>
      <c r="B246" s="827"/>
      <c r="C246" s="81"/>
      <c r="D246" s="2121"/>
      <c r="E246" s="2123"/>
      <c r="F246" s="2126"/>
      <c r="G246" s="111" t="s">
        <v>6</v>
      </c>
      <c r="H246" s="111">
        <f>SUM(H243:H244)</f>
        <v>83.9</v>
      </c>
      <c r="I246" s="111">
        <f t="shared" ref="I246:J246" si="3">SUM(I243:I244)</f>
        <v>111</v>
      </c>
      <c r="J246" s="111">
        <f t="shared" si="3"/>
        <v>199.3</v>
      </c>
      <c r="K246" s="831"/>
      <c r="L246" s="160"/>
      <c r="M246" s="490"/>
      <c r="N246" s="519"/>
      <c r="O246" s="526"/>
      <c r="P246" s="526"/>
      <c r="Q246" s="526"/>
      <c r="R246" s="526"/>
      <c r="S246" s="526"/>
      <c r="T246" s="526"/>
      <c r="U246" s="526"/>
      <c r="V246" s="526"/>
      <c r="W246" s="526"/>
      <c r="X246" s="526"/>
      <c r="Y246" s="526"/>
      <c r="Z246" s="526"/>
      <c r="AA246" s="526"/>
      <c r="AB246" s="526"/>
      <c r="AC246" s="526"/>
      <c r="AD246" s="526"/>
      <c r="AE246" s="526"/>
      <c r="AF246" s="526"/>
    </row>
    <row r="247" spans="1:32" ht="14.25" customHeight="1" thickBot="1" x14ac:dyDescent="0.25">
      <c r="A247" s="58" t="s">
        <v>5</v>
      </c>
      <c r="B247" s="827" t="s">
        <v>33</v>
      </c>
      <c r="C247" s="2127" t="s">
        <v>8</v>
      </c>
      <c r="D247" s="2127"/>
      <c r="E247" s="2127"/>
      <c r="F247" s="2127"/>
      <c r="G247" s="2128"/>
      <c r="H247" s="468">
        <f>H246+H242</f>
        <v>4187.2</v>
      </c>
      <c r="I247" s="468">
        <f t="shared" ref="I247:J247" si="4">I246+I242</f>
        <v>3916.8</v>
      </c>
      <c r="J247" s="468">
        <f t="shared" si="4"/>
        <v>4137.7</v>
      </c>
      <c r="K247" s="2218"/>
      <c r="L247" s="2218"/>
      <c r="M247" s="2218"/>
      <c r="N247" s="2219"/>
      <c r="O247" s="526"/>
      <c r="P247" s="526"/>
      <c r="Q247" s="526"/>
      <c r="R247" s="526"/>
      <c r="S247" s="526"/>
      <c r="T247" s="526"/>
      <c r="U247" s="526"/>
      <c r="V247" s="526"/>
      <c r="W247" s="526"/>
      <c r="X247" s="526"/>
      <c r="Y247" s="526"/>
      <c r="Z247" s="526"/>
      <c r="AA247" s="526"/>
      <c r="AB247" s="526"/>
      <c r="AC247" s="526"/>
      <c r="AD247" s="526"/>
      <c r="AE247" s="526"/>
      <c r="AF247" s="526"/>
    </row>
    <row r="248" spans="1:32" ht="14.25" customHeight="1" thickBot="1" x14ac:dyDescent="0.25">
      <c r="A248" s="76" t="s">
        <v>5</v>
      </c>
      <c r="B248" s="2154" t="s">
        <v>9</v>
      </c>
      <c r="C248" s="2155"/>
      <c r="D248" s="2155"/>
      <c r="E248" s="2155"/>
      <c r="F248" s="2155"/>
      <c r="G248" s="2156"/>
      <c r="H248" s="115">
        <f>H247+H198+H147+H99</f>
        <v>29161.9</v>
      </c>
      <c r="I248" s="115">
        <f>I247+I198+I147+I99</f>
        <v>36788</v>
      </c>
      <c r="J248" s="115">
        <f>J247+J198+J147+J99</f>
        <v>28044.1</v>
      </c>
      <c r="K248" s="2157"/>
      <c r="L248" s="2157"/>
      <c r="M248" s="2157"/>
      <c r="N248" s="2158"/>
      <c r="O248" s="526"/>
      <c r="P248" s="526"/>
      <c r="Q248" s="526"/>
      <c r="R248" s="526"/>
      <c r="S248" s="526"/>
      <c r="T248" s="526"/>
      <c r="U248" s="526"/>
      <c r="V248" s="526"/>
      <c r="W248" s="526"/>
      <c r="X248" s="526"/>
      <c r="Y248" s="526"/>
      <c r="Z248" s="526"/>
      <c r="AA248" s="526"/>
      <c r="AB248" s="526"/>
      <c r="AC248" s="526"/>
      <c r="AD248" s="526"/>
      <c r="AE248" s="526"/>
      <c r="AF248" s="526"/>
    </row>
    <row r="249" spans="1:32" ht="14.25" customHeight="1" thickBot="1" x14ac:dyDescent="0.25">
      <c r="A249" s="87" t="s">
        <v>35</v>
      </c>
      <c r="B249" s="2097" t="s">
        <v>57</v>
      </c>
      <c r="C249" s="2098"/>
      <c r="D249" s="2098"/>
      <c r="E249" s="2098"/>
      <c r="F249" s="2098"/>
      <c r="G249" s="2099"/>
      <c r="H249" s="116">
        <f>SUM(H248)</f>
        <v>29161.9</v>
      </c>
      <c r="I249" s="116">
        <f>SUM(I248)</f>
        <v>36788</v>
      </c>
      <c r="J249" s="116">
        <f t="shared" ref="J249" si="5">SUM(J248)</f>
        <v>28044.1</v>
      </c>
      <c r="K249" s="2119"/>
      <c r="L249" s="2119"/>
      <c r="M249" s="2119"/>
      <c r="N249" s="2120"/>
      <c r="O249" s="526"/>
      <c r="P249" s="526"/>
      <c r="Q249" s="526"/>
      <c r="R249" s="526"/>
      <c r="S249" s="526"/>
      <c r="T249" s="526"/>
      <c r="U249" s="526"/>
      <c r="V249" s="526"/>
      <c r="W249" s="526"/>
      <c r="X249" s="526"/>
      <c r="Y249" s="526"/>
      <c r="Z249" s="526"/>
      <c r="AA249" s="526"/>
      <c r="AB249" s="526"/>
      <c r="AC249" s="526"/>
      <c r="AD249" s="526"/>
      <c r="AE249" s="526"/>
      <c r="AF249" s="526"/>
    </row>
    <row r="250" spans="1:32" s="5" customFormat="1" ht="17.25" customHeight="1" x14ac:dyDescent="0.2">
      <c r="A250" s="880"/>
      <c r="B250" s="881"/>
      <c r="C250" s="881"/>
      <c r="D250" s="881"/>
      <c r="E250" s="881"/>
      <c r="F250" s="881"/>
      <c r="G250" s="881"/>
      <c r="H250" s="881"/>
      <c r="I250" s="881"/>
      <c r="J250" s="881"/>
      <c r="K250" s="588"/>
      <c r="L250" s="588"/>
      <c r="M250" s="588"/>
      <c r="N250" s="588"/>
      <c r="O250" s="4"/>
      <c r="P250" s="4"/>
      <c r="Q250" s="4"/>
      <c r="R250" s="4"/>
      <c r="S250" s="4"/>
      <c r="T250" s="4"/>
      <c r="U250" s="4"/>
      <c r="V250" s="4"/>
      <c r="W250" s="4"/>
      <c r="X250" s="4"/>
      <c r="Y250" s="4"/>
      <c r="Z250" s="4"/>
      <c r="AA250" s="4"/>
      <c r="AB250" s="4"/>
      <c r="AC250" s="4"/>
      <c r="AD250" s="4"/>
      <c r="AE250" s="4"/>
      <c r="AF250" s="4"/>
    </row>
    <row r="251" spans="1:32" s="4" customFormat="1" ht="12" customHeight="1" x14ac:dyDescent="0.2">
      <c r="A251" s="588"/>
      <c r="B251" s="535"/>
      <c r="C251" s="535"/>
      <c r="D251" s="535"/>
      <c r="E251" s="535"/>
      <c r="F251" s="535"/>
      <c r="G251" s="535"/>
      <c r="H251" s="535"/>
      <c r="I251" s="535"/>
      <c r="J251" s="535"/>
      <c r="K251" s="535"/>
      <c r="L251" s="588"/>
      <c r="M251" s="588"/>
      <c r="N251" s="588"/>
    </row>
    <row r="252" spans="1:32" s="5" customFormat="1" ht="15" customHeight="1" thickBot="1" x14ac:dyDescent="0.25">
      <c r="A252" s="2090" t="s">
        <v>13</v>
      </c>
      <c r="B252" s="2090"/>
      <c r="C252" s="2090"/>
      <c r="D252" s="2090"/>
      <c r="E252" s="2090"/>
      <c r="F252" s="2090"/>
      <c r="G252" s="2090"/>
      <c r="H252" s="125"/>
      <c r="I252" s="125"/>
      <c r="J252" s="125"/>
      <c r="K252" s="88"/>
      <c r="L252" s="88"/>
      <c r="M252" s="88"/>
      <c r="N252" s="88"/>
      <c r="O252" s="4"/>
      <c r="P252" s="4"/>
      <c r="Q252" s="4"/>
      <c r="R252" s="4"/>
      <c r="S252" s="4"/>
      <c r="T252" s="4"/>
      <c r="U252" s="4"/>
      <c r="V252" s="4"/>
      <c r="W252" s="4"/>
      <c r="X252" s="4"/>
      <c r="Y252" s="4"/>
      <c r="Z252" s="4"/>
      <c r="AA252" s="4"/>
      <c r="AB252" s="4"/>
      <c r="AC252" s="4"/>
      <c r="AD252" s="4"/>
      <c r="AE252" s="4"/>
      <c r="AF252" s="4"/>
    </row>
    <row r="253" spans="1:32" ht="62.25" customHeight="1" thickBot="1" x14ac:dyDescent="0.25">
      <c r="A253" s="2091" t="s">
        <v>10</v>
      </c>
      <c r="B253" s="2092"/>
      <c r="C253" s="2092"/>
      <c r="D253" s="2092"/>
      <c r="E253" s="2092"/>
      <c r="F253" s="2092"/>
      <c r="G253" s="2093"/>
      <c r="H253" s="547" t="s">
        <v>312</v>
      </c>
      <c r="I253" s="565" t="s">
        <v>158</v>
      </c>
      <c r="J253" s="565" t="s">
        <v>223</v>
      </c>
      <c r="K253" s="13"/>
      <c r="L253" s="13"/>
      <c r="M253" s="13"/>
      <c r="N253" s="13"/>
      <c r="O253" s="526"/>
      <c r="P253" s="526"/>
      <c r="Q253" s="526"/>
      <c r="R253" s="526"/>
      <c r="S253" s="526"/>
      <c r="T253" s="526"/>
      <c r="U253" s="526"/>
      <c r="V253" s="526"/>
      <c r="W253" s="526"/>
      <c r="X253" s="526"/>
      <c r="Y253" s="526"/>
      <c r="Z253" s="526"/>
      <c r="AA253" s="526"/>
      <c r="AB253" s="526"/>
      <c r="AC253" s="526"/>
      <c r="AD253" s="526"/>
      <c r="AE253" s="526"/>
      <c r="AF253" s="526"/>
    </row>
    <row r="254" spans="1:32" ht="14.25" customHeight="1" x14ac:dyDescent="0.2">
      <c r="A254" s="2094" t="s">
        <v>14</v>
      </c>
      <c r="B254" s="2095"/>
      <c r="C254" s="2095"/>
      <c r="D254" s="2095"/>
      <c r="E254" s="2095"/>
      <c r="F254" s="2095"/>
      <c r="G254" s="2096"/>
      <c r="H254" s="548">
        <f>H255+H263+H264+H265+H262</f>
        <v>26454</v>
      </c>
      <c r="I254" s="548">
        <f t="shared" ref="I254:J254" si="6">I255+I263+I264+I265+I262</f>
        <v>17557</v>
      </c>
      <c r="J254" s="786">
        <f t="shared" si="6"/>
        <v>16365.4</v>
      </c>
      <c r="K254" s="13"/>
      <c r="L254" s="13"/>
      <c r="M254" s="13"/>
      <c r="N254" s="13"/>
      <c r="O254" s="526"/>
      <c r="P254" s="526"/>
      <c r="Q254" s="526"/>
      <c r="R254" s="526"/>
      <c r="S254" s="526"/>
      <c r="T254" s="526"/>
      <c r="U254" s="526"/>
      <c r="V254" s="526"/>
      <c r="W254" s="526"/>
      <c r="X254" s="526"/>
      <c r="Y254" s="526"/>
      <c r="Z254" s="526"/>
      <c r="AA254" s="526"/>
      <c r="AB254" s="526"/>
      <c r="AC254" s="526"/>
      <c r="AD254" s="526"/>
      <c r="AE254" s="526"/>
      <c r="AF254" s="526"/>
    </row>
    <row r="255" spans="1:32" ht="14.25" customHeight="1" x14ac:dyDescent="0.2">
      <c r="A255" s="2072" t="s">
        <v>91</v>
      </c>
      <c r="B255" s="2073"/>
      <c r="C255" s="2073"/>
      <c r="D255" s="2073"/>
      <c r="E255" s="2073"/>
      <c r="F255" s="2073"/>
      <c r="G255" s="2074"/>
      <c r="H255" s="549">
        <f>SUM(H256:H261)</f>
        <v>20917</v>
      </c>
      <c r="I255" s="549">
        <f t="shared" ref="I255:J255" si="7">SUM(I256:I261)</f>
        <v>12581.9</v>
      </c>
      <c r="J255" s="785">
        <f t="shared" si="7"/>
        <v>11484.2</v>
      </c>
      <c r="K255" s="13"/>
      <c r="L255" s="13"/>
      <c r="M255" s="13"/>
      <c r="N255" s="13"/>
    </row>
    <row r="256" spans="1:32" ht="14.25" customHeight="1" x14ac:dyDescent="0.2">
      <c r="A256" s="2075" t="s">
        <v>19</v>
      </c>
      <c r="B256" s="2076"/>
      <c r="C256" s="2076"/>
      <c r="D256" s="2076"/>
      <c r="E256" s="2076"/>
      <c r="F256" s="2076"/>
      <c r="G256" s="2077"/>
      <c r="H256" s="791">
        <f>SUMIF(G13:G249,"SB",H13:H249)</f>
        <v>8450</v>
      </c>
      <c r="I256" s="791">
        <f>SUMIF(G15:G249,"SB",I15:I249)</f>
        <v>10688.5</v>
      </c>
      <c r="J256" s="791">
        <f>SUMIF(G15:G249,"SB",J15:J249)</f>
        <v>9713.6</v>
      </c>
      <c r="K256" s="13"/>
      <c r="L256" s="13"/>
      <c r="M256" s="13"/>
      <c r="N256" s="13"/>
    </row>
    <row r="257" spans="1:14" ht="14.25" customHeight="1" x14ac:dyDescent="0.2">
      <c r="A257" s="2069" t="s">
        <v>20</v>
      </c>
      <c r="B257" s="2070"/>
      <c r="C257" s="2070"/>
      <c r="D257" s="2070"/>
      <c r="E257" s="2070"/>
      <c r="F257" s="2070"/>
      <c r="G257" s="2071"/>
      <c r="H257" s="49">
        <f>SUMIF(G99:G249,"SB(P)",H99:H249)</f>
        <v>0</v>
      </c>
      <c r="I257" s="49">
        <f>SUMIF(G99:G249,"SB(P)",I99:I249)</f>
        <v>0</v>
      </c>
      <c r="J257" s="49">
        <f>SUMIF(G99:G249,"SB(P)",J99:J249)</f>
        <v>0</v>
      </c>
      <c r="K257" s="13"/>
      <c r="L257" s="13"/>
      <c r="M257" s="13"/>
      <c r="N257" s="13"/>
    </row>
    <row r="258" spans="1:14" ht="14.25" customHeight="1" x14ac:dyDescent="0.2">
      <c r="A258" s="2069" t="s">
        <v>69</v>
      </c>
      <c r="B258" s="2070"/>
      <c r="C258" s="2070"/>
      <c r="D258" s="2070"/>
      <c r="E258" s="2070"/>
      <c r="F258" s="2070"/>
      <c r="G258" s="2071"/>
      <c r="H258" s="791">
        <f>SUMIF(G99:G249,"SB(VR)",H99:H249)</f>
        <v>1770.6</v>
      </c>
      <c r="I258" s="791">
        <f>SUMIF(G99:G249,"SB(VR)",I99:I249)</f>
        <v>1770.6</v>
      </c>
      <c r="J258" s="791">
        <f>SUMIF(G99:G249,"SB(VR)",J99:J249)</f>
        <v>1770.6</v>
      </c>
      <c r="K258" s="13"/>
      <c r="L258" s="13"/>
      <c r="M258" s="13"/>
      <c r="N258" s="13"/>
    </row>
    <row r="259" spans="1:14" ht="14.25" customHeight="1" x14ac:dyDescent="0.2">
      <c r="A259" s="2147" t="s">
        <v>216</v>
      </c>
      <c r="B259" s="2148"/>
      <c r="C259" s="2148"/>
      <c r="D259" s="2148"/>
      <c r="E259" s="2148"/>
      <c r="F259" s="2148"/>
      <c r="G259" s="2149"/>
      <c r="H259" s="49">
        <f>SUMIF(G16:G243,"SB(ES)",H16:H243)</f>
        <v>5830</v>
      </c>
      <c r="I259" s="49">
        <f>SUMIF(G16:G244,"SB(ES)",I16:I244)</f>
        <v>122.8</v>
      </c>
      <c r="J259" s="49">
        <f>SUMIF(G16:G243,"SB(ES)",J16:J243)</f>
        <v>0</v>
      </c>
      <c r="K259" s="13"/>
      <c r="L259" s="13"/>
      <c r="M259" s="13"/>
      <c r="N259" s="13"/>
    </row>
    <row r="260" spans="1:14" ht="14.25" customHeight="1" x14ac:dyDescent="0.2">
      <c r="A260" s="2147" t="s">
        <v>245</v>
      </c>
      <c r="B260" s="2148"/>
      <c r="C260" s="2148"/>
      <c r="D260" s="2148"/>
      <c r="E260" s="2148"/>
      <c r="F260" s="2148"/>
      <c r="G260" s="2149"/>
      <c r="H260" s="49">
        <f>SUMIF(G99:G244,"SB(VB)",H99:H244)</f>
        <v>0</v>
      </c>
      <c r="I260" s="49">
        <f>SUMIF(G99:G245,"SB(VB)",I99:I245)</f>
        <v>0</v>
      </c>
      <c r="J260" s="49">
        <f>SUMIF(G14:G244,"SB(VB)",J14:J244)</f>
        <v>0</v>
      </c>
      <c r="K260" s="13"/>
      <c r="L260" s="13"/>
      <c r="M260" s="13"/>
      <c r="N260" s="13"/>
    </row>
    <row r="261" spans="1:14" ht="29.25" customHeight="1" x14ac:dyDescent="0.2">
      <c r="A261" s="2081" t="s">
        <v>300</v>
      </c>
      <c r="B261" s="2082"/>
      <c r="C261" s="2082"/>
      <c r="D261" s="2082"/>
      <c r="E261" s="2082"/>
      <c r="F261" s="2082"/>
      <c r="G261" s="2083"/>
      <c r="H261" s="791">
        <f>SUMIF(G14:G248,"SB(KPP)",H14:H248)</f>
        <v>4866.3999999999996</v>
      </c>
      <c r="I261" s="791">
        <f>SUMIF(G99:G250,"SB(KP)",I99:I250)</f>
        <v>0</v>
      </c>
      <c r="J261" s="49">
        <f>SUMIF(G99:G250,"SB(KP)",J99:J250)</f>
        <v>0</v>
      </c>
      <c r="K261" s="13"/>
      <c r="L261" s="13"/>
      <c r="M261" s="13"/>
      <c r="N261" s="13"/>
    </row>
    <row r="262" spans="1:14" ht="15.75" customHeight="1" x14ac:dyDescent="0.2">
      <c r="A262" s="2084" t="s">
        <v>301</v>
      </c>
      <c r="B262" s="2085"/>
      <c r="C262" s="2085"/>
      <c r="D262" s="2085"/>
      <c r="E262" s="2085"/>
      <c r="F262" s="2085"/>
      <c r="G262" s="2086"/>
      <c r="H262" s="210">
        <f>SUMIF(G15:G249,"SB(KP)",H15:H249)</f>
        <v>0</v>
      </c>
      <c r="I262" s="210">
        <f>SUMIF(G13:G249,"SB(KPP)",I13:I249)</f>
        <v>4975.1000000000004</v>
      </c>
      <c r="J262" s="210">
        <f>SUMIF(G15:G249,"SB(KPP)",J15:J249)</f>
        <v>4881.2</v>
      </c>
      <c r="K262" s="13"/>
      <c r="L262" s="13"/>
      <c r="M262" s="13"/>
      <c r="N262" s="13"/>
    </row>
    <row r="263" spans="1:14" ht="14.25" customHeight="1" x14ac:dyDescent="0.2">
      <c r="A263" s="2087" t="s">
        <v>96</v>
      </c>
      <c r="B263" s="2088"/>
      <c r="C263" s="2088"/>
      <c r="D263" s="2088"/>
      <c r="E263" s="2088"/>
      <c r="F263" s="2088"/>
      <c r="G263" s="2089"/>
      <c r="H263" s="210">
        <f>SUMIF(G99:G248,"SB(VRL)",H99:H248)</f>
        <v>901</v>
      </c>
      <c r="I263" s="210">
        <f>SUMIF(G14:G248,"SB(VRL)",I14:I248)</f>
        <v>0</v>
      </c>
      <c r="J263" s="210">
        <f>SUMIF(G14:G248,"SB(VRL)",J14:J248)</f>
        <v>0</v>
      </c>
      <c r="K263" s="13"/>
      <c r="L263" s="13"/>
      <c r="M263" s="13"/>
      <c r="N263" s="13"/>
    </row>
    <row r="264" spans="1:14" ht="14.25" customHeight="1" x14ac:dyDescent="0.2">
      <c r="A264" s="2084" t="s">
        <v>97</v>
      </c>
      <c r="B264" s="2088"/>
      <c r="C264" s="2088"/>
      <c r="D264" s="2088"/>
      <c r="E264" s="2088"/>
      <c r="F264" s="2088"/>
      <c r="G264" s="2089"/>
      <c r="H264" s="210">
        <f>SUMIF(G14:G249,"SB(ŽPL)",H14:H249)</f>
        <v>480.6</v>
      </c>
      <c r="I264" s="210">
        <f>SUMIF(G99:G249,"SB(ŽPL)",I99:I249)</f>
        <v>0</v>
      </c>
      <c r="J264" s="210">
        <f>SUMIF(G99:G249,"SB(ŽPL)",J99:J249)</f>
        <v>0</v>
      </c>
      <c r="K264" s="13"/>
      <c r="L264" s="13"/>
      <c r="M264" s="13"/>
      <c r="N264" s="13"/>
    </row>
    <row r="265" spans="1:14" ht="14.25" customHeight="1" x14ac:dyDescent="0.2">
      <c r="A265" s="2141" t="s">
        <v>163</v>
      </c>
      <c r="B265" s="2142"/>
      <c r="C265" s="2142"/>
      <c r="D265" s="2142"/>
      <c r="E265" s="2142"/>
      <c r="F265" s="2142"/>
      <c r="G265" s="2143"/>
      <c r="H265" s="210">
        <f>SUMIF(G14:G249,"SB(L)",H14:H249)</f>
        <v>4155.3999999999996</v>
      </c>
      <c r="I265" s="210">
        <f>SUMIF(G14:G249,"SB(L)",I14:I249)</f>
        <v>0</v>
      </c>
      <c r="J265" s="210">
        <f>SUMIF(G14:G249,"SB(L)",J14:J249)</f>
        <v>0</v>
      </c>
      <c r="K265" s="13"/>
      <c r="L265" s="13"/>
      <c r="M265" s="13"/>
      <c r="N265" s="13"/>
    </row>
    <row r="266" spans="1:14" ht="14.25" customHeight="1" x14ac:dyDescent="0.2">
      <c r="A266" s="2144" t="s">
        <v>15</v>
      </c>
      <c r="B266" s="2145"/>
      <c r="C266" s="2145"/>
      <c r="D266" s="2145"/>
      <c r="E266" s="2145"/>
      <c r="F266" s="2145"/>
      <c r="G266" s="2146"/>
      <c r="H266" s="211">
        <f ca="1">H269+H270+H271+H267+H268</f>
        <v>2707.9</v>
      </c>
      <c r="I266" s="211">
        <f>I269+I270+I271+I267+I268</f>
        <v>19231</v>
      </c>
      <c r="J266" s="211">
        <f t="shared" ref="J266" si="8">J269+J270+J271+J267+J268</f>
        <v>11678.7</v>
      </c>
      <c r="K266" s="13"/>
      <c r="L266" s="13"/>
      <c r="M266" s="13"/>
      <c r="N266" s="13"/>
    </row>
    <row r="267" spans="1:14" ht="14.25" customHeight="1" x14ac:dyDescent="0.2">
      <c r="A267" s="2147" t="s">
        <v>21</v>
      </c>
      <c r="B267" s="2148"/>
      <c r="C267" s="2148"/>
      <c r="D267" s="2148"/>
      <c r="E267" s="2148"/>
      <c r="F267" s="2148"/>
      <c r="G267" s="2149"/>
      <c r="H267" s="49">
        <f>SUMIF(G12:G249,"ES",H12:H249)</f>
        <v>919.1</v>
      </c>
      <c r="I267" s="49">
        <f>SUMIF(G12:G249,"ES",I12:I249)</f>
        <v>2596</v>
      </c>
      <c r="J267" s="49">
        <f>SUMIF(G12:G249,"ES",J12:J249)</f>
        <v>2069.6</v>
      </c>
      <c r="K267" s="13"/>
      <c r="L267" s="13"/>
      <c r="M267" s="13"/>
      <c r="N267" s="13"/>
    </row>
    <row r="268" spans="1:14" ht="14.25" customHeight="1" x14ac:dyDescent="0.2">
      <c r="A268" s="2150" t="s">
        <v>299</v>
      </c>
      <c r="B268" s="2151"/>
      <c r="C268" s="2151"/>
      <c r="D268" s="2151"/>
      <c r="E268" s="2151"/>
      <c r="F268" s="2151"/>
      <c r="G268" s="2152"/>
      <c r="H268" s="550">
        <f>SUMIF(G15:G248,"KPP(VIP)",H15:H248)</f>
        <v>0</v>
      </c>
      <c r="I268" s="550">
        <f>SUMIF(G15:G248,"KPP(VIP)",I15:I248)</f>
        <v>10000</v>
      </c>
      <c r="J268" s="784">
        <f>SUMIF(G15:G248,"KPP(VIP)",J15:J248)</f>
        <v>0</v>
      </c>
      <c r="K268" s="13"/>
      <c r="L268" s="13"/>
      <c r="M268" s="13"/>
      <c r="N268" s="13"/>
    </row>
    <row r="269" spans="1:14" ht="14.25" customHeight="1" x14ac:dyDescent="0.2">
      <c r="A269" s="2150" t="s">
        <v>22</v>
      </c>
      <c r="B269" s="2151"/>
      <c r="C269" s="2151"/>
      <c r="D269" s="2151"/>
      <c r="E269" s="2151"/>
      <c r="F269" s="2151"/>
      <c r="G269" s="2152"/>
      <c r="H269" s="49">
        <f>SUMIF(G14:G249,"KVJUD",H14:H249)</f>
        <v>1662.4</v>
      </c>
      <c r="I269" s="49">
        <f>SUMIF(G16:G249,"KVJUD",I16:I249)</f>
        <v>1500</v>
      </c>
      <c r="J269" s="49">
        <f>SUMIF(G16:G249,"KVJUD",J16:J249)</f>
        <v>1000</v>
      </c>
      <c r="K269" s="43"/>
      <c r="L269" s="43"/>
      <c r="M269" s="43"/>
      <c r="N269" s="43"/>
    </row>
    <row r="270" spans="1:14" ht="14.25" customHeight="1" x14ac:dyDescent="0.2">
      <c r="A270" s="2069" t="s">
        <v>23</v>
      </c>
      <c r="B270" s="2070"/>
      <c r="C270" s="2070"/>
      <c r="D270" s="2070"/>
      <c r="E270" s="2070"/>
      <c r="F270" s="2070"/>
      <c r="G270" s="2071"/>
      <c r="H270" s="49">
        <f ca="1">SUMIF(G14:G249,"LRVB",H99:H249)</f>
        <v>0</v>
      </c>
      <c r="I270" s="49">
        <f>SUMIF(G13:G249,"LRVB",I13:I249)</f>
        <v>5000</v>
      </c>
      <c r="J270" s="49">
        <f>SUMIF(G13:G249,"LRVB",J13:J249)</f>
        <v>8609.1</v>
      </c>
      <c r="K270" s="43"/>
      <c r="L270" s="43"/>
      <c r="M270" s="43"/>
      <c r="N270" s="43"/>
    </row>
    <row r="271" spans="1:14" ht="14.25" customHeight="1" x14ac:dyDescent="0.2">
      <c r="A271" s="2129" t="s">
        <v>24</v>
      </c>
      <c r="B271" s="2130"/>
      <c r="C271" s="2130"/>
      <c r="D271" s="2130"/>
      <c r="E271" s="2130"/>
      <c r="F271" s="2130"/>
      <c r="G271" s="2131"/>
      <c r="H271" s="49">
        <f>SUMIF(G16:G249,"Kt",H16:H249)</f>
        <v>126.4</v>
      </c>
      <c r="I271" s="49">
        <f>SUMIF(G16:G249,"Kt",I16:I249)</f>
        <v>135</v>
      </c>
      <c r="J271" s="49">
        <f>SUMIF(G16:G249,"Kt",J16:J249)</f>
        <v>0</v>
      </c>
      <c r="K271" s="43"/>
      <c r="L271" s="43"/>
      <c r="M271" s="43"/>
      <c r="N271" s="43"/>
    </row>
    <row r="272" spans="1:14" ht="14.25" customHeight="1" thickBot="1" x14ac:dyDescent="0.25">
      <c r="A272" s="2132" t="s">
        <v>16</v>
      </c>
      <c r="B272" s="2133"/>
      <c r="C272" s="2133"/>
      <c r="D272" s="2133"/>
      <c r="E272" s="2133"/>
      <c r="F272" s="2133"/>
      <c r="G272" s="2134"/>
      <c r="H272" s="212">
        <f ca="1">SUM(H254,H266)</f>
        <v>29161.9</v>
      </c>
      <c r="I272" s="212">
        <f>SUM(I254,I266)</f>
        <v>36788</v>
      </c>
      <c r="J272" s="212">
        <f>SUM(J254,J266)</f>
        <v>28044.1</v>
      </c>
      <c r="K272" s="43"/>
      <c r="L272" s="43"/>
      <c r="M272" s="43"/>
      <c r="N272" s="43"/>
    </row>
    <row r="273" spans="1:14" x14ac:dyDescent="0.2">
      <c r="G273" s="521"/>
      <c r="H273" s="522"/>
      <c r="I273" s="522"/>
      <c r="J273" s="522"/>
      <c r="K273" s="4"/>
    </row>
    <row r="274" spans="1:14" x14ac:dyDescent="0.2">
      <c r="E274" s="2195" t="s">
        <v>311</v>
      </c>
      <c r="F274" s="2195"/>
      <c r="G274" s="2195"/>
      <c r="H274" s="2195"/>
      <c r="I274" s="2195"/>
      <c r="J274" s="2195"/>
      <c r="K274" s="4"/>
    </row>
    <row r="275" spans="1:14" x14ac:dyDescent="0.2">
      <c r="G275" s="521"/>
      <c r="H275" s="537"/>
      <c r="I275" s="537"/>
      <c r="J275" s="537"/>
      <c r="K275" s="4"/>
    </row>
    <row r="276" spans="1:14" x14ac:dyDescent="0.2">
      <c r="A276" s="1"/>
      <c r="B276" s="1"/>
      <c r="C276" s="1"/>
      <c r="D276" s="1"/>
      <c r="E276" s="1"/>
      <c r="F276" s="1"/>
      <c r="G276" s="1"/>
      <c r="H276" s="43"/>
      <c r="I276" s="43"/>
      <c r="J276" s="43"/>
      <c r="K276" s="1"/>
      <c r="L276" s="1"/>
      <c r="M276" s="1"/>
      <c r="N276" s="1"/>
    </row>
    <row r="277" spans="1:14" x14ac:dyDescent="0.2">
      <c r="A277" s="1"/>
      <c r="B277" s="1"/>
      <c r="C277" s="1"/>
      <c r="D277" s="1"/>
      <c r="E277" s="1"/>
      <c r="F277" s="1"/>
      <c r="G277" s="1"/>
      <c r="H277" s="43"/>
      <c r="I277" s="43"/>
      <c r="J277" s="43"/>
      <c r="K277" s="1"/>
      <c r="L277" s="1"/>
      <c r="M277" s="1"/>
      <c r="N277" s="1"/>
    </row>
    <row r="278" spans="1:14" x14ac:dyDescent="0.2">
      <c r="I278" s="13"/>
      <c r="J278" s="13"/>
    </row>
  </sheetData>
  <mergeCells count="268">
    <mergeCell ref="D16:D18"/>
    <mergeCell ref="E16:E18"/>
    <mergeCell ref="A13:N13"/>
    <mergeCell ref="B14:N14"/>
    <mergeCell ref="C15:N15"/>
    <mergeCell ref="I9:I11"/>
    <mergeCell ref="J9:J11"/>
    <mergeCell ref="K9:N9"/>
    <mergeCell ref="K10:K11"/>
    <mergeCell ref="L10:N10"/>
    <mergeCell ref="A12:N12"/>
    <mergeCell ref="E9:E11"/>
    <mergeCell ref="F9:F11"/>
    <mergeCell ref="G9:G11"/>
    <mergeCell ref="H9:H11"/>
    <mergeCell ref="A9:A11"/>
    <mergeCell ref="B9:B11"/>
    <mergeCell ref="C9:C11"/>
    <mergeCell ref="D9:D11"/>
    <mergeCell ref="C99:G99"/>
    <mergeCell ref="C100:N100"/>
    <mergeCell ref="D106:D107"/>
    <mergeCell ref="D111:D112"/>
    <mergeCell ref="K111:K112"/>
    <mergeCell ref="E101:E104"/>
    <mergeCell ref="E274:J274"/>
    <mergeCell ref="D149:D152"/>
    <mergeCell ref="D200:D204"/>
    <mergeCell ref="D115:D116"/>
    <mergeCell ref="K115:K116"/>
    <mergeCell ref="L117:L118"/>
    <mergeCell ref="M117:M118"/>
    <mergeCell ref="N117:N118"/>
    <mergeCell ref="K139:K141"/>
    <mergeCell ref="C147:G147"/>
    <mergeCell ref="K147:N147"/>
    <mergeCell ref="C148:N148"/>
    <mergeCell ref="K156:K157"/>
    <mergeCell ref="K159:K160"/>
    <mergeCell ref="D163:D164"/>
    <mergeCell ref="E153:E155"/>
    <mergeCell ref="K163:K164"/>
    <mergeCell ref="K247:N247"/>
    <mergeCell ref="D131:D133"/>
    <mergeCell ref="A117:A118"/>
    <mergeCell ref="B117:B118"/>
    <mergeCell ref="C117:C118"/>
    <mergeCell ref="D117:D118"/>
    <mergeCell ref="E117:E118"/>
    <mergeCell ref="F117:F118"/>
    <mergeCell ref="K117:K118"/>
    <mergeCell ref="D125:D126"/>
    <mergeCell ref="E125:E126"/>
    <mergeCell ref="F125:F126"/>
    <mergeCell ref="A119:A121"/>
    <mergeCell ref="B119:B121"/>
    <mergeCell ref="C119:C121"/>
    <mergeCell ref="D119:D121"/>
    <mergeCell ref="E119:E121"/>
    <mergeCell ref="F119:F121"/>
    <mergeCell ref="A125:A126"/>
    <mergeCell ref="B125:B126"/>
    <mergeCell ref="C125:C126"/>
    <mergeCell ref="D127:D128"/>
    <mergeCell ref="E131:E132"/>
    <mergeCell ref="B179:B180"/>
    <mergeCell ref="C179:C180"/>
    <mergeCell ref="D179:D180"/>
    <mergeCell ref="E179:E180"/>
    <mergeCell ref="D166:D167"/>
    <mergeCell ref="K166:K167"/>
    <mergeCell ref="F169:F171"/>
    <mergeCell ref="D172:D176"/>
    <mergeCell ref="E172:E176"/>
    <mergeCell ref="A194:A196"/>
    <mergeCell ref="B194:B196"/>
    <mergeCell ref="C194:C196"/>
    <mergeCell ref="D194:D196"/>
    <mergeCell ref="E194:E196"/>
    <mergeCell ref="K182:K183"/>
    <mergeCell ref="A184:A186"/>
    <mergeCell ref="B184:B186"/>
    <mergeCell ref="C184:C186"/>
    <mergeCell ref="D184:D186"/>
    <mergeCell ref="E184:E186"/>
    <mergeCell ref="F184:F186"/>
    <mergeCell ref="A181:A182"/>
    <mergeCell ref="B181:B182"/>
    <mergeCell ref="C181:C182"/>
    <mergeCell ref="D181:D183"/>
    <mergeCell ref="E181:E183"/>
    <mergeCell ref="F190:F192"/>
    <mergeCell ref="K248:N248"/>
    <mergeCell ref="K223:K224"/>
    <mergeCell ref="B225:B229"/>
    <mergeCell ref="C225:C229"/>
    <mergeCell ref="D225:D226"/>
    <mergeCell ref="K194:K195"/>
    <mergeCell ref="C198:G198"/>
    <mergeCell ref="K198:N198"/>
    <mergeCell ref="C199:N199"/>
    <mergeCell ref="K249:N249"/>
    <mergeCell ref="D243:D246"/>
    <mergeCell ref="E243:E246"/>
    <mergeCell ref="F243:F246"/>
    <mergeCell ref="C247:G247"/>
    <mergeCell ref="A271:G271"/>
    <mergeCell ref="A272:G272"/>
    <mergeCell ref="K1:N1"/>
    <mergeCell ref="A5:N5"/>
    <mergeCell ref="A6:N6"/>
    <mergeCell ref="A7:N7"/>
    <mergeCell ref="K8:N8"/>
    <mergeCell ref="A264:G264"/>
    <mergeCell ref="A265:G265"/>
    <mergeCell ref="A266:G266"/>
    <mergeCell ref="A267:G267"/>
    <mergeCell ref="A268:G268"/>
    <mergeCell ref="A269:G269"/>
    <mergeCell ref="A258:G258"/>
    <mergeCell ref="A259:G259"/>
    <mergeCell ref="A260:G260"/>
    <mergeCell ref="D230:D231"/>
    <mergeCell ref="K230:K231"/>
    <mergeCell ref="B248:G248"/>
    <mergeCell ref="A179:A180"/>
    <mergeCell ref="B249:G249"/>
    <mergeCell ref="A225:A229"/>
    <mergeCell ref="D219:D222"/>
    <mergeCell ref="F194:F196"/>
    <mergeCell ref="C206:C212"/>
    <mergeCell ref="C214:C218"/>
    <mergeCell ref="A169:A171"/>
    <mergeCell ref="B169:B171"/>
    <mergeCell ref="C169:C171"/>
    <mergeCell ref="D169:D171"/>
    <mergeCell ref="E169:E171"/>
    <mergeCell ref="A187:A189"/>
    <mergeCell ref="B187:B189"/>
    <mergeCell ref="C187:C189"/>
    <mergeCell ref="D187:D189"/>
    <mergeCell ref="E187:E189"/>
    <mergeCell ref="F187:F189"/>
    <mergeCell ref="A190:A192"/>
    <mergeCell ref="B190:B192"/>
    <mergeCell ref="C190:C192"/>
    <mergeCell ref="D190:D192"/>
    <mergeCell ref="E190:E192"/>
    <mergeCell ref="D232:D233"/>
    <mergeCell ref="D134:D136"/>
    <mergeCell ref="F139:F142"/>
    <mergeCell ref="A270:G270"/>
    <mergeCell ref="A255:G255"/>
    <mergeCell ref="A256:G256"/>
    <mergeCell ref="A257:G257"/>
    <mergeCell ref="D234:D235"/>
    <mergeCell ref="E237:E239"/>
    <mergeCell ref="F237:F239"/>
    <mergeCell ref="D240:D241"/>
    <mergeCell ref="A223:A224"/>
    <mergeCell ref="B223:B224"/>
    <mergeCell ref="C223:C224"/>
    <mergeCell ref="D223:D224"/>
    <mergeCell ref="A261:G261"/>
    <mergeCell ref="A262:G262"/>
    <mergeCell ref="A263:G263"/>
    <mergeCell ref="A252:G252"/>
    <mergeCell ref="A253:G253"/>
    <mergeCell ref="A254:G254"/>
    <mergeCell ref="E225:E229"/>
    <mergeCell ref="F225:F229"/>
    <mergeCell ref="A143:A146"/>
    <mergeCell ref="B143:B146"/>
    <mergeCell ref="C143:C146"/>
    <mergeCell ref="D143:D145"/>
    <mergeCell ref="F143:F146"/>
    <mergeCell ref="K143:K145"/>
    <mergeCell ref="A139:A142"/>
    <mergeCell ref="B139:B142"/>
    <mergeCell ref="C139:C142"/>
    <mergeCell ref="D139:D141"/>
    <mergeCell ref="A26:A31"/>
    <mergeCell ref="B26:B31"/>
    <mergeCell ref="C26:C31"/>
    <mergeCell ref="E26:E31"/>
    <mergeCell ref="F26:F31"/>
    <mergeCell ref="D32:D34"/>
    <mergeCell ref="E32:E34"/>
    <mergeCell ref="F32:F34"/>
    <mergeCell ref="D35:D37"/>
    <mergeCell ref="E36:E37"/>
    <mergeCell ref="A38:A40"/>
    <mergeCell ref="B38:B40"/>
    <mergeCell ref="C38:C40"/>
    <mergeCell ref="D38:D40"/>
    <mergeCell ref="F38:F40"/>
    <mergeCell ref="A41:A45"/>
    <mergeCell ref="B41:B45"/>
    <mergeCell ref="C41:C45"/>
    <mergeCell ref="D41:D45"/>
    <mergeCell ref="F41:F45"/>
    <mergeCell ref="C50:C54"/>
    <mergeCell ref="D50:D52"/>
    <mergeCell ref="K50:K51"/>
    <mergeCell ref="E51:E52"/>
    <mergeCell ref="D53:D54"/>
    <mergeCell ref="A55:A59"/>
    <mergeCell ref="B55:B59"/>
    <mergeCell ref="C55:C65"/>
    <mergeCell ref="D55:D59"/>
    <mergeCell ref="F55:F59"/>
    <mergeCell ref="K57:K58"/>
    <mergeCell ref="D60:D62"/>
    <mergeCell ref="E60:E62"/>
    <mergeCell ref="K60:K61"/>
    <mergeCell ref="A63:A65"/>
    <mergeCell ref="B63:B65"/>
    <mergeCell ref="D63:D65"/>
    <mergeCell ref="E63:E65"/>
    <mergeCell ref="F63:F65"/>
    <mergeCell ref="K63:K64"/>
    <mergeCell ref="A82:A84"/>
    <mergeCell ref="B82:B84"/>
    <mergeCell ref="C82:C84"/>
    <mergeCell ref="D82:D84"/>
    <mergeCell ref="E82:E84"/>
    <mergeCell ref="F82:F84"/>
    <mergeCell ref="K83:K84"/>
    <mergeCell ref="D66:D67"/>
    <mergeCell ref="K66:K67"/>
    <mergeCell ref="A68:A70"/>
    <mergeCell ref="B68:B70"/>
    <mergeCell ref="C68:C70"/>
    <mergeCell ref="D68:D70"/>
    <mergeCell ref="F68:F70"/>
    <mergeCell ref="K68:K69"/>
    <mergeCell ref="D71:D74"/>
    <mergeCell ref="F71:F74"/>
    <mergeCell ref="M85:M86"/>
    <mergeCell ref="D87:D88"/>
    <mergeCell ref="D89:D90"/>
    <mergeCell ref="F89:F90"/>
    <mergeCell ref="D91:D92"/>
    <mergeCell ref="E91:E92"/>
    <mergeCell ref="F91:F92"/>
    <mergeCell ref="D93:D94"/>
    <mergeCell ref="E93:E94"/>
    <mergeCell ref="D95:D97"/>
    <mergeCell ref="K95:K97"/>
    <mergeCell ref="D26:D28"/>
    <mergeCell ref="K26:K27"/>
    <mergeCell ref="K32:K33"/>
    <mergeCell ref="K35:K36"/>
    <mergeCell ref="K41:K42"/>
    <mergeCell ref="D46:D49"/>
    <mergeCell ref="E46:E48"/>
    <mergeCell ref="K47:K48"/>
    <mergeCell ref="E55:E57"/>
    <mergeCell ref="D80:D81"/>
    <mergeCell ref="D85:D86"/>
    <mergeCell ref="D75:D77"/>
    <mergeCell ref="E75:E77"/>
    <mergeCell ref="D78:D79"/>
    <mergeCell ref="E78:E79"/>
    <mergeCell ref="F78:F79"/>
    <mergeCell ref="K78:K79"/>
    <mergeCell ref="E80:E81"/>
    <mergeCell ref="F80:F81"/>
  </mergeCells>
  <printOptions horizontalCentered="1"/>
  <pageMargins left="0.59055118110236227" right="0.19685039370078741" top="0.59055118110236227" bottom="0.39370078740157483" header="0" footer="0"/>
  <pageSetup paperSize="9" scale="69" orientation="portrait" r:id="rId1"/>
  <headerFooter alignWithMargins="0"/>
  <rowBreaks count="3" manualBreakCount="3">
    <brk id="62" max="13" man="1"/>
    <brk id="118" max="13" man="1"/>
    <brk id="235"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375"/>
  <sheetViews>
    <sheetView zoomScaleNormal="100" zoomScaleSheetLayoutView="100" workbookViewId="0">
      <selection activeCell="X26" sqref="X25:X26"/>
    </sheetView>
  </sheetViews>
  <sheetFormatPr defaultRowHeight="12.75" x14ac:dyDescent="0.2"/>
  <cols>
    <col min="1" max="2" width="2.7109375" style="2" customWidth="1"/>
    <col min="3" max="3" width="2.7109375" style="1751" customWidth="1"/>
    <col min="4" max="4" width="36.28515625" style="2" customWidth="1"/>
    <col min="5" max="5" width="3.28515625" style="7" customWidth="1"/>
    <col min="6" max="6" width="3" style="10" customWidth="1"/>
    <col min="7" max="7" width="8.28515625" style="3" customWidth="1"/>
    <col min="8" max="16" width="8.7109375" style="2" customWidth="1"/>
    <col min="17" max="17" width="39.85546875" style="2" customWidth="1"/>
    <col min="18" max="20" width="4.7109375" style="2" customWidth="1"/>
    <col min="21" max="21" width="39.5703125" style="2" customWidth="1"/>
    <col min="22" max="16384" width="9.140625" style="1"/>
  </cols>
  <sheetData>
    <row r="1" spans="1:50" ht="18" customHeight="1" x14ac:dyDescent="0.2">
      <c r="F1" s="973"/>
      <c r="O1" s="491"/>
      <c r="P1" s="492"/>
      <c r="Q1" s="492"/>
      <c r="R1" s="492"/>
      <c r="S1" s="493"/>
      <c r="T1" s="1"/>
      <c r="U1" s="974" t="s">
        <v>217</v>
      </c>
    </row>
    <row r="2" spans="1:50" s="127" customFormat="1" ht="12.75" customHeight="1" x14ac:dyDescent="0.25">
      <c r="B2" s="394"/>
      <c r="C2" s="1752"/>
      <c r="D2" s="394"/>
      <c r="E2" s="394"/>
      <c r="Q2" s="813"/>
      <c r="R2" s="813"/>
      <c r="S2" s="813"/>
      <c r="T2" s="813"/>
      <c r="U2" s="813"/>
      <c r="V2" s="394"/>
      <c r="W2" s="394"/>
      <c r="X2" s="394"/>
      <c r="Y2" s="394"/>
      <c r="Z2" s="394"/>
      <c r="AA2" s="394"/>
      <c r="AB2" s="394"/>
      <c r="AC2" s="394"/>
      <c r="AD2" s="394"/>
      <c r="AE2" s="394"/>
      <c r="AF2" s="394"/>
      <c r="AG2" s="394"/>
      <c r="AH2" s="394"/>
      <c r="AI2" s="394"/>
      <c r="AJ2" s="394"/>
      <c r="AK2" s="394"/>
      <c r="AL2" s="394"/>
      <c r="AM2" s="394"/>
      <c r="AN2" s="394"/>
      <c r="AO2" s="394"/>
      <c r="AP2" s="394"/>
      <c r="AQ2" s="394"/>
      <c r="AR2" s="394"/>
      <c r="AS2" s="394"/>
      <c r="AT2" s="394"/>
      <c r="AU2" s="394"/>
      <c r="AV2" s="394"/>
      <c r="AW2" s="394"/>
      <c r="AX2" s="394"/>
    </row>
    <row r="3" spans="1:50" s="127" customFormat="1" ht="12" customHeight="1" x14ac:dyDescent="0.25">
      <c r="B3" s="394"/>
      <c r="C3" s="1752"/>
      <c r="D3" s="394"/>
      <c r="E3" s="394"/>
      <c r="Q3" s="813"/>
      <c r="R3" s="813"/>
      <c r="S3" s="813"/>
      <c r="T3" s="813"/>
      <c r="U3" s="813"/>
      <c r="V3" s="394"/>
      <c r="W3" s="394"/>
      <c r="X3" s="394"/>
      <c r="Y3" s="394"/>
      <c r="Z3" s="394"/>
      <c r="AA3" s="394"/>
      <c r="AB3" s="394"/>
      <c r="AC3" s="394"/>
      <c r="AD3" s="394"/>
      <c r="AE3" s="394"/>
      <c r="AF3" s="394"/>
      <c r="AG3" s="394"/>
      <c r="AH3" s="394"/>
      <c r="AI3" s="394"/>
      <c r="AJ3" s="394"/>
      <c r="AK3" s="394"/>
      <c r="AL3" s="394"/>
      <c r="AM3" s="394"/>
      <c r="AN3" s="394"/>
      <c r="AO3" s="394"/>
      <c r="AP3" s="394"/>
      <c r="AQ3" s="394"/>
      <c r="AR3" s="394"/>
      <c r="AS3" s="394"/>
      <c r="AT3" s="394"/>
      <c r="AU3" s="394"/>
      <c r="AV3" s="394"/>
      <c r="AW3" s="394"/>
      <c r="AX3" s="394"/>
    </row>
    <row r="4" spans="1:50" s="32" customFormat="1" ht="15" x14ac:dyDescent="0.2">
      <c r="A4" s="2136" t="s">
        <v>308</v>
      </c>
      <c r="B4" s="2136"/>
      <c r="C4" s="2136"/>
      <c r="D4" s="2136"/>
      <c r="E4" s="2136"/>
      <c r="F4" s="2136"/>
      <c r="G4" s="2136"/>
      <c r="H4" s="2136"/>
      <c r="I4" s="2136"/>
      <c r="J4" s="2136"/>
      <c r="K4" s="2136"/>
      <c r="L4" s="2136"/>
      <c r="M4" s="2136"/>
      <c r="N4" s="2136"/>
      <c r="O4" s="2136"/>
      <c r="P4" s="2136"/>
      <c r="Q4" s="2136"/>
      <c r="R4" s="2136"/>
      <c r="S4" s="2136"/>
      <c r="T4" s="2136"/>
      <c r="U4" s="2136"/>
      <c r="V4" s="536"/>
      <c r="W4" s="536"/>
      <c r="X4" s="536"/>
      <c r="Y4" s="536"/>
      <c r="Z4" s="536"/>
      <c r="AA4" s="536"/>
      <c r="AB4" s="536"/>
      <c r="AC4" s="536"/>
      <c r="AD4" s="536"/>
      <c r="AE4" s="536"/>
      <c r="AF4" s="536"/>
      <c r="AG4" s="536"/>
      <c r="AH4" s="536"/>
      <c r="AI4" s="536"/>
      <c r="AJ4" s="536"/>
      <c r="AK4" s="536"/>
      <c r="AL4" s="536"/>
      <c r="AM4" s="536"/>
      <c r="AN4" s="536"/>
      <c r="AO4" s="536"/>
      <c r="AP4" s="536"/>
      <c r="AQ4" s="536"/>
      <c r="AR4" s="536"/>
      <c r="AS4" s="536"/>
      <c r="AT4" s="536"/>
      <c r="AU4" s="536"/>
      <c r="AV4" s="536"/>
      <c r="AW4" s="536"/>
      <c r="AX4" s="536"/>
    </row>
    <row r="5" spans="1:50" ht="15.75" customHeight="1" x14ac:dyDescent="0.2">
      <c r="A5" s="2137" t="s">
        <v>29</v>
      </c>
      <c r="B5" s="2137"/>
      <c r="C5" s="2137"/>
      <c r="D5" s="2137"/>
      <c r="E5" s="2137"/>
      <c r="F5" s="2137"/>
      <c r="G5" s="2137"/>
      <c r="H5" s="2137"/>
      <c r="I5" s="2137"/>
      <c r="J5" s="2137"/>
      <c r="K5" s="2137"/>
      <c r="L5" s="2137"/>
      <c r="M5" s="2137"/>
      <c r="N5" s="2137"/>
      <c r="O5" s="2137"/>
      <c r="P5" s="2137"/>
      <c r="Q5" s="2137"/>
      <c r="R5" s="2137"/>
      <c r="S5" s="2137"/>
      <c r="T5" s="2137"/>
      <c r="U5" s="2137"/>
      <c r="V5" s="526"/>
      <c r="W5" s="526"/>
      <c r="X5" s="526"/>
      <c r="Y5" s="526"/>
      <c r="Z5" s="526"/>
      <c r="AA5" s="526"/>
      <c r="AB5" s="526"/>
      <c r="AC5" s="526"/>
      <c r="AD5" s="526"/>
      <c r="AE5" s="526"/>
      <c r="AF5" s="526"/>
      <c r="AG5" s="526"/>
      <c r="AH5" s="526"/>
      <c r="AI5" s="526"/>
      <c r="AJ5" s="526"/>
      <c r="AK5" s="526"/>
      <c r="AL5" s="526"/>
      <c r="AM5" s="526"/>
      <c r="AN5" s="526"/>
      <c r="AO5" s="526"/>
      <c r="AP5" s="526"/>
      <c r="AQ5" s="526"/>
      <c r="AR5" s="526"/>
      <c r="AS5" s="526"/>
      <c r="AT5" s="526"/>
      <c r="AU5" s="526"/>
      <c r="AV5" s="526"/>
      <c r="AW5" s="526"/>
      <c r="AX5" s="526"/>
    </row>
    <row r="6" spans="1:50" ht="15" customHeight="1" x14ac:dyDescent="0.2">
      <c r="A6" s="2138" t="s">
        <v>17</v>
      </c>
      <c r="B6" s="2138"/>
      <c r="C6" s="2138"/>
      <c r="D6" s="2138"/>
      <c r="E6" s="2138"/>
      <c r="F6" s="2138"/>
      <c r="G6" s="2138"/>
      <c r="H6" s="2138"/>
      <c r="I6" s="2138"/>
      <c r="J6" s="2138"/>
      <c r="K6" s="2138"/>
      <c r="L6" s="2138"/>
      <c r="M6" s="2138"/>
      <c r="N6" s="2138"/>
      <c r="O6" s="2138"/>
      <c r="P6" s="2138"/>
      <c r="Q6" s="2138"/>
      <c r="R6" s="2138"/>
      <c r="S6" s="2138"/>
      <c r="T6" s="2138"/>
      <c r="U6" s="2138"/>
      <c r="V6" s="526"/>
      <c r="W6" s="526"/>
      <c r="X6" s="526"/>
      <c r="Y6" s="526"/>
      <c r="Z6" s="526"/>
      <c r="AA6" s="526"/>
      <c r="AB6" s="526"/>
      <c r="AC6" s="526"/>
      <c r="AD6" s="526"/>
      <c r="AE6" s="526"/>
      <c r="AF6" s="526"/>
      <c r="AG6" s="526"/>
      <c r="AH6" s="526"/>
      <c r="AI6" s="526"/>
      <c r="AJ6" s="526"/>
      <c r="AK6" s="526"/>
      <c r="AL6" s="526"/>
      <c r="AM6" s="526"/>
      <c r="AN6" s="526"/>
      <c r="AO6" s="526"/>
      <c r="AP6" s="526"/>
      <c r="AQ6" s="526"/>
      <c r="AR6" s="526"/>
      <c r="AS6" s="526"/>
      <c r="AT6" s="526"/>
      <c r="AU6" s="526"/>
      <c r="AV6" s="526"/>
      <c r="AW6" s="526"/>
      <c r="AX6" s="526"/>
    </row>
    <row r="7" spans="1:50" ht="14.25" customHeight="1" thickBot="1" x14ac:dyDescent="0.25">
      <c r="A7" s="14"/>
      <c r="B7" s="14"/>
      <c r="C7" s="1753"/>
      <c r="D7" s="14"/>
      <c r="E7" s="15"/>
      <c r="F7" s="16"/>
      <c r="G7" s="187"/>
      <c r="H7" s="14"/>
      <c r="I7" s="14"/>
      <c r="J7" s="14"/>
      <c r="K7" s="14"/>
      <c r="L7" s="14"/>
      <c r="M7" s="14"/>
      <c r="N7" s="14"/>
      <c r="O7" s="14"/>
      <c r="P7" s="14"/>
      <c r="Q7" s="2139" t="s">
        <v>109</v>
      </c>
      <c r="R7" s="2139"/>
      <c r="S7" s="2139"/>
      <c r="T7" s="2139"/>
      <c r="U7" s="2140"/>
      <c r="V7" s="526"/>
      <c r="W7" s="526"/>
      <c r="X7" s="526"/>
      <c r="Y7" s="526"/>
      <c r="Z7" s="526"/>
      <c r="AA7" s="526"/>
      <c r="AB7" s="526"/>
      <c r="AC7" s="526"/>
      <c r="AD7" s="526"/>
      <c r="AE7" s="526"/>
      <c r="AF7" s="526"/>
      <c r="AG7" s="526"/>
      <c r="AH7" s="526"/>
      <c r="AI7" s="526"/>
      <c r="AJ7" s="526"/>
      <c r="AK7" s="526"/>
      <c r="AL7" s="526"/>
      <c r="AM7" s="526"/>
      <c r="AN7" s="526"/>
      <c r="AO7" s="526"/>
      <c r="AP7" s="526"/>
      <c r="AQ7" s="526"/>
      <c r="AR7" s="526"/>
      <c r="AS7" s="526"/>
      <c r="AT7" s="526"/>
      <c r="AU7" s="526"/>
      <c r="AV7" s="526"/>
      <c r="AW7" s="526"/>
      <c r="AX7" s="526"/>
    </row>
    <row r="8" spans="1:50" s="32" customFormat="1" ht="30" customHeight="1" x14ac:dyDescent="0.2">
      <c r="A8" s="2254" t="s">
        <v>18</v>
      </c>
      <c r="B8" s="2257" t="s">
        <v>0</v>
      </c>
      <c r="C8" s="2436" t="s">
        <v>1</v>
      </c>
      <c r="D8" s="2439" t="s">
        <v>12</v>
      </c>
      <c r="E8" s="2257" t="s">
        <v>2</v>
      </c>
      <c r="F8" s="2445" t="s">
        <v>3</v>
      </c>
      <c r="G8" s="2251" t="s">
        <v>4</v>
      </c>
      <c r="H8" s="2394" t="s">
        <v>227</v>
      </c>
      <c r="I8" s="2430" t="s">
        <v>335</v>
      </c>
      <c r="J8" s="2448" t="s">
        <v>219</v>
      </c>
      <c r="K8" s="2394" t="s">
        <v>158</v>
      </c>
      <c r="L8" s="2430" t="s">
        <v>220</v>
      </c>
      <c r="M8" s="2448" t="s">
        <v>219</v>
      </c>
      <c r="N8" s="2394" t="s">
        <v>223</v>
      </c>
      <c r="O8" s="2430" t="s">
        <v>336</v>
      </c>
      <c r="P8" s="2448" t="s">
        <v>219</v>
      </c>
      <c r="Q8" s="2235" t="s">
        <v>11</v>
      </c>
      <c r="R8" s="2236"/>
      <c r="S8" s="2236"/>
      <c r="T8" s="2442"/>
      <c r="U8" s="494"/>
    </row>
    <row r="9" spans="1:50" s="32" customFormat="1" ht="18.75" customHeight="1" x14ac:dyDescent="0.2">
      <c r="A9" s="2255"/>
      <c r="B9" s="2258"/>
      <c r="C9" s="2437"/>
      <c r="D9" s="2440"/>
      <c r="E9" s="2258"/>
      <c r="F9" s="2446"/>
      <c r="G9" s="2252"/>
      <c r="H9" s="2395"/>
      <c r="I9" s="2431"/>
      <c r="J9" s="2449"/>
      <c r="K9" s="2395"/>
      <c r="L9" s="2431"/>
      <c r="M9" s="2449"/>
      <c r="N9" s="2395"/>
      <c r="O9" s="2431"/>
      <c r="P9" s="2449"/>
      <c r="Q9" s="2238" t="s">
        <v>12</v>
      </c>
      <c r="R9" s="2443" t="s">
        <v>93</v>
      </c>
      <c r="S9" s="2240"/>
      <c r="T9" s="2444"/>
      <c r="U9" s="972" t="s">
        <v>218</v>
      </c>
    </row>
    <row r="10" spans="1:50" s="32" customFormat="1" ht="72.75" customHeight="1" thickBot="1" x14ac:dyDescent="0.25">
      <c r="A10" s="2256"/>
      <c r="B10" s="2259"/>
      <c r="C10" s="2438"/>
      <c r="D10" s="2441"/>
      <c r="E10" s="2259"/>
      <c r="F10" s="2447"/>
      <c r="G10" s="2253"/>
      <c r="H10" s="2396"/>
      <c r="I10" s="2432"/>
      <c r="J10" s="2450"/>
      <c r="K10" s="2396"/>
      <c r="L10" s="2432"/>
      <c r="M10" s="2450"/>
      <c r="N10" s="2396"/>
      <c r="O10" s="2432"/>
      <c r="P10" s="2450"/>
      <c r="Q10" s="2239"/>
      <c r="R10" s="495" t="s">
        <v>117</v>
      </c>
      <c r="S10" s="495" t="s">
        <v>159</v>
      </c>
      <c r="T10" s="495" t="s">
        <v>224</v>
      </c>
      <c r="U10" s="496"/>
    </row>
    <row r="11" spans="1:50" s="9" customFormat="1" ht="14.25" customHeight="1" x14ac:dyDescent="0.2">
      <c r="A11" s="2242" t="s">
        <v>61</v>
      </c>
      <c r="B11" s="2243"/>
      <c r="C11" s="2243"/>
      <c r="D11" s="2243"/>
      <c r="E11" s="2243"/>
      <c r="F11" s="2243"/>
      <c r="G11" s="2243"/>
      <c r="H11" s="2243"/>
      <c r="I11" s="2243"/>
      <c r="J11" s="2243"/>
      <c r="K11" s="2243"/>
      <c r="L11" s="2243"/>
      <c r="M11" s="2243"/>
      <c r="N11" s="2243"/>
      <c r="O11" s="2243"/>
      <c r="P11" s="2243"/>
      <c r="Q11" s="2243"/>
      <c r="R11" s="2243"/>
      <c r="S11" s="2243"/>
      <c r="T11" s="2243"/>
      <c r="U11" s="2244"/>
    </row>
    <row r="12" spans="1:50" s="9" customFormat="1" ht="14.25" customHeight="1" x14ac:dyDescent="0.2">
      <c r="A12" s="2223" t="s">
        <v>26</v>
      </c>
      <c r="B12" s="2224"/>
      <c r="C12" s="2224"/>
      <c r="D12" s="2224"/>
      <c r="E12" s="2224"/>
      <c r="F12" s="2224"/>
      <c r="G12" s="2224"/>
      <c r="H12" s="2224"/>
      <c r="I12" s="2224"/>
      <c r="J12" s="2224"/>
      <c r="K12" s="2224"/>
      <c r="L12" s="2224"/>
      <c r="M12" s="2224"/>
      <c r="N12" s="2224"/>
      <c r="O12" s="2224"/>
      <c r="P12" s="2224"/>
      <c r="Q12" s="2224"/>
      <c r="R12" s="2224"/>
      <c r="S12" s="2224"/>
      <c r="T12" s="2224"/>
      <c r="U12" s="2225"/>
    </row>
    <row r="13" spans="1:50" ht="16.5" customHeight="1" x14ac:dyDescent="0.2">
      <c r="A13" s="17" t="s">
        <v>5</v>
      </c>
      <c r="B13" s="2226" t="s">
        <v>30</v>
      </c>
      <c r="C13" s="2227"/>
      <c r="D13" s="2227"/>
      <c r="E13" s="2227"/>
      <c r="F13" s="2227"/>
      <c r="G13" s="2227"/>
      <c r="H13" s="2227"/>
      <c r="I13" s="2227"/>
      <c r="J13" s="2227"/>
      <c r="K13" s="2227"/>
      <c r="L13" s="2227"/>
      <c r="M13" s="2227"/>
      <c r="N13" s="2227"/>
      <c r="O13" s="2227"/>
      <c r="P13" s="2227"/>
      <c r="Q13" s="2227"/>
      <c r="R13" s="2227"/>
      <c r="S13" s="2227"/>
      <c r="T13" s="2227"/>
      <c r="U13" s="2228"/>
    </row>
    <row r="14" spans="1:50" ht="15" customHeight="1" x14ac:dyDescent="0.2">
      <c r="A14" s="186" t="s">
        <v>5</v>
      </c>
      <c r="B14" s="12" t="s">
        <v>5</v>
      </c>
      <c r="C14" s="2229" t="s">
        <v>31</v>
      </c>
      <c r="D14" s="2230"/>
      <c r="E14" s="2230"/>
      <c r="F14" s="2230"/>
      <c r="G14" s="2230"/>
      <c r="H14" s="2230"/>
      <c r="I14" s="2230"/>
      <c r="J14" s="2230"/>
      <c r="K14" s="2230"/>
      <c r="L14" s="2230"/>
      <c r="M14" s="2230"/>
      <c r="N14" s="2230"/>
      <c r="O14" s="2230"/>
      <c r="P14" s="2230"/>
      <c r="Q14" s="2230"/>
      <c r="R14" s="2230"/>
      <c r="S14" s="2230"/>
      <c r="T14" s="2230"/>
      <c r="U14" s="2231"/>
    </row>
    <row r="15" spans="1:50" ht="14.1" customHeight="1" x14ac:dyDescent="0.2">
      <c r="A15" s="1641" t="s">
        <v>5</v>
      </c>
      <c r="B15" s="1657" t="s">
        <v>5</v>
      </c>
      <c r="C15" s="1648" t="s">
        <v>5</v>
      </c>
      <c r="D15" s="2451" t="s">
        <v>415</v>
      </c>
      <c r="E15" s="2452" t="s">
        <v>86</v>
      </c>
      <c r="F15" s="1958" t="s">
        <v>43</v>
      </c>
      <c r="G15" s="229" t="s">
        <v>25</v>
      </c>
      <c r="H15" s="1968">
        <f>2602.7+148</f>
        <v>2750.7</v>
      </c>
      <c r="I15" s="1965">
        <f>2602.7+148-15.6</f>
        <v>2735.1</v>
      </c>
      <c r="J15" s="1718">
        <f>I15-H15</f>
        <v>-15.6</v>
      </c>
      <c r="K15" s="1716">
        <f>838.9+367.6</f>
        <v>1206.5</v>
      </c>
      <c r="L15" s="1604">
        <f>838.9+367.6+176.4</f>
        <v>1382.9</v>
      </c>
      <c r="M15" s="1750">
        <f>L15-K15</f>
        <v>176.4</v>
      </c>
      <c r="N15" s="1968">
        <f>1460.6+714.1</f>
        <v>2174.6999999999998</v>
      </c>
      <c r="O15" s="1965">
        <f>1460.6+714.1+735+115.5-1057.8</f>
        <v>1967.4</v>
      </c>
      <c r="P15" s="1718">
        <f>O15-N15</f>
        <v>-207.3</v>
      </c>
      <c r="Q15" s="1969"/>
      <c r="R15" s="1970"/>
      <c r="S15" s="1969"/>
      <c r="T15" s="1971"/>
      <c r="U15" s="2267" t="s">
        <v>434</v>
      </c>
    </row>
    <row r="16" spans="1:50" ht="14.1" customHeight="1" x14ac:dyDescent="0.2">
      <c r="A16" s="1641"/>
      <c r="B16" s="1657"/>
      <c r="C16" s="1648"/>
      <c r="D16" s="2220"/>
      <c r="E16" s="2222"/>
      <c r="F16" s="1942"/>
      <c r="G16" s="40" t="s">
        <v>60</v>
      </c>
      <c r="H16" s="504">
        <f>286.9+132.3</f>
        <v>419.2</v>
      </c>
      <c r="I16" s="502">
        <f>286.9+132.3</f>
        <v>419.2</v>
      </c>
      <c r="J16" s="509"/>
      <c r="K16" s="395"/>
      <c r="L16" s="502"/>
      <c r="M16" s="395"/>
      <c r="N16" s="504"/>
      <c r="O16" s="502"/>
      <c r="P16" s="509"/>
      <c r="Q16" s="263"/>
      <c r="R16" s="252"/>
      <c r="S16" s="263"/>
      <c r="T16" s="253"/>
      <c r="U16" s="2265"/>
    </row>
    <row r="17" spans="1:21" ht="14.1" customHeight="1" x14ac:dyDescent="0.2">
      <c r="A17" s="1641"/>
      <c r="B17" s="1657"/>
      <c r="C17" s="1648"/>
      <c r="D17" s="2221"/>
      <c r="E17" s="2049"/>
      <c r="F17" s="1942"/>
      <c r="G17" s="40" t="s">
        <v>98</v>
      </c>
      <c r="H17" s="504">
        <f>151.9+328.7</f>
        <v>480.6</v>
      </c>
      <c r="I17" s="502">
        <f>151.9+328.7</f>
        <v>480.6</v>
      </c>
      <c r="J17" s="509"/>
      <c r="K17" s="395"/>
      <c r="L17" s="502"/>
      <c r="M17" s="395"/>
      <c r="N17" s="504"/>
      <c r="O17" s="502"/>
      <c r="P17" s="509"/>
      <c r="Q17" s="263"/>
      <c r="R17" s="252"/>
      <c r="S17" s="263"/>
      <c r="T17" s="253"/>
      <c r="U17" s="2265"/>
    </row>
    <row r="18" spans="1:21" ht="14.1" customHeight="1" x14ac:dyDescent="0.2">
      <c r="A18" s="1641"/>
      <c r="B18" s="1657"/>
      <c r="C18" s="1648"/>
      <c r="D18" s="47"/>
      <c r="E18" s="1951"/>
      <c r="F18" s="1942"/>
      <c r="G18" s="40" t="s">
        <v>99</v>
      </c>
      <c r="H18" s="504">
        <f>2475+243.1</f>
        <v>2718.1</v>
      </c>
      <c r="I18" s="502">
        <f>2475+243.1</f>
        <v>2718.1</v>
      </c>
      <c r="J18" s="509"/>
      <c r="K18" s="395">
        <f>2744.3+500</f>
        <v>3244.3</v>
      </c>
      <c r="L18" s="1966">
        <f>2744.3+500-157.4-59.1</f>
        <v>3027.8</v>
      </c>
      <c r="M18" s="1740">
        <f>L18-K18</f>
        <v>-216.5</v>
      </c>
      <c r="N18" s="504">
        <f>1400+1696.4</f>
        <v>3096.4</v>
      </c>
      <c r="O18" s="1966">
        <f>1400+1696.4+40.9-96.4</f>
        <v>3040.9</v>
      </c>
      <c r="P18" s="1194">
        <f>O18-N18</f>
        <v>-55.5</v>
      </c>
      <c r="Q18" s="263"/>
      <c r="R18" s="252"/>
      <c r="S18" s="263"/>
      <c r="T18" s="253"/>
      <c r="U18" s="2265"/>
    </row>
    <row r="19" spans="1:21" ht="14.1" customHeight="1" x14ac:dyDescent="0.2">
      <c r="A19" s="1641"/>
      <c r="B19" s="1657"/>
      <c r="C19" s="1648"/>
      <c r="D19" s="47"/>
      <c r="E19" s="1951"/>
      <c r="F19" s="1942"/>
      <c r="G19" s="40" t="s">
        <v>222</v>
      </c>
      <c r="H19" s="504">
        <v>1482.2</v>
      </c>
      <c r="I19" s="502">
        <v>1482.2</v>
      </c>
      <c r="J19" s="509"/>
      <c r="K19" s="395">
        <v>122.8</v>
      </c>
      <c r="L19" s="502">
        <v>122.8</v>
      </c>
      <c r="M19" s="395"/>
      <c r="N19" s="504"/>
      <c r="O19" s="502"/>
      <c r="P19" s="509"/>
      <c r="Q19" s="263"/>
      <c r="R19" s="252"/>
      <c r="S19" s="263"/>
      <c r="T19" s="253"/>
      <c r="U19" s="2265"/>
    </row>
    <row r="20" spans="1:21" ht="14.1" customHeight="1" x14ac:dyDescent="0.2">
      <c r="A20" s="1641"/>
      <c r="B20" s="1657"/>
      <c r="C20" s="1648"/>
      <c r="D20" s="47"/>
      <c r="E20" s="1951"/>
      <c r="F20" s="1942"/>
      <c r="G20" s="40" t="s">
        <v>48</v>
      </c>
      <c r="H20" s="504">
        <v>1662.4</v>
      </c>
      <c r="I20" s="502">
        <v>1662.4</v>
      </c>
      <c r="J20" s="509"/>
      <c r="K20" s="395"/>
      <c r="L20" s="502"/>
      <c r="M20" s="395"/>
      <c r="N20" s="504"/>
      <c r="O20" s="502"/>
      <c r="P20" s="509"/>
      <c r="Q20" s="263"/>
      <c r="R20" s="252"/>
      <c r="S20" s="263"/>
      <c r="T20" s="253"/>
      <c r="U20" s="2285"/>
    </row>
    <row r="21" spans="1:21" ht="14.1" customHeight="1" x14ac:dyDescent="0.2">
      <c r="A21" s="1641"/>
      <c r="B21" s="1657"/>
      <c r="C21" s="1648"/>
      <c r="D21" s="47"/>
      <c r="E21" s="1951"/>
      <c r="F21" s="1942"/>
      <c r="G21" s="40" t="s">
        <v>241</v>
      </c>
      <c r="H21" s="504"/>
      <c r="I21" s="502"/>
      <c r="J21" s="509"/>
      <c r="K21" s="395">
        <v>5000</v>
      </c>
      <c r="L21" s="502">
        <v>5000</v>
      </c>
      <c r="M21" s="395"/>
      <c r="N21" s="504">
        <f>44.7+8609.1</f>
        <v>8653.7999999999993</v>
      </c>
      <c r="O21" s="1966">
        <f>44.7+8609.1-44.7</f>
        <v>8609.1</v>
      </c>
      <c r="P21" s="1194">
        <f>O21-N21</f>
        <v>-44.7</v>
      </c>
      <c r="Q21" s="263"/>
      <c r="R21" s="252"/>
      <c r="S21" s="263"/>
      <c r="T21" s="253"/>
      <c r="U21" s="2285"/>
    </row>
    <row r="22" spans="1:21" ht="14.1" customHeight="1" x14ac:dyDescent="0.2">
      <c r="A22" s="1641"/>
      <c r="B22" s="1657"/>
      <c r="C22" s="1648"/>
      <c r="D22" s="47"/>
      <c r="E22" s="1951"/>
      <c r="F22" s="1942"/>
      <c r="G22" s="40" t="s">
        <v>298</v>
      </c>
      <c r="H22" s="504"/>
      <c r="I22" s="502"/>
      <c r="J22" s="509"/>
      <c r="K22" s="395">
        <v>10000</v>
      </c>
      <c r="L22" s="502">
        <v>10000</v>
      </c>
      <c r="M22" s="395"/>
      <c r="N22" s="504"/>
      <c r="O22" s="502"/>
      <c r="P22" s="509"/>
      <c r="Q22" s="263"/>
      <c r="R22" s="252"/>
      <c r="S22" s="263"/>
      <c r="T22" s="253"/>
      <c r="U22" s="2285"/>
    </row>
    <row r="23" spans="1:21" ht="14.1" customHeight="1" x14ac:dyDescent="0.2">
      <c r="A23" s="1641"/>
      <c r="B23" s="1657"/>
      <c r="C23" s="1648"/>
      <c r="D23" s="47"/>
      <c r="E23" s="1951"/>
      <c r="F23" s="1942"/>
      <c r="G23" s="40" t="s">
        <v>44</v>
      </c>
      <c r="H23" s="504"/>
      <c r="I23" s="502"/>
      <c r="J23" s="509"/>
      <c r="K23" s="395">
        <v>1275</v>
      </c>
      <c r="L23" s="1966">
        <f>1275+629</f>
        <v>1904</v>
      </c>
      <c r="M23" s="1740">
        <f>L23-K23</f>
        <v>629</v>
      </c>
      <c r="N23" s="504">
        <v>1754.7</v>
      </c>
      <c r="O23" s="1966">
        <f>1754.7-690.3+629</f>
        <v>1693.4</v>
      </c>
      <c r="P23" s="1194">
        <f>O23-N23</f>
        <v>-61.3</v>
      </c>
      <c r="Q23" s="263"/>
      <c r="R23" s="253"/>
      <c r="S23" s="252"/>
      <c r="T23" s="253"/>
      <c r="U23" s="2285"/>
    </row>
    <row r="24" spans="1:21" ht="15.75" customHeight="1" x14ac:dyDescent="0.2">
      <c r="A24" s="1641"/>
      <c r="B24" s="1657"/>
      <c r="C24" s="1830"/>
      <c r="D24" s="47"/>
      <c r="E24" s="1951"/>
      <c r="F24" s="1942"/>
      <c r="G24" s="40" t="s">
        <v>45</v>
      </c>
      <c r="H24" s="504">
        <f>104.9+21.5</f>
        <v>126.4</v>
      </c>
      <c r="I24" s="502">
        <f>104.9+21.5</f>
        <v>126.4</v>
      </c>
      <c r="J24" s="509"/>
      <c r="K24" s="395">
        <v>135</v>
      </c>
      <c r="L24" s="502">
        <v>135</v>
      </c>
      <c r="M24" s="395"/>
      <c r="N24" s="504"/>
      <c r="O24" s="502"/>
      <c r="P24" s="509"/>
      <c r="Q24" s="263"/>
      <c r="R24" s="253"/>
      <c r="S24" s="252"/>
      <c r="T24" s="253"/>
      <c r="U24" s="2286"/>
    </row>
    <row r="25" spans="1:21" ht="23.25" customHeight="1" x14ac:dyDescent="0.2">
      <c r="A25" s="1946"/>
      <c r="B25" s="1949"/>
      <c r="C25" s="1945"/>
      <c r="D25" s="47"/>
      <c r="E25" s="1951"/>
      <c r="F25" s="1942"/>
      <c r="G25" s="40"/>
      <c r="H25" s="504"/>
      <c r="I25" s="502"/>
      <c r="J25" s="509"/>
      <c r="K25" s="395"/>
      <c r="L25" s="502"/>
      <c r="M25" s="395"/>
      <c r="N25" s="504"/>
      <c r="O25" s="502"/>
      <c r="P25" s="509"/>
      <c r="Q25" s="263"/>
      <c r="R25" s="253"/>
      <c r="S25" s="252"/>
      <c r="T25" s="253"/>
      <c r="U25" s="2287" t="s">
        <v>435</v>
      </c>
    </row>
    <row r="26" spans="1:21" ht="42.75" customHeight="1" x14ac:dyDescent="0.2">
      <c r="A26" s="1946"/>
      <c r="B26" s="1949"/>
      <c r="C26" s="1945"/>
      <c r="D26" s="47"/>
      <c r="E26" s="1951"/>
      <c r="F26" s="1942"/>
      <c r="G26" s="40"/>
      <c r="H26" s="504"/>
      <c r="I26" s="502"/>
      <c r="J26" s="509"/>
      <c r="K26" s="395"/>
      <c r="L26" s="502"/>
      <c r="M26" s="395"/>
      <c r="N26" s="504"/>
      <c r="O26" s="502"/>
      <c r="P26" s="509"/>
      <c r="Q26" s="263"/>
      <c r="R26" s="253"/>
      <c r="S26" s="252"/>
      <c r="T26" s="253"/>
      <c r="U26" s="2287"/>
    </row>
    <row r="27" spans="1:21" ht="239.25" customHeight="1" x14ac:dyDescent="0.2">
      <c r="A27" s="1946"/>
      <c r="B27" s="1949"/>
      <c r="C27" s="1945"/>
      <c r="D27" s="47"/>
      <c r="E27" s="1951"/>
      <c r="F27" s="1942"/>
      <c r="G27" s="40"/>
      <c r="H27" s="504"/>
      <c r="I27" s="502"/>
      <c r="J27" s="509"/>
      <c r="K27" s="395"/>
      <c r="L27" s="502"/>
      <c r="M27" s="395"/>
      <c r="N27" s="504"/>
      <c r="O27" s="502"/>
      <c r="P27" s="509"/>
      <c r="Q27" s="263"/>
      <c r="R27" s="253"/>
      <c r="S27" s="252"/>
      <c r="T27" s="253"/>
      <c r="U27" s="2287"/>
    </row>
    <row r="28" spans="1:21" ht="110.25" customHeight="1" x14ac:dyDescent="0.2">
      <c r="A28" s="1946"/>
      <c r="B28" s="1949"/>
      <c r="C28" s="1945"/>
      <c r="D28" s="47"/>
      <c r="E28" s="1951"/>
      <c r="F28" s="1942"/>
      <c r="G28" s="40"/>
      <c r="H28" s="504"/>
      <c r="I28" s="502"/>
      <c r="J28" s="509"/>
      <c r="K28" s="395"/>
      <c r="L28" s="502"/>
      <c r="M28" s="395"/>
      <c r="N28" s="504"/>
      <c r="O28" s="502"/>
      <c r="P28" s="509"/>
      <c r="Q28" s="263"/>
      <c r="R28" s="253"/>
      <c r="S28" s="252"/>
      <c r="T28" s="253"/>
      <c r="U28" s="1972" t="s">
        <v>416</v>
      </c>
    </row>
    <row r="29" spans="1:21" ht="14.1" customHeight="1" x14ac:dyDescent="0.2">
      <c r="A29" s="1641"/>
      <c r="B29" s="1812"/>
      <c r="C29" s="1830"/>
      <c r="D29" s="2002" t="s">
        <v>278</v>
      </c>
      <c r="E29" s="2011"/>
      <c r="F29" s="2454"/>
      <c r="G29" s="73"/>
      <c r="H29" s="1734"/>
      <c r="I29" s="1735"/>
      <c r="J29" s="1717"/>
      <c r="K29" s="1056"/>
      <c r="L29" s="529"/>
      <c r="M29" s="1716"/>
      <c r="N29" s="104"/>
      <c r="O29" s="42"/>
      <c r="P29" s="1718"/>
      <c r="Q29" s="1999"/>
      <c r="R29" s="1709"/>
      <c r="S29" s="1962"/>
      <c r="T29" s="1709"/>
      <c r="U29" s="2267" t="s">
        <v>417</v>
      </c>
    </row>
    <row r="30" spans="1:21" ht="14.1" customHeight="1" x14ac:dyDescent="0.2">
      <c r="A30" s="1641"/>
      <c r="B30" s="1657"/>
      <c r="C30" s="1830"/>
      <c r="D30" s="2003"/>
      <c r="E30" s="2022"/>
      <c r="F30" s="2263"/>
      <c r="G30" s="69"/>
      <c r="H30" s="255"/>
      <c r="I30" s="1739"/>
      <c r="J30" s="1194"/>
      <c r="K30" s="258"/>
      <c r="L30" s="291"/>
      <c r="M30" s="395"/>
      <c r="N30" s="1736"/>
      <c r="O30" s="291"/>
      <c r="P30" s="1194"/>
      <c r="Q30" s="2004"/>
      <c r="R30" s="1710"/>
      <c r="S30" s="1963"/>
      <c r="T30" s="1710"/>
      <c r="U30" s="2299"/>
    </row>
    <row r="31" spans="1:21" ht="17.25" customHeight="1" x14ac:dyDescent="0.2">
      <c r="A31" s="1641"/>
      <c r="B31" s="1657"/>
      <c r="C31" s="1830"/>
      <c r="D31" s="2453"/>
      <c r="E31" s="2022"/>
      <c r="F31" s="2263"/>
      <c r="G31" s="69" t="s">
        <v>25</v>
      </c>
      <c r="H31" s="69"/>
      <c r="I31" s="405"/>
      <c r="J31" s="1727"/>
      <c r="K31" s="96"/>
      <c r="L31" s="405">
        <v>1571.4</v>
      </c>
      <c r="M31" s="1740">
        <f>L31-K31</f>
        <v>1571.4</v>
      </c>
      <c r="N31" s="105"/>
      <c r="O31" s="177"/>
      <c r="P31" s="1194"/>
      <c r="Q31" s="1619"/>
      <c r="R31" s="1710"/>
      <c r="S31" s="1710"/>
      <c r="T31" s="1710"/>
      <c r="U31" s="2299"/>
    </row>
    <row r="32" spans="1:21" ht="40.5" customHeight="1" x14ac:dyDescent="0.2">
      <c r="A32" s="1641"/>
      <c r="B32" s="1657"/>
      <c r="C32" s="1830"/>
      <c r="D32" s="362" t="s">
        <v>147</v>
      </c>
      <c r="E32" s="2022"/>
      <c r="F32" s="2263"/>
      <c r="G32" s="110"/>
      <c r="H32" s="110"/>
      <c r="I32" s="1117"/>
      <c r="J32" s="1720"/>
      <c r="K32" s="1119"/>
      <c r="L32" s="1117"/>
      <c r="M32" s="1721"/>
      <c r="N32" s="107"/>
      <c r="O32" s="1117"/>
      <c r="P32" s="1737"/>
      <c r="Q32" s="1250" t="s">
        <v>178</v>
      </c>
      <c r="R32" s="134">
        <v>100</v>
      </c>
      <c r="S32" s="134"/>
      <c r="T32" s="134"/>
      <c r="U32" s="2299"/>
    </row>
    <row r="33" spans="1:21" ht="43.5" customHeight="1" x14ac:dyDescent="0.2">
      <c r="A33" s="1641"/>
      <c r="B33" s="1657"/>
      <c r="C33" s="1830"/>
      <c r="D33" s="1617" t="s">
        <v>122</v>
      </c>
      <c r="E33" s="2022"/>
      <c r="F33" s="2263"/>
      <c r="G33" s="72"/>
      <c r="H33" s="72"/>
      <c r="I33" s="36"/>
      <c r="J33" s="1722"/>
      <c r="K33" s="97"/>
      <c r="L33" s="36"/>
      <c r="M33" s="1723"/>
      <c r="N33" s="106"/>
      <c r="O33" s="36"/>
      <c r="P33" s="1738"/>
      <c r="Q33" s="1251" t="s">
        <v>179</v>
      </c>
      <c r="R33" s="41">
        <v>80</v>
      </c>
      <c r="S33" s="41">
        <v>100</v>
      </c>
      <c r="T33" s="41"/>
      <c r="U33" s="2300"/>
    </row>
    <row r="34" spans="1:21" ht="14.1" customHeight="1" x14ac:dyDescent="0.2">
      <c r="A34" s="1641"/>
      <c r="B34" s="1657"/>
      <c r="C34" s="1830"/>
      <c r="D34" s="2002" t="s">
        <v>59</v>
      </c>
      <c r="E34" s="2455"/>
      <c r="F34" s="2434"/>
      <c r="G34" s="69"/>
      <c r="H34" s="404"/>
      <c r="I34" s="405"/>
      <c r="J34" s="1719"/>
      <c r="K34" s="96"/>
      <c r="L34" s="177"/>
      <c r="M34" s="1724"/>
      <c r="N34" s="105"/>
      <c r="O34" s="177"/>
      <c r="P34" s="1194"/>
      <c r="Q34" s="2005" t="s">
        <v>180</v>
      </c>
      <c r="R34" s="1712">
        <v>100</v>
      </c>
      <c r="S34" s="961"/>
      <c r="T34" s="1709"/>
      <c r="U34" s="254"/>
    </row>
    <row r="35" spans="1:21" ht="14.1" customHeight="1" x14ac:dyDescent="0.2">
      <c r="A35" s="1641"/>
      <c r="B35" s="1657"/>
      <c r="C35" s="1830"/>
      <c r="D35" s="2040"/>
      <c r="E35" s="2455"/>
      <c r="F35" s="2434"/>
      <c r="G35" s="69"/>
      <c r="H35" s="69"/>
      <c r="I35" s="177"/>
      <c r="J35" s="1719"/>
      <c r="K35" s="96"/>
      <c r="L35" s="177"/>
      <c r="M35" s="1724"/>
      <c r="N35" s="105"/>
      <c r="O35" s="177"/>
      <c r="P35" s="1194"/>
      <c r="Q35" s="2006"/>
      <c r="R35" s="1713"/>
      <c r="S35" s="232"/>
      <c r="T35" s="1710"/>
      <c r="U35" s="254"/>
    </row>
    <row r="36" spans="1:21" ht="11.25" customHeight="1" x14ac:dyDescent="0.2">
      <c r="A36" s="1641"/>
      <c r="B36" s="1657"/>
      <c r="C36" s="1830"/>
      <c r="D36" s="2030"/>
      <c r="E36" s="2455"/>
      <c r="F36" s="2434"/>
      <c r="G36" s="72"/>
      <c r="H36" s="72"/>
      <c r="I36" s="36"/>
      <c r="J36" s="1722"/>
      <c r="K36" s="97"/>
      <c r="L36" s="36"/>
      <c r="M36" s="1723"/>
      <c r="N36" s="106"/>
      <c r="O36" s="36"/>
      <c r="P36" s="1738"/>
      <c r="Q36" s="1252"/>
      <c r="R36" s="19"/>
      <c r="S36" s="233"/>
      <c r="T36" s="41"/>
      <c r="U36" s="254"/>
    </row>
    <row r="37" spans="1:21" ht="15.75" customHeight="1" x14ac:dyDescent="0.2">
      <c r="A37" s="1641"/>
      <c r="B37" s="1657"/>
      <c r="C37" s="1830"/>
      <c r="D37" s="2002" t="s">
        <v>195</v>
      </c>
      <c r="E37" s="1239"/>
      <c r="F37" s="1629"/>
      <c r="G37" s="567"/>
      <c r="H37" s="1725"/>
      <c r="I37" s="1726"/>
      <c r="J37" s="1727"/>
      <c r="K37" s="1198"/>
      <c r="L37" s="529"/>
      <c r="M37" s="1729"/>
      <c r="N37" s="104"/>
      <c r="O37" s="42"/>
      <c r="P37" s="1718"/>
      <c r="Q37" s="1999" t="s">
        <v>181</v>
      </c>
      <c r="R37" s="1583">
        <v>80</v>
      </c>
      <c r="S37" s="482">
        <v>100</v>
      </c>
      <c r="T37" s="1248"/>
      <c r="U37" s="2264"/>
    </row>
    <row r="38" spans="1:21" ht="15.75" customHeight="1" x14ac:dyDescent="0.2">
      <c r="A38" s="1641"/>
      <c r="B38" s="1657"/>
      <c r="C38" s="1830"/>
      <c r="D38" s="2040"/>
      <c r="E38" s="2067"/>
      <c r="F38" s="1629"/>
      <c r="G38" s="567"/>
      <c r="H38" s="1725"/>
      <c r="I38" s="1726"/>
      <c r="J38" s="1727"/>
      <c r="K38" s="96"/>
      <c r="L38" s="177"/>
      <c r="M38" s="1724"/>
      <c r="N38" s="105"/>
      <c r="O38" s="177"/>
      <c r="P38" s="1194"/>
      <c r="Q38" s="2004"/>
      <c r="R38" s="1583"/>
      <c r="S38" s="482"/>
      <c r="T38" s="294"/>
      <c r="U38" s="2265"/>
    </row>
    <row r="39" spans="1:21" ht="11.25" customHeight="1" x14ac:dyDescent="0.2">
      <c r="A39" s="1641"/>
      <c r="B39" s="1657"/>
      <c r="C39" s="1830"/>
      <c r="D39" s="2030"/>
      <c r="E39" s="2067"/>
      <c r="F39" s="1629"/>
      <c r="G39" s="1730"/>
      <c r="H39" s="1731"/>
      <c r="I39" s="1732"/>
      <c r="J39" s="1722"/>
      <c r="K39" s="97"/>
      <c r="L39" s="36"/>
      <c r="M39" s="1723"/>
      <c r="N39" s="106"/>
      <c r="O39" s="36"/>
      <c r="P39" s="1738"/>
      <c r="Q39" s="1623"/>
      <c r="R39" s="1583"/>
      <c r="S39" s="482"/>
      <c r="T39" s="294"/>
      <c r="U39" s="2265"/>
    </row>
    <row r="40" spans="1:21" ht="14.1" customHeight="1" x14ac:dyDescent="0.2">
      <c r="A40" s="1641"/>
      <c r="B40" s="1657"/>
      <c r="C40" s="1830"/>
      <c r="D40" s="2002" t="s">
        <v>197</v>
      </c>
      <c r="E40" s="1631"/>
      <c r="F40" s="2263"/>
      <c r="G40" s="69"/>
      <c r="H40" s="404"/>
      <c r="I40" s="405"/>
      <c r="J40" s="1727"/>
      <c r="K40" s="96"/>
      <c r="L40" s="177"/>
      <c r="M40" s="1724"/>
      <c r="N40" s="105"/>
      <c r="O40" s="177"/>
      <c r="P40" s="1194"/>
      <c r="Q40" s="1651" t="s">
        <v>160</v>
      </c>
      <c r="R40" s="1728">
        <v>100</v>
      </c>
      <c r="S40" s="498"/>
      <c r="T40" s="498"/>
      <c r="U40" s="2264"/>
    </row>
    <row r="41" spans="1:21" ht="14.1" customHeight="1" x14ac:dyDescent="0.2">
      <c r="A41" s="1641"/>
      <c r="B41" s="1657"/>
      <c r="C41" s="1830"/>
      <c r="D41" s="2040"/>
      <c r="E41" s="1631"/>
      <c r="F41" s="2263"/>
      <c r="G41" s="69"/>
      <c r="H41" s="69"/>
      <c r="I41" s="177"/>
      <c r="J41" s="1719"/>
      <c r="K41" s="96"/>
      <c r="L41" s="177"/>
      <c r="M41" s="1724"/>
      <c r="N41" s="105"/>
      <c r="O41" s="177"/>
      <c r="P41" s="1258"/>
      <c r="Q41" s="1651"/>
      <c r="R41" s="360"/>
      <c r="S41" s="155"/>
      <c r="T41" s="155"/>
      <c r="U41" s="2265"/>
    </row>
    <row r="42" spans="1:21" ht="9" customHeight="1" x14ac:dyDescent="0.2">
      <c r="A42" s="1641"/>
      <c r="B42" s="1657"/>
      <c r="C42" s="1830"/>
      <c r="D42" s="2030"/>
      <c r="E42" s="1240"/>
      <c r="F42" s="2263"/>
      <c r="G42" s="102"/>
      <c r="H42" s="72"/>
      <c r="I42" s="36"/>
      <c r="J42" s="1722"/>
      <c r="K42" s="97"/>
      <c r="L42" s="36"/>
      <c r="M42" s="1723"/>
      <c r="N42" s="106"/>
      <c r="O42" s="36"/>
      <c r="P42" s="1259"/>
      <c r="Q42" s="324"/>
      <c r="R42" s="230"/>
      <c r="S42" s="499"/>
      <c r="T42" s="499"/>
      <c r="U42" s="2266"/>
    </row>
    <row r="43" spans="1:21" ht="21.75" customHeight="1" x14ac:dyDescent="0.2">
      <c r="A43" s="1641"/>
      <c r="B43" s="1657"/>
      <c r="C43" s="1830"/>
      <c r="D43" s="2002" t="s">
        <v>194</v>
      </c>
      <c r="E43" s="1631"/>
      <c r="F43" s="2263"/>
      <c r="G43" s="69" t="s">
        <v>99</v>
      </c>
      <c r="H43" s="69"/>
      <c r="I43" s="405">
        <v>200</v>
      </c>
      <c r="J43" s="1727">
        <f>I43-H43</f>
        <v>200</v>
      </c>
      <c r="K43" s="96"/>
      <c r="L43" s="177"/>
      <c r="M43" s="1724"/>
      <c r="N43" s="105"/>
      <c r="O43" s="177"/>
      <c r="P43" s="1258"/>
      <c r="Q43" s="2007" t="s">
        <v>175</v>
      </c>
      <c r="R43" s="1605">
        <v>100</v>
      </c>
      <c r="S43" s="774"/>
      <c r="T43" s="1249"/>
      <c r="U43" s="2267" t="s">
        <v>418</v>
      </c>
    </row>
    <row r="44" spans="1:21" ht="16.5" customHeight="1" x14ac:dyDescent="0.2">
      <c r="A44" s="1641"/>
      <c r="B44" s="1657"/>
      <c r="C44" s="1830"/>
      <c r="D44" s="2040"/>
      <c r="E44" s="1631"/>
      <c r="F44" s="2263"/>
      <c r="G44" s="69"/>
      <c r="H44" s="69"/>
      <c r="I44" s="177"/>
      <c r="J44" s="1719"/>
      <c r="K44" s="96"/>
      <c r="L44" s="177"/>
      <c r="M44" s="1724"/>
      <c r="N44" s="105"/>
      <c r="O44" s="177"/>
      <c r="P44" s="1258"/>
      <c r="Q44" s="2433"/>
      <c r="R44" s="474"/>
      <c r="S44" s="478"/>
      <c r="T44" s="969"/>
      <c r="U44" s="2265"/>
    </row>
    <row r="45" spans="1:21" ht="30" customHeight="1" x14ac:dyDescent="0.2">
      <c r="A45" s="1641"/>
      <c r="B45" s="1657"/>
      <c r="C45" s="1830"/>
      <c r="D45" s="2040"/>
      <c r="E45" s="1631"/>
      <c r="F45" s="2263"/>
      <c r="G45" s="251"/>
      <c r="H45" s="69"/>
      <c r="I45" s="177"/>
      <c r="J45" s="1719"/>
      <c r="K45" s="96"/>
      <c r="L45" s="177"/>
      <c r="M45" s="1724"/>
      <c r="N45" s="105"/>
      <c r="O45" s="177"/>
      <c r="P45" s="1258"/>
      <c r="Q45" s="1253" t="s">
        <v>176</v>
      </c>
      <c r="R45" s="1733" t="s">
        <v>399</v>
      </c>
      <c r="S45" s="1058">
        <v>80</v>
      </c>
      <c r="T45" s="1125">
        <v>100</v>
      </c>
      <c r="U45" s="2265"/>
    </row>
    <row r="46" spans="1:21" ht="45" customHeight="1" x14ac:dyDescent="0.2">
      <c r="A46" s="1641"/>
      <c r="B46" s="1657"/>
      <c r="C46" s="1830"/>
      <c r="D46" s="2040"/>
      <c r="E46" s="1631"/>
      <c r="F46" s="2263"/>
      <c r="G46" s="885"/>
      <c r="H46" s="69"/>
      <c r="I46" s="177"/>
      <c r="J46" s="1719"/>
      <c r="K46" s="96"/>
      <c r="L46" s="177"/>
      <c r="M46" s="1724"/>
      <c r="N46" s="105"/>
      <c r="O46" s="177"/>
      <c r="P46" s="1258"/>
      <c r="Q46" s="1254" t="s">
        <v>149</v>
      </c>
      <c r="R46" s="1057" t="s">
        <v>55</v>
      </c>
      <c r="S46" s="1058"/>
      <c r="T46" s="1125"/>
      <c r="U46" s="2265"/>
    </row>
    <row r="47" spans="1:21" ht="52.5" customHeight="1" x14ac:dyDescent="0.2">
      <c r="A47" s="1641"/>
      <c r="B47" s="1657"/>
      <c r="C47" s="1830"/>
      <c r="D47" s="2030"/>
      <c r="E47" s="1631"/>
      <c r="F47" s="2263"/>
      <c r="G47" s="72"/>
      <c r="H47" s="72"/>
      <c r="I47" s="177"/>
      <c r="J47" s="509"/>
      <c r="K47" s="96"/>
      <c r="L47" s="177"/>
      <c r="M47" s="395"/>
      <c r="N47" s="105"/>
      <c r="O47" s="177"/>
      <c r="P47" s="1258"/>
      <c r="Q47" s="1254" t="s">
        <v>177</v>
      </c>
      <c r="R47" s="1818"/>
      <c r="S47" s="1819"/>
      <c r="T47" s="1820">
        <v>5</v>
      </c>
      <c r="U47" s="254"/>
    </row>
    <row r="48" spans="1:21" ht="14.1" customHeight="1" x14ac:dyDescent="0.2">
      <c r="A48" s="1641"/>
      <c r="B48" s="1657"/>
      <c r="C48" s="1648"/>
      <c r="D48" s="2002" t="s">
        <v>127</v>
      </c>
      <c r="E48" s="2363" t="s">
        <v>370</v>
      </c>
      <c r="F48" s="1635"/>
      <c r="G48" s="788"/>
      <c r="H48" s="73"/>
      <c r="I48" s="529"/>
      <c r="J48" s="1750"/>
      <c r="K48" s="73"/>
      <c r="L48" s="42"/>
      <c r="M48" s="1717"/>
      <c r="N48" s="73"/>
      <c r="O48" s="42"/>
      <c r="P48" s="1717"/>
      <c r="Q48" s="1944" t="s">
        <v>46</v>
      </c>
      <c r="R48" s="481">
        <v>1</v>
      </c>
      <c r="S48" s="1960"/>
      <c r="T48" s="1962"/>
      <c r="U48" s="2264"/>
    </row>
    <row r="49" spans="1:21" ht="14.1" customHeight="1" x14ac:dyDescent="0.2">
      <c r="A49" s="1641"/>
      <c r="B49" s="1657"/>
      <c r="C49" s="1648"/>
      <c r="D49" s="2040"/>
      <c r="E49" s="2365"/>
      <c r="F49" s="1635"/>
      <c r="G49" s="55"/>
      <c r="H49" s="69"/>
      <c r="I49" s="177"/>
      <c r="J49" s="395"/>
      <c r="K49" s="69"/>
      <c r="L49" s="177"/>
      <c r="M49" s="509"/>
      <c r="N49" s="69"/>
      <c r="O49" s="177"/>
      <c r="P49" s="509"/>
      <c r="Q49" s="2013" t="s">
        <v>233</v>
      </c>
      <c r="R49" s="343"/>
      <c r="S49" s="1961">
        <v>60</v>
      </c>
      <c r="T49" s="1963">
        <v>90</v>
      </c>
      <c r="U49" s="2265"/>
    </row>
    <row r="50" spans="1:21" ht="16.5" customHeight="1" x14ac:dyDescent="0.2">
      <c r="A50" s="1641"/>
      <c r="B50" s="1657"/>
      <c r="C50" s="1648"/>
      <c r="D50" s="2040"/>
      <c r="E50" s="2365"/>
      <c r="F50" s="1635"/>
      <c r="G50" s="55"/>
      <c r="H50" s="69"/>
      <c r="I50" s="177"/>
      <c r="J50" s="395"/>
      <c r="K50" s="69"/>
      <c r="L50" s="177"/>
      <c r="M50" s="509"/>
      <c r="N50" s="69"/>
      <c r="O50" s="177"/>
      <c r="P50" s="509"/>
      <c r="Q50" s="2014"/>
      <c r="R50" s="343"/>
      <c r="S50" s="1961"/>
      <c r="T50" s="1963"/>
      <c r="U50" s="2265"/>
    </row>
    <row r="51" spans="1:21" ht="8.25" customHeight="1" x14ac:dyDescent="0.2">
      <c r="A51" s="1641"/>
      <c r="B51" s="1657"/>
      <c r="C51" s="1701"/>
      <c r="D51" s="2030"/>
      <c r="E51" s="1618"/>
      <c r="F51" s="1635"/>
      <c r="G51" s="789"/>
      <c r="H51" s="72"/>
      <c r="I51" s="36"/>
      <c r="J51" s="1247"/>
      <c r="K51" s="72"/>
      <c r="L51" s="36"/>
      <c r="M51" s="1246"/>
      <c r="N51" s="72"/>
      <c r="O51" s="36"/>
      <c r="P51" s="1246"/>
      <c r="Q51" s="1954"/>
      <c r="R51" s="389"/>
      <c r="S51" s="41"/>
      <c r="T51" s="19"/>
      <c r="U51" s="2265"/>
    </row>
    <row r="52" spans="1:21" ht="14.1" customHeight="1" x14ac:dyDescent="0.2">
      <c r="A52" s="1805"/>
      <c r="B52" s="2293"/>
      <c r="C52" s="2052" t="s">
        <v>409</v>
      </c>
      <c r="D52" s="1996" t="s">
        <v>211</v>
      </c>
      <c r="E52" s="619" t="s">
        <v>47</v>
      </c>
      <c r="F52" s="1810"/>
      <c r="G52" s="198"/>
      <c r="H52" s="970"/>
      <c r="I52" s="583"/>
      <c r="J52" s="1264"/>
      <c r="K52" s="970"/>
      <c r="L52" s="583"/>
      <c r="M52" s="1263"/>
      <c r="N52" s="970"/>
      <c r="O52" s="583"/>
      <c r="P52" s="1263"/>
      <c r="Q52" s="2013" t="s">
        <v>276</v>
      </c>
      <c r="R52" s="1955"/>
      <c r="S52" s="608" t="s">
        <v>55</v>
      </c>
      <c r="T52" s="1955"/>
      <c r="U52" s="1265"/>
    </row>
    <row r="53" spans="1:21" ht="37.5" customHeight="1" x14ac:dyDescent="0.2">
      <c r="A53" s="1805"/>
      <c r="B53" s="2294"/>
      <c r="C53" s="2016"/>
      <c r="D53" s="2028"/>
      <c r="E53" s="2056" t="s">
        <v>231</v>
      </c>
      <c r="F53" s="1810"/>
      <c r="G53" s="198"/>
      <c r="H53" s="970"/>
      <c r="I53" s="583"/>
      <c r="J53" s="1264"/>
      <c r="K53" s="970"/>
      <c r="L53" s="583"/>
      <c r="M53" s="1263"/>
      <c r="N53" s="970"/>
      <c r="O53" s="583"/>
      <c r="P53" s="1263"/>
      <c r="Q53" s="2055"/>
      <c r="R53" s="609"/>
      <c r="S53" s="610"/>
      <c r="T53" s="609"/>
      <c r="U53" s="1265"/>
    </row>
    <row r="54" spans="1:21" ht="27.75" customHeight="1" x14ac:dyDescent="0.2">
      <c r="A54" s="1805"/>
      <c r="B54" s="2294"/>
      <c r="C54" s="2016"/>
      <c r="D54" s="2029"/>
      <c r="E54" s="2288"/>
      <c r="F54" s="1810"/>
      <c r="G54" s="1596"/>
      <c r="H54" s="1190"/>
      <c r="I54" s="1189"/>
      <c r="J54" s="1261"/>
      <c r="K54" s="1190"/>
      <c r="L54" s="1189"/>
      <c r="M54" s="1260"/>
      <c r="N54" s="1190"/>
      <c r="O54" s="1189"/>
      <c r="P54" s="1260"/>
      <c r="Q54" s="1967" t="s">
        <v>239</v>
      </c>
      <c r="R54" s="609"/>
      <c r="S54" s="610" t="s">
        <v>236</v>
      </c>
      <c r="T54" s="609" t="s">
        <v>237</v>
      </c>
      <c r="U54" s="1265"/>
    </row>
    <row r="55" spans="1:21" ht="66" customHeight="1" x14ac:dyDescent="0.2">
      <c r="A55" s="1805"/>
      <c r="B55" s="2294"/>
      <c r="C55" s="2016"/>
      <c r="D55" s="2289" t="s">
        <v>408</v>
      </c>
      <c r="E55" s="1813"/>
      <c r="F55" s="1810"/>
      <c r="G55" s="404" t="s">
        <v>25</v>
      </c>
      <c r="H55" s="404"/>
      <c r="I55" s="405"/>
      <c r="J55" s="1740"/>
      <c r="K55" s="404"/>
      <c r="L55" s="405">
        <v>133.80000000000001</v>
      </c>
      <c r="M55" s="1194">
        <f>L55</f>
        <v>133.80000000000001</v>
      </c>
      <c r="N55" s="404"/>
      <c r="O55" s="405">
        <v>133.69999999999999</v>
      </c>
      <c r="P55" s="1194">
        <f>O55</f>
        <v>133.69999999999999</v>
      </c>
      <c r="Q55" s="1762" t="s">
        <v>143</v>
      </c>
      <c r="R55" s="1763"/>
      <c r="S55" s="1763" t="s">
        <v>400</v>
      </c>
      <c r="T55" s="1764" t="s">
        <v>401</v>
      </c>
      <c r="U55" s="2291" t="s">
        <v>419</v>
      </c>
    </row>
    <row r="56" spans="1:21" ht="54" customHeight="1" x14ac:dyDescent="0.2">
      <c r="A56" s="1805"/>
      <c r="B56" s="2294"/>
      <c r="C56" s="2053"/>
      <c r="D56" s="2290"/>
      <c r="E56" s="1814"/>
      <c r="F56" s="1810"/>
      <c r="G56" s="914" t="s">
        <v>44</v>
      </c>
      <c r="H56" s="914"/>
      <c r="I56" s="1743"/>
      <c r="J56" s="1761"/>
      <c r="K56" s="914"/>
      <c r="L56" s="1743">
        <v>250</v>
      </c>
      <c r="M56" s="1738">
        <f>L56</f>
        <v>250</v>
      </c>
      <c r="N56" s="914"/>
      <c r="O56" s="1743">
        <v>250</v>
      </c>
      <c r="P56" s="1738">
        <f>O56</f>
        <v>250</v>
      </c>
      <c r="Q56" s="1823"/>
      <c r="R56" s="1765"/>
      <c r="S56" s="1765"/>
      <c r="T56" s="1766"/>
      <c r="U56" s="2292"/>
    </row>
    <row r="57" spans="1:21" ht="35.25" customHeight="1" x14ac:dyDescent="0.2">
      <c r="A57" s="1641"/>
      <c r="B57" s="1657"/>
      <c r="C57" s="2052" t="s">
        <v>410</v>
      </c>
      <c r="D57" s="2046" t="s">
        <v>238</v>
      </c>
      <c r="E57" s="2015" t="s">
        <v>108</v>
      </c>
      <c r="F57" s="1635"/>
      <c r="G57" s="40"/>
      <c r="H57" s="255"/>
      <c r="I57" s="291"/>
      <c r="J57" s="395"/>
      <c r="K57" s="69"/>
      <c r="L57" s="177"/>
      <c r="M57" s="509"/>
      <c r="N57" s="69"/>
      <c r="O57" s="405"/>
      <c r="P57" s="1194"/>
      <c r="Q57" s="1950" t="s">
        <v>136</v>
      </c>
      <c r="R57" s="1960">
        <v>2</v>
      </c>
      <c r="S57" s="1959"/>
      <c r="T57" s="1955"/>
      <c r="U57" s="2267"/>
    </row>
    <row r="58" spans="1:21" ht="27.75" customHeight="1" x14ac:dyDescent="0.2">
      <c r="A58" s="1641"/>
      <c r="B58" s="1657"/>
      <c r="C58" s="2294"/>
      <c r="D58" s="2047"/>
      <c r="E58" s="2297"/>
      <c r="F58" s="1635"/>
      <c r="G58" s="40"/>
      <c r="H58" s="255"/>
      <c r="I58" s="291"/>
      <c r="J58" s="395"/>
      <c r="K58" s="69"/>
      <c r="L58" s="177"/>
      <c r="M58" s="509"/>
      <c r="N58" s="69"/>
      <c r="O58" s="405"/>
      <c r="P58" s="1194"/>
      <c r="Q58" s="1950" t="s">
        <v>226</v>
      </c>
      <c r="R58" s="1961">
        <v>1</v>
      </c>
      <c r="S58" s="1956"/>
      <c r="T58" s="1956"/>
      <c r="U58" s="2265"/>
    </row>
    <row r="59" spans="1:21" ht="30.75" customHeight="1" x14ac:dyDescent="0.2">
      <c r="A59" s="1641"/>
      <c r="B59" s="1657"/>
      <c r="C59" s="2294"/>
      <c r="D59" s="2214"/>
      <c r="E59" s="2298"/>
      <c r="F59" s="1635"/>
      <c r="G59" s="40"/>
      <c r="H59" s="255"/>
      <c r="I59" s="291"/>
      <c r="J59" s="395"/>
      <c r="K59" s="69"/>
      <c r="L59" s="177"/>
      <c r="M59" s="509"/>
      <c r="N59" s="69"/>
      <c r="O59" s="405"/>
      <c r="P59" s="1194"/>
      <c r="Q59" s="38" t="s">
        <v>246</v>
      </c>
      <c r="R59" s="267"/>
      <c r="S59" s="497"/>
      <c r="T59" s="1182" t="s">
        <v>433</v>
      </c>
      <c r="U59" s="2265"/>
    </row>
    <row r="60" spans="1:21" ht="14.1" customHeight="1" x14ac:dyDescent="0.2">
      <c r="A60" s="1641"/>
      <c r="B60" s="1657"/>
      <c r="C60" s="2294"/>
      <c r="D60" s="2002" t="s">
        <v>196</v>
      </c>
      <c r="E60" s="2015" t="s">
        <v>108</v>
      </c>
      <c r="F60" s="1635"/>
      <c r="G60" s="73"/>
      <c r="H60" s="73"/>
      <c r="I60" s="42"/>
      <c r="J60" s="1716"/>
      <c r="K60" s="73"/>
      <c r="L60" s="42"/>
      <c r="M60" s="1717"/>
      <c r="N60" s="73"/>
      <c r="O60" s="529"/>
      <c r="P60" s="1718"/>
      <c r="Q60" s="2007" t="s">
        <v>368</v>
      </c>
      <c r="R60" s="1960">
        <v>1</v>
      </c>
      <c r="S60" s="968"/>
      <c r="T60" s="1937"/>
      <c r="U60" s="254"/>
    </row>
    <row r="61" spans="1:21" ht="14.1" customHeight="1" x14ac:dyDescent="0.2">
      <c r="A61" s="1641"/>
      <c r="B61" s="1657"/>
      <c r="C61" s="2294"/>
      <c r="D61" s="2040"/>
      <c r="E61" s="2216"/>
      <c r="F61" s="1635"/>
      <c r="G61" s="69"/>
      <c r="H61" s="970"/>
      <c r="I61" s="583"/>
      <c r="J61" s="1264"/>
      <c r="K61" s="970"/>
      <c r="L61" s="583"/>
      <c r="M61" s="1263"/>
      <c r="N61" s="970"/>
      <c r="O61" s="405"/>
      <c r="P61" s="1194"/>
      <c r="Q61" s="2370"/>
      <c r="R61" s="1961"/>
      <c r="S61" s="294"/>
      <c r="T61" s="1583"/>
      <c r="U61" s="254"/>
    </row>
    <row r="62" spans="1:21" ht="32.25" customHeight="1" x14ac:dyDescent="0.2">
      <c r="A62" s="1641"/>
      <c r="B62" s="1657"/>
      <c r="C62" s="2294"/>
      <c r="D62" s="2030"/>
      <c r="E62" s="2298"/>
      <c r="F62" s="1635"/>
      <c r="G62" s="69"/>
      <c r="H62" s="970"/>
      <c r="I62" s="583"/>
      <c r="J62" s="1264"/>
      <c r="K62" s="970"/>
      <c r="L62" s="583"/>
      <c r="M62" s="1263"/>
      <c r="N62" s="970"/>
      <c r="O62" s="583"/>
      <c r="P62" s="1263"/>
      <c r="Q62" s="1943" t="s">
        <v>369</v>
      </c>
      <c r="R62" s="780"/>
      <c r="S62" s="780">
        <v>1</v>
      </c>
      <c r="T62" s="1266"/>
      <c r="U62" s="254"/>
    </row>
    <row r="63" spans="1:21" ht="14.1" customHeight="1" x14ac:dyDescent="0.2">
      <c r="A63" s="1805"/>
      <c r="B63" s="1812"/>
      <c r="C63" s="2294"/>
      <c r="D63" s="2002" t="s">
        <v>146</v>
      </c>
      <c r="E63" s="2015" t="s">
        <v>108</v>
      </c>
      <c r="F63" s="1810"/>
      <c r="G63" s="1188"/>
      <c r="H63" s="1188"/>
      <c r="I63" s="1187"/>
      <c r="J63" s="1262"/>
      <c r="K63" s="1188"/>
      <c r="L63" s="1187"/>
      <c r="M63" s="1821"/>
      <c r="N63" s="1188"/>
      <c r="O63" s="1187"/>
      <c r="P63" s="1821"/>
      <c r="Q63" s="1999" t="s">
        <v>367</v>
      </c>
      <c r="R63" s="385"/>
      <c r="S63" s="598"/>
      <c r="T63" s="1267"/>
      <c r="U63" s="254"/>
    </row>
    <row r="64" spans="1:21" ht="14.1" customHeight="1" x14ac:dyDescent="0.2">
      <c r="A64" s="1805"/>
      <c r="B64" s="1812"/>
      <c r="C64" s="2294"/>
      <c r="D64" s="2040"/>
      <c r="E64" s="2216"/>
      <c r="F64" s="1810"/>
      <c r="G64" s="970"/>
      <c r="H64" s="970"/>
      <c r="I64" s="583"/>
      <c r="J64" s="1264"/>
      <c r="K64" s="970"/>
      <c r="L64" s="583"/>
      <c r="M64" s="1263"/>
      <c r="N64" s="970"/>
      <c r="O64" s="583"/>
      <c r="P64" s="1263"/>
      <c r="Q64" s="2051"/>
      <c r="R64" s="434"/>
      <c r="S64" s="434"/>
      <c r="T64" s="1268"/>
      <c r="U64" s="254"/>
    </row>
    <row r="65" spans="1:21" ht="14.1" customHeight="1" x14ac:dyDescent="0.2">
      <c r="A65" s="1805"/>
      <c r="B65" s="1812"/>
      <c r="C65" s="2295"/>
      <c r="D65" s="2030"/>
      <c r="E65" s="2298"/>
      <c r="F65" s="1810"/>
      <c r="G65" s="1190"/>
      <c r="H65" s="1602"/>
      <c r="I65" s="1822"/>
      <c r="J65" s="1261"/>
      <c r="K65" s="1602"/>
      <c r="L65" s="1822"/>
      <c r="M65" s="1260"/>
      <c r="N65" s="1602"/>
      <c r="O65" s="1822"/>
      <c r="P65" s="1260"/>
      <c r="Q65" s="1149"/>
      <c r="R65" s="41"/>
      <c r="S65" s="132"/>
      <c r="T65" s="1938"/>
      <c r="U65" s="254"/>
    </row>
    <row r="66" spans="1:21" ht="15" customHeight="1" x14ac:dyDescent="0.2">
      <c r="A66" s="1805"/>
      <c r="B66" s="1812"/>
      <c r="C66" s="1806"/>
      <c r="D66" s="2002" t="s">
        <v>200</v>
      </c>
      <c r="E66" s="1239"/>
      <c r="F66" s="1809"/>
      <c r="G66" s="69"/>
      <c r="H66" s="73"/>
      <c r="I66" s="405"/>
      <c r="J66" s="1194"/>
      <c r="K66" s="85"/>
      <c r="L66" s="177"/>
      <c r="M66" s="395"/>
      <c r="N66" s="69"/>
      <c r="O66" s="177"/>
      <c r="P66" s="1194"/>
      <c r="Q66" s="2000" t="s">
        <v>204</v>
      </c>
      <c r="R66" s="1583">
        <v>10</v>
      </c>
      <c r="S66" s="482">
        <v>40</v>
      </c>
      <c r="T66" s="1817">
        <v>80</v>
      </c>
      <c r="U66" s="2264"/>
    </row>
    <row r="67" spans="1:21" ht="21.75" customHeight="1" x14ac:dyDescent="0.2">
      <c r="A67" s="1805"/>
      <c r="B67" s="1812"/>
      <c r="C67" s="1830"/>
      <c r="D67" s="2017"/>
      <c r="E67" s="531"/>
      <c r="F67" s="1809"/>
      <c r="G67" s="72"/>
      <c r="H67" s="72"/>
      <c r="I67" s="1743"/>
      <c r="J67" s="1738"/>
      <c r="K67" s="124"/>
      <c r="L67" s="1743"/>
      <c r="M67" s="1761"/>
      <c r="N67" s="72"/>
      <c r="O67" s="36"/>
      <c r="P67" s="1738"/>
      <c r="Q67" s="2025"/>
      <c r="R67" s="1938"/>
      <c r="S67" s="480"/>
      <c r="T67" s="132"/>
      <c r="U67" s="2296"/>
    </row>
    <row r="68" spans="1:21" x14ac:dyDescent="0.2">
      <c r="A68" s="1828"/>
      <c r="B68" s="1840"/>
      <c r="C68" s="1830"/>
      <c r="D68" s="2002" t="s">
        <v>58</v>
      </c>
      <c r="E68" s="1838"/>
      <c r="F68" s="2263"/>
      <c r="G68" s="73"/>
      <c r="H68" s="69"/>
      <c r="I68" s="177"/>
      <c r="J68" s="509"/>
      <c r="K68" s="96"/>
      <c r="L68" s="42"/>
      <c r="M68" s="1716"/>
      <c r="N68" s="104"/>
      <c r="O68" s="42"/>
      <c r="P68" s="1256"/>
      <c r="Q68" s="1999" t="s">
        <v>144</v>
      </c>
      <c r="R68" s="1937">
        <v>5</v>
      </c>
      <c r="S68" s="479">
        <v>50</v>
      </c>
      <c r="T68" s="968">
        <v>80</v>
      </c>
      <c r="U68" s="254"/>
    </row>
    <row r="69" spans="1:21" ht="14.25" customHeight="1" x14ac:dyDescent="0.2">
      <c r="A69" s="1828"/>
      <c r="B69" s="1840"/>
      <c r="C69" s="1830"/>
      <c r="D69" s="2040"/>
      <c r="E69" s="1838"/>
      <c r="F69" s="2263"/>
      <c r="G69" s="69"/>
      <c r="H69" s="69"/>
      <c r="I69" s="177"/>
      <c r="J69" s="509"/>
      <c r="K69" s="96"/>
      <c r="L69" s="177"/>
      <c r="M69" s="395"/>
      <c r="N69" s="105"/>
      <c r="O69" s="177"/>
      <c r="P69" s="1258"/>
      <c r="Q69" s="2004"/>
      <c r="R69" s="1583"/>
      <c r="S69" s="482"/>
      <c r="T69" s="294"/>
      <c r="U69" s="254"/>
    </row>
    <row r="70" spans="1:21" ht="10.5" customHeight="1" x14ac:dyDescent="0.2">
      <c r="A70" s="1828"/>
      <c r="B70" s="1840"/>
      <c r="C70" s="1830"/>
      <c r="D70" s="2030"/>
      <c r="E70" s="1838"/>
      <c r="F70" s="2263"/>
      <c r="G70" s="102"/>
      <c r="H70" s="72"/>
      <c r="I70" s="36"/>
      <c r="J70" s="1246"/>
      <c r="K70" s="97"/>
      <c r="L70" s="36"/>
      <c r="M70" s="1247"/>
      <c r="N70" s="106"/>
      <c r="O70" s="36"/>
      <c r="P70" s="1259"/>
      <c r="Q70" s="507"/>
      <c r="R70" s="1832"/>
      <c r="S70" s="480"/>
      <c r="T70" s="132"/>
      <c r="U70" s="254"/>
    </row>
    <row r="71" spans="1:21" ht="21" customHeight="1" x14ac:dyDescent="0.2">
      <c r="A71" s="1641"/>
      <c r="B71" s="1657"/>
      <c r="C71" s="1830"/>
      <c r="D71" s="2002" t="s">
        <v>279</v>
      </c>
      <c r="E71" s="960" t="s">
        <v>47</v>
      </c>
      <c r="F71" s="1635"/>
      <c r="G71" s="69"/>
      <c r="H71" s="69"/>
      <c r="I71" s="177"/>
      <c r="J71" s="395"/>
      <c r="K71" s="69"/>
      <c r="L71" s="405"/>
      <c r="M71" s="1194"/>
      <c r="N71" s="404"/>
      <c r="O71" s="405"/>
      <c r="P71" s="1194"/>
      <c r="Q71" s="1807" t="s">
        <v>46</v>
      </c>
      <c r="R71" s="334">
        <v>1</v>
      </c>
      <c r="S71" s="481"/>
      <c r="T71" s="334"/>
      <c r="U71" s="2264"/>
    </row>
    <row r="72" spans="1:21" ht="17.25" customHeight="1" x14ac:dyDescent="0.2">
      <c r="A72" s="1641"/>
      <c r="B72" s="1657"/>
      <c r="C72" s="1830"/>
      <c r="D72" s="2040"/>
      <c r="E72" s="391"/>
      <c r="F72" s="1635"/>
      <c r="G72" s="69"/>
      <c r="H72" s="69"/>
      <c r="I72" s="177"/>
      <c r="J72" s="395"/>
      <c r="K72" s="69"/>
      <c r="L72" s="405"/>
      <c r="M72" s="1194"/>
      <c r="N72" s="404"/>
      <c r="O72" s="405"/>
      <c r="P72" s="1194"/>
      <c r="Q72" s="1620" t="s">
        <v>143</v>
      </c>
      <c r="R72" s="341"/>
      <c r="S72" s="343">
        <v>30</v>
      </c>
      <c r="T72" s="341">
        <v>60</v>
      </c>
      <c r="U72" s="2265"/>
    </row>
    <row r="73" spans="1:21" ht="16.5" customHeight="1" x14ac:dyDescent="0.2">
      <c r="A73" s="1641"/>
      <c r="B73" s="1657"/>
      <c r="C73" s="1830"/>
      <c r="D73" s="2030"/>
      <c r="E73" s="391"/>
      <c r="F73" s="1635"/>
      <c r="G73" s="69"/>
      <c r="H73" s="72"/>
      <c r="I73" s="36"/>
      <c r="J73" s="1247"/>
      <c r="K73" s="106"/>
      <c r="L73" s="405"/>
      <c r="M73" s="1194"/>
      <c r="N73" s="404"/>
      <c r="O73" s="405"/>
      <c r="P73" s="1194"/>
      <c r="Q73" s="1620"/>
      <c r="R73" s="341"/>
      <c r="S73" s="343"/>
      <c r="T73" s="341"/>
      <c r="U73" s="2265"/>
    </row>
    <row r="74" spans="1:21" ht="14.1" customHeight="1" x14ac:dyDescent="0.2">
      <c r="A74" s="1641"/>
      <c r="B74" s="1657"/>
      <c r="C74" s="1830"/>
      <c r="D74" s="2002" t="s">
        <v>129</v>
      </c>
      <c r="E74" s="2363" t="s">
        <v>370</v>
      </c>
      <c r="F74" s="1635"/>
      <c r="G74" s="1188"/>
      <c r="H74" s="1188"/>
      <c r="I74" s="1187"/>
      <c r="J74" s="1262"/>
      <c r="K74" s="1188"/>
      <c r="L74" s="1255"/>
      <c r="M74" s="1256"/>
      <c r="N74" s="1607"/>
      <c r="O74" s="1255"/>
      <c r="P74" s="1256"/>
      <c r="Q74" s="963" t="s">
        <v>46</v>
      </c>
      <c r="R74" s="1614">
        <v>1</v>
      </c>
      <c r="S74" s="479"/>
      <c r="T74" s="1614"/>
      <c r="U74" s="1265"/>
    </row>
    <row r="75" spans="1:21" ht="14.1" customHeight="1" x14ac:dyDescent="0.2">
      <c r="A75" s="1641"/>
      <c r="B75" s="1657"/>
      <c r="C75" s="1830"/>
      <c r="D75" s="2040"/>
      <c r="E75" s="2365"/>
      <c r="F75" s="1635"/>
      <c r="G75" s="970"/>
      <c r="H75" s="970"/>
      <c r="I75" s="583"/>
      <c r="J75" s="1264"/>
      <c r="K75" s="970"/>
      <c r="L75" s="583"/>
      <c r="M75" s="1263"/>
      <c r="N75" s="970"/>
      <c r="O75" s="583"/>
      <c r="P75" s="1263"/>
      <c r="Q75" s="1620"/>
      <c r="R75" s="1583"/>
      <c r="S75" s="482"/>
      <c r="T75" s="1583"/>
      <c r="U75" s="1265"/>
    </row>
    <row r="76" spans="1:21" ht="27" customHeight="1" x14ac:dyDescent="0.2">
      <c r="A76" s="1641"/>
      <c r="B76" s="1657"/>
      <c r="C76" s="1830"/>
      <c r="D76" s="2017"/>
      <c r="E76" s="2435"/>
      <c r="F76" s="1635"/>
      <c r="G76" s="1190"/>
      <c r="H76" s="1190"/>
      <c r="I76" s="1189"/>
      <c r="J76" s="1261"/>
      <c r="K76" s="1190"/>
      <c r="L76" s="1189"/>
      <c r="M76" s="1260"/>
      <c r="N76" s="1190"/>
      <c r="O76" s="1189"/>
      <c r="P76" s="1260"/>
      <c r="Q76" s="1706"/>
      <c r="R76" s="19"/>
      <c r="S76" s="233"/>
      <c r="T76" s="19"/>
      <c r="U76" s="1265"/>
    </row>
    <row r="77" spans="1:21" ht="14.1" customHeight="1" x14ac:dyDescent="0.2">
      <c r="A77" s="1641"/>
      <c r="B77" s="1657"/>
      <c r="C77" s="1830"/>
      <c r="D77" s="2002" t="s">
        <v>274</v>
      </c>
      <c r="E77" s="2363" t="s">
        <v>229</v>
      </c>
      <c r="F77" s="1635"/>
      <c r="G77" s="1598"/>
      <c r="H77" s="1188"/>
      <c r="I77" s="1187"/>
      <c r="J77" s="1262"/>
      <c r="K77" s="1188"/>
      <c r="L77" s="1187"/>
      <c r="M77" s="1821"/>
      <c r="N77" s="1188"/>
      <c r="O77" s="1187"/>
      <c r="P77" s="1821"/>
      <c r="Q77" s="1999" t="s">
        <v>46</v>
      </c>
      <c r="R77" s="1713">
        <v>1</v>
      </c>
      <c r="S77" s="232"/>
      <c r="T77" s="1713"/>
      <c r="U77" s="1265"/>
    </row>
    <row r="78" spans="1:21" ht="14.1" customHeight="1" x14ac:dyDescent="0.2">
      <c r="A78" s="1641"/>
      <c r="B78" s="1657"/>
      <c r="C78" s="1830"/>
      <c r="D78" s="2030"/>
      <c r="E78" s="2364"/>
      <c r="F78" s="1635"/>
      <c r="G78" s="1597"/>
      <c r="H78" s="1190"/>
      <c r="I78" s="1189"/>
      <c r="J78" s="1261"/>
      <c r="K78" s="1190"/>
      <c r="L78" s="1189"/>
      <c r="M78" s="1260"/>
      <c r="N78" s="1190"/>
      <c r="O78" s="1189"/>
      <c r="P78" s="1260"/>
      <c r="Q78" s="2025"/>
      <c r="R78" s="19"/>
      <c r="S78" s="233"/>
      <c r="T78" s="19"/>
      <c r="U78" s="1265"/>
    </row>
    <row r="79" spans="1:21" ht="14.1" customHeight="1" x14ac:dyDescent="0.2">
      <c r="A79" s="1641"/>
      <c r="B79" s="1657"/>
      <c r="C79" s="1830"/>
      <c r="D79" s="2002" t="s">
        <v>199</v>
      </c>
      <c r="E79" s="2363"/>
      <c r="F79" s="1635"/>
      <c r="G79" s="1188"/>
      <c r="H79" s="1598"/>
      <c r="I79" s="1824"/>
      <c r="J79" s="1262"/>
      <c r="K79" s="1598"/>
      <c r="L79" s="1824"/>
      <c r="M79" s="1821"/>
      <c r="N79" s="1598"/>
      <c r="O79" s="1824"/>
      <c r="P79" s="1821"/>
      <c r="Q79" s="1269" t="s">
        <v>92</v>
      </c>
      <c r="R79" s="334">
        <v>1</v>
      </c>
      <c r="S79" s="961"/>
      <c r="T79" s="1712"/>
      <c r="U79" s="1265"/>
    </row>
    <row r="80" spans="1:21" ht="27" customHeight="1" x14ac:dyDescent="0.2">
      <c r="A80" s="1641"/>
      <c r="B80" s="1657"/>
      <c r="C80" s="1830"/>
      <c r="D80" s="2030"/>
      <c r="E80" s="2364"/>
      <c r="F80" s="1635"/>
      <c r="G80" s="1190"/>
      <c r="H80" s="1599"/>
      <c r="I80" s="1825"/>
      <c r="J80" s="1261"/>
      <c r="K80" s="1599"/>
      <c r="L80" s="1825"/>
      <c r="M80" s="1260"/>
      <c r="N80" s="1599"/>
      <c r="O80" s="1825"/>
      <c r="P80" s="1260"/>
      <c r="Q80" s="1270"/>
      <c r="R80" s="342"/>
      <c r="S80" s="233"/>
      <c r="T80" s="19"/>
      <c r="U80" s="1265"/>
    </row>
    <row r="81" spans="1:21" ht="14.1" customHeight="1" x14ac:dyDescent="0.2">
      <c r="A81" s="1641"/>
      <c r="B81" s="1657"/>
      <c r="C81" s="1830"/>
      <c r="D81" s="2002" t="s">
        <v>240</v>
      </c>
      <c r="E81" s="2368"/>
      <c r="F81" s="1635"/>
      <c r="G81" s="1595"/>
      <c r="H81" s="970"/>
      <c r="I81" s="583"/>
      <c r="J81" s="1264"/>
      <c r="K81" s="970"/>
      <c r="L81" s="583"/>
      <c r="M81" s="1263"/>
      <c r="N81" s="970"/>
      <c r="O81" s="583"/>
      <c r="P81" s="1263"/>
      <c r="Q81" s="1807" t="s">
        <v>46</v>
      </c>
      <c r="R81" s="1712">
        <v>1</v>
      </c>
      <c r="S81" s="961"/>
      <c r="T81" s="1712"/>
      <c r="U81" s="1265"/>
    </row>
    <row r="82" spans="1:21" ht="14.1" customHeight="1" x14ac:dyDescent="0.2">
      <c r="A82" s="1641"/>
      <c r="B82" s="1657"/>
      <c r="C82" s="1830"/>
      <c r="D82" s="2040"/>
      <c r="E82" s="2122"/>
      <c r="F82" s="1635"/>
      <c r="G82" s="198"/>
      <c r="H82" s="970"/>
      <c r="I82" s="583"/>
      <c r="J82" s="1264"/>
      <c r="K82" s="970"/>
      <c r="L82" s="583"/>
      <c r="M82" s="1263"/>
      <c r="N82" s="970"/>
      <c r="O82" s="583"/>
      <c r="P82" s="1263"/>
      <c r="Q82" s="2035" t="s">
        <v>135</v>
      </c>
      <c r="R82" s="1713"/>
      <c r="S82" s="232">
        <v>50</v>
      </c>
      <c r="T82" s="1713">
        <v>100</v>
      </c>
      <c r="U82" s="1265"/>
    </row>
    <row r="83" spans="1:21" ht="14.1" customHeight="1" x14ac:dyDescent="0.2">
      <c r="A83" s="1641"/>
      <c r="B83" s="1657"/>
      <c r="C83" s="1830"/>
      <c r="D83" s="2030"/>
      <c r="E83" s="2369"/>
      <c r="F83" s="1635"/>
      <c r="G83" s="1597"/>
      <c r="H83" s="1190"/>
      <c r="I83" s="1189"/>
      <c r="J83" s="1261"/>
      <c r="K83" s="1190"/>
      <c r="L83" s="1189"/>
      <c r="M83" s="1260"/>
      <c r="N83" s="1190"/>
      <c r="O83" s="1189"/>
      <c r="P83" s="1260"/>
      <c r="Q83" s="2036"/>
      <c r="R83" s="19"/>
      <c r="S83" s="233"/>
      <c r="T83" s="19"/>
      <c r="U83" s="1265"/>
    </row>
    <row r="84" spans="1:21" ht="14.1" customHeight="1" x14ac:dyDescent="0.2">
      <c r="A84" s="1641"/>
      <c r="B84" s="1657"/>
      <c r="C84" s="1830"/>
      <c r="D84" s="2002" t="s">
        <v>221</v>
      </c>
      <c r="E84" s="89"/>
      <c r="F84" s="1635"/>
      <c r="G84" s="970"/>
      <c r="H84" s="970"/>
      <c r="I84" s="583"/>
      <c r="J84" s="1264"/>
      <c r="K84" s="970"/>
      <c r="L84" s="583"/>
      <c r="M84" s="1263"/>
      <c r="N84" s="970"/>
      <c r="O84" s="583"/>
      <c r="P84" s="1263"/>
      <c r="Q84" s="1808" t="s">
        <v>46</v>
      </c>
      <c r="R84" s="1614"/>
      <c r="S84" s="2026">
        <v>1</v>
      </c>
      <c r="T84" s="1583"/>
      <c r="U84" s="1265"/>
    </row>
    <row r="85" spans="1:21" ht="14.1" customHeight="1" x14ac:dyDescent="0.2">
      <c r="A85" s="1641"/>
      <c r="B85" s="1657"/>
      <c r="C85" s="1830"/>
      <c r="D85" s="2017"/>
      <c r="E85" s="410"/>
      <c r="F85" s="1635"/>
      <c r="G85" s="1190"/>
      <c r="H85" s="1190"/>
      <c r="I85" s="1189"/>
      <c r="J85" s="1261"/>
      <c r="K85" s="1190"/>
      <c r="L85" s="1189"/>
      <c r="M85" s="1260"/>
      <c r="N85" s="1190"/>
      <c r="O85" s="1189"/>
      <c r="P85" s="1260"/>
      <c r="Q85" s="1242"/>
      <c r="R85" s="1615"/>
      <c r="S85" s="2027"/>
      <c r="T85" s="1615"/>
      <c r="U85" s="1265"/>
    </row>
    <row r="86" spans="1:21" ht="14.1" customHeight="1" x14ac:dyDescent="0.2">
      <c r="A86" s="1641"/>
      <c r="B86" s="1657"/>
      <c r="C86" s="1830"/>
      <c r="D86" s="1996" t="s">
        <v>202</v>
      </c>
      <c r="E86" s="1243" t="s">
        <v>229</v>
      </c>
      <c r="F86" s="1635"/>
      <c r="G86" s="970" t="s">
        <v>45</v>
      </c>
      <c r="H86" s="970"/>
      <c r="I86" s="583"/>
      <c r="J86" s="1264"/>
      <c r="K86" s="1600"/>
      <c r="L86" s="1601"/>
      <c r="M86" s="1263"/>
      <c r="N86" s="1600"/>
      <c r="O86" s="1601"/>
      <c r="P86" s="1263"/>
      <c r="Q86" s="1811" t="s">
        <v>46</v>
      </c>
      <c r="R86" s="1815">
        <v>1</v>
      </c>
      <c r="S86" s="1815"/>
      <c r="T86" s="1816"/>
      <c r="U86" s="1265"/>
    </row>
    <row r="87" spans="1:21" ht="14.1" customHeight="1" x14ac:dyDescent="0.2">
      <c r="A87" s="1641"/>
      <c r="B87" s="1657"/>
      <c r="C87" s="1830"/>
      <c r="D87" s="2029"/>
      <c r="E87" s="593"/>
      <c r="F87" s="1635"/>
      <c r="G87" s="1190"/>
      <c r="H87" s="1826"/>
      <c r="I87" s="1827"/>
      <c r="J87" s="1261"/>
      <c r="K87" s="1826"/>
      <c r="L87" s="1827"/>
      <c r="M87" s="1260"/>
      <c r="N87" s="1826"/>
      <c r="O87" s="1827"/>
      <c r="P87" s="1260"/>
      <c r="Q87" s="167"/>
      <c r="R87" s="41"/>
      <c r="S87" s="41"/>
      <c r="T87" s="19"/>
      <c r="U87" s="1265"/>
    </row>
    <row r="88" spans="1:21" ht="14.1" customHeight="1" x14ac:dyDescent="0.2">
      <c r="A88" s="1641"/>
      <c r="B88" s="1657"/>
      <c r="C88" s="1830"/>
      <c r="D88" s="1996" t="s">
        <v>198</v>
      </c>
      <c r="E88" s="1630" t="s">
        <v>47</v>
      </c>
      <c r="F88" s="1635"/>
      <c r="G88" s="970"/>
      <c r="H88" s="970"/>
      <c r="I88" s="583"/>
      <c r="J88" s="1264"/>
      <c r="K88" s="970"/>
      <c r="L88" s="583"/>
      <c r="M88" s="1263"/>
      <c r="N88" s="970"/>
      <c r="O88" s="583"/>
      <c r="P88" s="1263"/>
      <c r="Q88" s="1620" t="s">
        <v>46</v>
      </c>
      <c r="R88" s="1713"/>
      <c r="S88" s="232"/>
      <c r="T88" s="1713">
        <v>1</v>
      </c>
      <c r="U88" s="1265"/>
    </row>
    <row r="89" spans="1:21" ht="14.1" customHeight="1" x14ac:dyDescent="0.2">
      <c r="A89" s="1641"/>
      <c r="B89" s="1657"/>
      <c r="C89" s="1830"/>
      <c r="D89" s="2029"/>
      <c r="E89" s="1663"/>
      <c r="F89" s="1635"/>
      <c r="G89" s="1190"/>
      <c r="H89" s="1190"/>
      <c r="I89" s="1189"/>
      <c r="J89" s="1261"/>
      <c r="K89" s="1190"/>
      <c r="L89" s="1189"/>
      <c r="M89" s="1260"/>
      <c r="N89" s="1190"/>
      <c r="O89" s="1189"/>
      <c r="P89" s="1260"/>
      <c r="Q89" s="1706"/>
      <c r="R89" s="19"/>
      <c r="S89" s="233"/>
      <c r="T89" s="19"/>
      <c r="U89" s="1265"/>
    </row>
    <row r="90" spans="1:21" ht="14.1" customHeight="1" x14ac:dyDescent="0.2">
      <c r="A90" s="1641"/>
      <c r="B90" s="1657"/>
      <c r="C90" s="1830"/>
      <c r="D90" s="2002" t="s">
        <v>184</v>
      </c>
      <c r="E90" s="2363" t="s">
        <v>47</v>
      </c>
      <c r="F90" s="1635"/>
      <c r="G90" s="970"/>
      <c r="H90" s="1257"/>
      <c r="I90" s="1769"/>
      <c r="J90" s="1264"/>
      <c r="K90" s="1257"/>
      <c r="L90" s="1769"/>
      <c r="M90" s="1263"/>
      <c r="N90" s="1257"/>
      <c r="O90" s="1769"/>
      <c r="P90" s="1263"/>
      <c r="Q90" s="1271" t="s">
        <v>92</v>
      </c>
      <c r="R90" s="341"/>
      <c r="S90" s="232">
        <v>1</v>
      </c>
      <c r="T90" s="1713"/>
      <c r="U90" s="1265"/>
    </row>
    <row r="91" spans="1:21" ht="14.1" customHeight="1" x14ac:dyDescent="0.2">
      <c r="A91" s="1641"/>
      <c r="B91" s="1657"/>
      <c r="C91" s="1830"/>
      <c r="D91" s="2030"/>
      <c r="E91" s="2364"/>
      <c r="F91" s="1635"/>
      <c r="G91" s="1603"/>
      <c r="H91" s="1190"/>
      <c r="I91" s="1189"/>
      <c r="J91" s="1261"/>
      <c r="K91" s="1190"/>
      <c r="L91" s="1189"/>
      <c r="M91" s="1260"/>
      <c r="N91" s="1190"/>
      <c r="O91" s="1189"/>
      <c r="P91" s="1260"/>
      <c r="Q91" s="1270"/>
      <c r="R91" s="342"/>
      <c r="S91" s="233"/>
      <c r="T91" s="19"/>
      <c r="U91" s="1265"/>
    </row>
    <row r="92" spans="1:21" ht="14.1" customHeight="1" x14ac:dyDescent="0.2">
      <c r="A92" s="1641"/>
      <c r="B92" s="1657"/>
      <c r="C92" s="1830"/>
      <c r="D92" s="2361" t="s">
        <v>403</v>
      </c>
      <c r="E92" s="2363"/>
      <c r="F92" s="1635"/>
      <c r="G92" s="404" t="s">
        <v>60</v>
      </c>
      <c r="H92" s="1734"/>
      <c r="I92" s="1735">
        <v>10</v>
      </c>
      <c r="J92" s="1750">
        <v>10</v>
      </c>
      <c r="K92" s="1734"/>
      <c r="L92" s="1735"/>
      <c r="M92" s="1718"/>
      <c r="N92" s="1734"/>
      <c r="O92" s="1735"/>
      <c r="P92" s="1718"/>
      <c r="Q92" s="1759" t="s">
        <v>420</v>
      </c>
      <c r="R92" s="1757"/>
      <c r="S92" s="1758">
        <v>1</v>
      </c>
      <c r="T92" s="1713"/>
      <c r="U92" s="2267" t="s">
        <v>421</v>
      </c>
    </row>
    <row r="93" spans="1:21" ht="105" customHeight="1" x14ac:dyDescent="0.2">
      <c r="A93" s="1641"/>
      <c r="B93" s="1657"/>
      <c r="C93" s="1830"/>
      <c r="D93" s="2362"/>
      <c r="E93" s="2364"/>
      <c r="F93" s="1635"/>
      <c r="G93" s="1760" t="s">
        <v>25</v>
      </c>
      <c r="H93" s="914"/>
      <c r="I93" s="1743"/>
      <c r="J93" s="1761"/>
      <c r="K93" s="914"/>
      <c r="L93" s="1743">
        <v>25</v>
      </c>
      <c r="M93" s="1738">
        <f>L93</f>
        <v>25</v>
      </c>
      <c r="N93" s="914"/>
      <c r="O93" s="1743"/>
      <c r="P93" s="1738"/>
      <c r="Q93" s="1270"/>
      <c r="R93" s="342"/>
      <c r="S93" s="233"/>
      <c r="T93" s="19"/>
      <c r="U93" s="2300"/>
    </row>
    <row r="94" spans="1:21" ht="14.1" customHeight="1" x14ac:dyDescent="0.2">
      <c r="A94" s="1641"/>
      <c r="B94" s="1657"/>
      <c r="C94" s="1830"/>
      <c r="D94" s="2359" t="s">
        <v>375</v>
      </c>
      <c r="E94" s="1650"/>
      <c r="F94" s="1635"/>
      <c r="G94" s="970"/>
      <c r="H94" s="970"/>
      <c r="I94" s="583"/>
      <c r="J94" s="1264"/>
      <c r="K94" s="970"/>
      <c r="L94" s="583"/>
      <c r="M94" s="1263"/>
      <c r="N94" s="970"/>
      <c r="O94" s="583"/>
      <c r="P94" s="1263"/>
      <c r="Q94" s="2306" t="s">
        <v>132</v>
      </c>
      <c r="R94" s="334">
        <v>100</v>
      </c>
      <c r="S94" s="481">
        <v>100</v>
      </c>
      <c r="T94" s="334">
        <v>100</v>
      </c>
      <c r="U94" s="1265"/>
    </row>
    <row r="95" spans="1:21" ht="14.1" customHeight="1" x14ac:dyDescent="0.2">
      <c r="A95" s="1641"/>
      <c r="B95" s="1657"/>
      <c r="C95" s="1830"/>
      <c r="D95" s="2360"/>
      <c r="E95" s="1640"/>
      <c r="F95" s="1635"/>
      <c r="G95" s="970"/>
      <c r="H95" s="970"/>
      <c r="I95" s="583"/>
      <c r="J95" s="1264"/>
      <c r="K95" s="970"/>
      <c r="L95" s="583"/>
      <c r="M95" s="1263"/>
      <c r="N95" s="970"/>
      <c r="O95" s="583"/>
      <c r="P95" s="1263"/>
      <c r="Q95" s="2307"/>
      <c r="R95" s="341"/>
      <c r="S95" s="343"/>
      <c r="T95" s="341"/>
      <c r="U95" s="1265"/>
    </row>
    <row r="96" spans="1:21" ht="14.1" customHeight="1" x14ac:dyDescent="0.2">
      <c r="A96" s="1641"/>
      <c r="B96" s="1657"/>
      <c r="C96" s="1830"/>
      <c r="D96" s="2184"/>
      <c r="E96" s="195"/>
      <c r="F96" s="1635"/>
      <c r="G96" s="561"/>
      <c r="H96" s="505"/>
      <c r="I96" s="293"/>
      <c r="J96" s="395"/>
      <c r="K96" s="505"/>
      <c r="L96" s="293"/>
      <c r="M96" s="509"/>
      <c r="N96" s="1767"/>
      <c r="O96" s="1768"/>
      <c r="P96" s="1194"/>
      <c r="Q96" s="2308"/>
      <c r="R96" s="335"/>
      <c r="S96" s="483"/>
      <c r="T96" s="335"/>
      <c r="U96" s="1265"/>
    </row>
    <row r="97" spans="1:21" ht="16.5" customHeight="1" thickBot="1" x14ac:dyDescent="0.25">
      <c r="A97" s="58"/>
      <c r="B97" s="1646"/>
      <c r="C97" s="81"/>
      <c r="D97" s="181"/>
      <c r="E97" s="592"/>
      <c r="F97" s="81"/>
      <c r="G97" s="143" t="s">
        <v>6</v>
      </c>
      <c r="H97" s="143">
        <f t="shared" ref="H97:N97" si="0">SUM(H15:H96)</f>
        <v>9639.6</v>
      </c>
      <c r="I97" s="143">
        <f t="shared" si="0"/>
        <v>9834</v>
      </c>
      <c r="J97" s="143">
        <f t="shared" si="0"/>
        <v>194.4</v>
      </c>
      <c r="K97" s="143">
        <f t="shared" si="0"/>
        <v>20983.599999999999</v>
      </c>
      <c r="L97" s="143">
        <f t="shared" si="0"/>
        <v>23552.7</v>
      </c>
      <c r="M97" s="143">
        <f t="shared" si="0"/>
        <v>2569.1</v>
      </c>
      <c r="N97" s="143">
        <f t="shared" si="0"/>
        <v>15679.6</v>
      </c>
      <c r="O97" s="143">
        <f t="shared" ref="O97:P97" si="1">SUM(O15:O96)</f>
        <v>15694.5</v>
      </c>
      <c r="P97" s="75">
        <f t="shared" si="1"/>
        <v>14.9</v>
      </c>
      <c r="Q97" s="572"/>
      <c r="R97" s="149"/>
      <c r="S97" s="485"/>
      <c r="T97" s="148"/>
      <c r="U97" s="403"/>
    </row>
    <row r="98" spans="1:21" ht="14.25" customHeight="1" thickBot="1" x14ac:dyDescent="0.25">
      <c r="A98" s="64" t="s">
        <v>5</v>
      </c>
      <c r="B98" s="207" t="s">
        <v>5</v>
      </c>
      <c r="C98" s="2188" t="s">
        <v>8</v>
      </c>
      <c r="D98" s="2160"/>
      <c r="E98" s="2160"/>
      <c r="F98" s="2160"/>
      <c r="G98" s="2161"/>
      <c r="H98" s="261">
        <f>H97</f>
        <v>9639.6</v>
      </c>
      <c r="I98" s="261">
        <f t="shared" ref="I98:P98" si="2">I97</f>
        <v>9834</v>
      </c>
      <c r="J98" s="261">
        <f t="shared" si="2"/>
        <v>194.4</v>
      </c>
      <c r="K98" s="261">
        <f t="shared" si="2"/>
        <v>20983.599999999999</v>
      </c>
      <c r="L98" s="261">
        <f t="shared" si="2"/>
        <v>23552.7</v>
      </c>
      <c r="M98" s="261">
        <f t="shared" si="2"/>
        <v>2569.1</v>
      </c>
      <c r="N98" s="261">
        <f t="shared" si="2"/>
        <v>15679.6</v>
      </c>
      <c r="O98" s="261">
        <f t="shared" si="2"/>
        <v>15694.5</v>
      </c>
      <c r="P98" s="114">
        <f t="shared" si="2"/>
        <v>14.9</v>
      </c>
      <c r="Q98" s="1655"/>
      <c r="R98" s="1672"/>
      <c r="S98" s="1672"/>
      <c r="T98" s="1655"/>
      <c r="U98" s="1656"/>
    </row>
    <row r="99" spans="1:21" s="1274" customFormat="1" ht="15" customHeight="1" x14ac:dyDescent="0.2">
      <c r="A99" s="1272" t="s">
        <v>5</v>
      </c>
      <c r="B99" s="1273" t="s">
        <v>5</v>
      </c>
      <c r="C99" s="2309" t="s">
        <v>31</v>
      </c>
      <c r="D99" s="2310"/>
      <c r="E99" s="2310"/>
      <c r="F99" s="2310"/>
      <c r="G99" s="2310"/>
      <c r="H99" s="2310"/>
      <c r="I99" s="2310"/>
      <c r="J99" s="2310"/>
      <c r="K99" s="2310"/>
      <c r="L99" s="2310"/>
      <c r="M99" s="2310"/>
      <c r="N99" s="2310"/>
      <c r="O99" s="2310"/>
      <c r="P99" s="2310"/>
      <c r="Q99" s="2310"/>
      <c r="R99" s="2310"/>
      <c r="S99" s="2310"/>
      <c r="T99" s="2310"/>
      <c r="U99" s="2311"/>
    </row>
    <row r="100" spans="1:21" s="1274" customFormat="1" ht="14.1" customHeight="1" x14ac:dyDescent="0.2">
      <c r="A100" s="1275" t="s">
        <v>5</v>
      </c>
      <c r="B100" s="1276" t="s">
        <v>5</v>
      </c>
      <c r="C100" s="1277" t="s">
        <v>5</v>
      </c>
      <c r="D100" s="2356" t="s">
        <v>49</v>
      </c>
      <c r="E100" s="2366" t="s">
        <v>86</v>
      </c>
      <c r="F100" s="1278" t="s">
        <v>43</v>
      </c>
      <c r="G100" s="1279" t="s">
        <v>385</v>
      </c>
      <c r="H100" s="1280">
        <v>914.8</v>
      </c>
      <c r="I100" s="1281">
        <v>914.8</v>
      </c>
      <c r="J100" s="1282"/>
      <c r="K100" s="1280">
        <v>233</v>
      </c>
      <c r="L100" s="1281">
        <v>233</v>
      </c>
      <c r="M100" s="1282"/>
      <c r="N100" s="1280">
        <v>563.6</v>
      </c>
      <c r="O100" s="1281">
        <v>563.9</v>
      </c>
      <c r="P100" s="1283"/>
      <c r="Q100" s="1284"/>
      <c r="R100" s="1285"/>
      <c r="S100" s="1286"/>
      <c r="T100" s="1287"/>
      <c r="U100" s="1288"/>
    </row>
    <row r="101" spans="1:21" s="1274" customFormat="1" ht="14.1" customHeight="1" x14ac:dyDescent="0.2">
      <c r="A101" s="1275"/>
      <c r="B101" s="1276"/>
      <c r="C101" s="1277"/>
      <c r="D101" s="2357"/>
      <c r="E101" s="2367"/>
      <c r="F101" s="1278"/>
      <c r="G101" s="1279" t="s">
        <v>384</v>
      </c>
      <c r="H101" s="1280">
        <v>101.5</v>
      </c>
      <c r="I101" s="1289">
        <v>101.5</v>
      </c>
      <c r="J101" s="1282"/>
      <c r="K101" s="1290"/>
      <c r="L101" s="1289"/>
      <c r="M101" s="1290"/>
      <c r="N101" s="1280"/>
      <c r="O101" s="1289"/>
      <c r="P101" s="1282"/>
      <c r="Q101" s="1284"/>
      <c r="R101" s="1285"/>
      <c r="S101" s="1286"/>
      <c r="T101" s="1291"/>
      <c r="U101" s="1292"/>
    </row>
    <row r="102" spans="1:21" s="1274" customFormat="1" ht="14.1" customHeight="1" x14ac:dyDescent="0.2">
      <c r="A102" s="1275"/>
      <c r="B102" s="1276"/>
      <c r="C102" s="1277"/>
      <c r="D102" s="2358"/>
      <c r="E102" s="2340"/>
      <c r="F102" s="1278"/>
      <c r="G102" s="1279" t="s">
        <v>392</v>
      </c>
      <c r="H102" s="1280">
        <v>480.6</v>
      </c>
      <c r="I102" s="1289">
        <v>480.6</v>
      </c>
      <c r="J102" s="1282"/>
      <c r="K102" s="1290"/>
      <c r="L102" s="1289"/>
      <c r="M102" s="1290"/>
      <c r="N102" s="1280"/>
      <c r="O102" s="1289"/>
      <c r="P102" s="1282"/>
      <c r="Q102" s="1284"/>
      <c r="R102" s="1285"/>
      <c r="S102" s="1286"/>
      <c r="T102" s="1291"/>
      <c r="U102" s="1292"/>
    </row>
    <row r="103" spans="1:21" s="1274" customFormat="1" ht="14.1" customHeight="1" x14ac:dyDescent="0.2">
      <c r="A103" s="1275"/>
      <c r="B103" s="1276"/>
      <c r="C103" s="1277"/>
      <c r="D103" s="1293"/>
      <c r="E103" s="1693"/>
      <c r="F103" s="1278"/>
      <c r="G103" s="1279" t="s">
        <v>381</v>
      </c>
      <c r="H103" s="1280">
        <v>1100</v>
      </c>
      <c r="I103" s="1289">
        <v>1100</v>
      </c>
      <c r="J103" s="1282"/>
      <c r="K103" s="1290"/>
      <c r="L103" s="1289"/>
      <c r="M103" s="1290"/>
      <c r="N103" s="1280">
        <v>96.4</v>
      </c>
      <c r="O103" s="1289">
        <v>96.4</v>
      </c>
      <c r="P103" s="1282"/>
      <c r="Q103" s="1284"/>
      <c r="R103" s="1285"/>
      <c r="S103" s="1286"/>
      <c r="T103" s="1291"/>
      <c r="U103" s="1292"/>
    </row>
    <row r="104" spans="1:21" s="1274" customFormat="1" ht="14.1" customHeight="1" x14ac:dyDescent="0.2">
      <c r="A104" s="1275"/>
      <c r="B104" s="1276"/>
      <c r="C104" s="1277"/>
      <c r="D104" s="1293"/>
      <c r="E104" s="1693"/>
      <c r="F104" s="1278"/>
      <c r="G104" s="1279" t="s">
        <v>391</v>
      </c>
      <c r="H104" s="1280"/>
      <c r="I104" s="1289"/>
      <c r="J104" s="1282"/>
      <c r="K104" s="1280"/>
      <c r="L104" s="1289"/>
      <c r="M104" s="1290"/>
      <c r="N104" s="1280">
        <v>44.7</v>
      </c>
      <c r="O104" s="1289">
        <v>44.7</v>
      </c>
      <c r="P104" s="1283"/>
      <c r="Q104" s="1284"/>
      <c r="R104" s="1285"/>
      <c r="S104" s="1286"/>
      <c r="T104" s="1291"/>
      <c r="U104" s="1292"/>
    </row>
    <row r="105" spans="1:21" s="1274" customFormat="1" ht="14.1" customHeight="1" x14ac:dyDescent="0.2">
      <c r="A105" s="1275"/>
      <c r="B105" s="1276"/>
      <c r="C105" s="1277"/>
      <c r="D105" s="1293"/>
      <c r="E105" s="1693"/>
      <c r="F105" s="1278"/>
      <c r="G105" s="1279" t="s">
        <v>387</v>
      </c>
      <c r="H105" s="1280">
        <v>162.4</v>
      </c>
      <c r="I105" s="1289">
        <v>162.4</v>
      </c>
      <c r="J105" s="1282"/>
      <c r="K105" s="1290"/>
      <c r="L105" s="1289"/>
      <c r="M105" s="1290"/>
      <c r="N105" s="1280"/>
      <c r="O105" s="1289"/>
      <c r="P105" s="1282"/>
      <c r="Q105" s="1284"/>
      <c r="R105" s="1285"/>
      <c r="S105" s="1286"/>
      <c r="T105" s="1291"/>
      <c r="U105" s="1292"/>
    </row>
    <row r="106" spans="1:21" s="1274" customFormat="1" ht="14.1" customHeight="1" x14ac:dyDescent="0.2">
      <c r="A106" s="1275"/>
      <c r="B106" s="1276"/>
      <c r="C106" s="1277"/>
      <c r="D106" s="1293"/>
      <c r="E106" s="1693"/>
      <c r="F106" s="1278"/>
      <c r="G106" s="1279" t="s">
        <v>386</v>
      </c>
      <c r="H106" s="1280"/>
      <c r="I106" s="1289"/>
      <c r="J106" s="1282"/>
      <c r="K106" s="1290">
        <v>850</v>
      </c>
      <c r="L106" s="1289">
        <v>850</v>
      </c>
      <c r="M106" s="1290"/>
      <c r="N106" s="1280">
        <v>1329.7</v>
      </c>
      <c r="O106" s="1289">
        <v>1329.7</v>
      </c>
      <c r="P106" s="1283"/>
      <c r="Q106" s="1284"/>
      <c r="R106" s="1285"/>
      <c r="S106" s="1286"/>
      <c r="T106" s="1291"/>
      <c r="U106" s="1292"/>
    </row>
    <row r="107" spans="1:21" s="1274" customFormat="1" ht="18.75" customHeight="1" x14ac:dyDescent="0.2">
      <c r="A107" s="1275"/>
      <c r="B107" s="1276"/>
      <c r="C107" s="1277"/>
      <c r="D107" s="2319" t="s">
        <v>211</v>
      </c>
      <c r="E107" s="1294" t="s">
        <v>47</v>
      </c>
      <c r="F107" s="1277"/>
      <c r="G107" s="1295"/>
      <c r="H107" s="1296"/>
      <c r="I107" s="1297"/>
      <c r="J107" s="1298"/>
      <c r="K107" s="1296"/>
      <c r="L107" s="1297"/>
      <c r="M107" s="1299"/>
      <c r="N107" s="1296"/>
      <c r="O107" s="1297"/>
      <c r="P107" s="1298"/>
      <c r="Q107" s="2465" t="s">
        <v>313</v>
      </c>
      <c r="R107" s="1300"/>
      <c r="S107" s="1301" t="s">
        <v>55</v>
      </c>
      <c r="T107" s="1302"/>
      <c r="U107" s="1303"/>
    </row>
    <row r="108" spans="1:21" s="1274" customFormat="1" ht="33" customHeight="1" x14ac:dyDescent="0.2">
      <c r="A108" s="1275"/>
      <c r="B108" s="1276"/>
      <c r="C108" s="1277"/>
      <c r="D108" s="2320"/>
      <c r="E108" s="2326" t="s">
        <v>377</v>
      </c>
      <c r="F108" s="1278"/>
      <c r="G108" s="1304"/>
      <c r="H108" s="1305"/>
      <c r="I108" s="1306"/>
      <c r="J108" s="1307"/>
      <c r="K108" s="1305"/>
      <c r="L108" s="1306"/>
      <c r="M108" s="1308"/>
      <c r="N108" s="1305"/>
      <c r="O108" s="1306"/>
      <c r="P108" s="1307"/>
      <c r="Q108" s="2466"/>
      <c r="R108" s="1309"/>
      <c r="S108" s="1310"/>
      <c r="T108" s="1311"/>
      <c r="U108" s="1312"/>
    </row>
    <row r="109" spans="1:21" s="1274" customFormat="1" ht="24.75" customHeight="1" x14ac:dyDescent="0.2">
      <c r="A109" s="1275"/>
      <c r="B109" s="1276"/>
      <c r="C109" s="1277"/>
      <c r="D109" s="2336"/>
      <c r="E109" s="2327"/>
      <c r="F109" s="1278"/>
      <c r="G109" s="1304"/>
      <c r="H109" s="1305"/>
      <c r="I109" s="1306"/>
      <c r="J109" s="1307"/>
      <c r="K109" s="1305"/>
      <c r="L109" s="1306"/>
      <c r="M109" s="1308"/>
      <c r="N109" s="1313"/>
      <c r="O109" s="1314"/>
      <c r="P109" s="1315"/>
      <c r="Q109" s="1316" t="s">
        <v>239</v>
      </c>
      <c r="R109" s="1309"/>
      <c r="S109" s="1310" t="s">
        <v>236</v>
      </c>
      <c r="T109" s="1311" t="s">
        <v>237</v>
      </c>
      <c r="U109" s="1312"/>
    </row>
    <row r="110" spans="1:21" s="1274" customFormat="1" ht="24.75" customHeight="1" x14ac:dyDescent="0.2">
      <c r="A110" s="2274"/>
      <c r="B110" s="2268"/>
      <c r="C110" s="2283"/>
      <c r="D110" s="2347" t="s">
        <v>238</v>
      </c>
      <c r="E110" s="1317" t="s">
        <v>47</v>
      </c>
      <c r="F110" s="2321"/>
      <c r="G110" s="1318"/>
      <c r="H110" s="1318"/>
      <c r="I110" s="1319"/>
      <c r="J110" s="1320"/>
      <c r="K110" s="1321"/>
      <c r="L110" s="1322"/>
      <c r="M110" s="1321"/>
      <c r="N110" s="1323"/>
      <c r="O110" s="1322"/>
      <c r="P110" s="1324"/>
      <c r="Q110" s="1980" t="s">
        <v>136</v>
      </c>
      <c r="R110" s="1358">
        <v>2</v>
      </c>
      <c r="S110" s="1302"/>
      <c r="T110" s="1302"/>
      <c r="U110" s="1312"/>
    </row>
    <row r="111" spans="1:21" s="1274" customFormat="1" ht="27" customHeight="1" x14ac:dyDescent="0.2">
      <c r="A111" s="2274"/>
      <c r="B111" s="2268"/>
      <c r="C111" s="2283"/>
      <c r="D111" s="2348"/>
      <c r="E111" s="2317" t="s">
        <v>108</v>
      </c>
      <c r="F111" s="2321"/>
      <c r="G111" s="1325"/>
      <c r="H111" s="1326"/>
      <c r="I111" s="1327"/>
      <c r="J111" s="1328"/>
      <c r="K111" s="1329"/>
      <c r="L111" s="1330"/>
      <c r="M111" s="1329"/>
      <c r="N111" s="1331"/>
      <c r="O111" s="1332"/>
      <c r="P111" s="1333"/>
      <c r="Q111" s="1981" t="s">
        <v>226</v>
      </c>
      <c r="R111" s="1983">
        <v>1</v>
      </c>
      <c r="S111" s="1311"/>
      <c r="T111" s="1311"/>
      <c r="U111" s="1312"/>
    </row>
    <row r="112" spans="1:21" s="1274" customFormat="1" ht="17.25" customHeight="1" x14ac:dyDescent="0.2">
      <c r="A112" s="2274"/>
      <c r="B112" s="2268"/>
      <c r="C112" s="2283"/>
      <c r="D112" s="2348"/>
      <c r="E112" s="2349"/>
      <c r="F112" s="2321"/>
      <c r="G112" s="1334"/>
      <c r="H112" s="1334"/>
      <c r="I112" s="1335"/>
      <c r="J112" s="1336"/>
      <c r="K112" s="1337"/>
      <c r="L112" s="1338"/>
      <c r="M112" s="1337"/>
      <c r="N112" s="1339"/>
      <c r="O112" s="1338"/>
      <c r="P112" s="1340"/>
      <c r="Q112" s="2477" t="s">
        <v>246</v>
      </c>
      <c r="R112" s="1343"/>
      <c r="S112" s="1344"/>
      <c r="T112" s="1344" t="s">
        <v>43</v>
      </c>
      <c r="U112" s="1312"/>
    </row>
    <row r="113" spans="1:21" s="1274" customFormat="1" ht="15.75" customHeight="1" x14ac:dyDescent="0.2">
      <c r="A113" s="2274"/>
      <c r="B113" s="2268"/>
      <c r="C113" s="2283"/>
      <c r="D113" s="2348"/>
      <c r="E113" s="2349"/>
      <c r="F113" s="2321"/>
      <c r="G113" s="1334"/>
      <c r="H113" s="1334"/>
      <c r="I113" s="1335"/>
      <c r="J113" s="1336"/>
      <c r="K113" s="1337"/>
      <c r="L113" s="1338"/>
      <c r="M113" s="1337"/>
      <c r="N113" s="1339"/>
      <c r="O113" s="1341"/>
      <c r="P113" s="1342"/>
      <c r="Q113" s="2478"/>
      <c r="R113" s="1343"/>
      <c r="S113" s="1344"/>
      <c r="T113" s="1344"/>
      <c r="U113" s="1312"/>
    </row>
    <row r="114" spans="1:21" s="1274" customFormat="1" ht="15.75" customHeight="1" x14ac:dyDescent="0.2">
      <c r="A114" s="2274"/>
      <c r="B114" s="2268"/>
      <c r="C114" s="2283"/>
      <c r="D114" s="2269" t="s">
        <v>197</v>
      </c>
      <c r="E114" s="1684" t="s">
        <v>47</v>
      </c>
      <c r="F114" s="2321"/>
      <c r="G114" s="1296"/>
      <c r="H114" s="1296"/>
      <c r="I114" s="1297"/>
      <c r="J114" s="1298"/>
      <c r="K114" s="1299"/>
      <c r="L114" s="1297"/>
      <c r="M114" s="1299"/>
      <c r="N114" s="1296"/>
      <c r="O114" s="1297"/>
      <c r="P114" s="1298"/>
      <c r="Q114" s="1982" t="s">
        <v>160</v>
      </c>
      <c r="R114" s="1346">
        <v>100</v>
      </c>
      <c r="S114" s="1347"/>
      <c r="T114" s="1347"/>
      <c r="U114" s="1348"/>
    </row>
    <row r="115" spans="1:21" s="1274" customFormat="1" ht="16.5" customHeight="1" x14ac:dyDescent="0.2">
      <c r="A115" s="2274"/>
      <c r="B115" s="2268"/>
      <c r="C115" s="2283"/>
      <c r="D115" s="2271"/>
      <c r="E115" s="1349"/>
      <c r="F115" s="2321"/>
      <c r="G115" s="1350"/>
      <c r="H115" s="1313"/>
      <c r="I115" s="1314"/>
      <c r="J115" s="1315"/>
      <c r="K115" s="1351"/>
      <c r="L115" s="1314"/>
      <c r="M115" s="1351"/>
      <c r="N115" s="1313"/>
      <c r="O115" s="1314"/>
      <c r="P115" s="1315"/>
      <c r="Q115" s="1352"/>
      <c r="R115" s="1353"/>
      <c r="S115" s="1354"/>
      <c r="T115" s="1354"/>
      <c r="U115" s="1355"/>
    </row>
    <row r="116" spans="1:21" s="1274" customFormat="1" ht="18.75" customHeight="1" x14ac:dyDescent="0.2">
      <c r="A116" s="1679"/>
      <c r="B116" s="1690"/>
      <c r="C116" s="1356"/>
      <c r="D116" s="2269" t="s">
        <v>378</v>
      </c>
      <c r="E116" s="1317" t="s">
        <v>47</v>
      </c>
      <c r="F116" s="1357"/>
      <c r="G116" s="1305"/>
      <c r="H116" s="1305"/>
      <c r="I116" s="1306"/>
      <c r="J116" s="1307"/>
      <c r="K116" s="1308"/>
      <c r="L116" s="1306"/>
      <c r="M116" s="1308"/>
      <c r="N116" s="1305"/>
      <c r="O116" s="1306"/>
      <c r="P116" s="1307"/>
      <c r="Q116" s="2467" t="s">
        <v>140</v>
      </c>
      <c r="R116" s="1358">
        <v>1</v>
      </c>
      <c r="S116" s="1359"/>
      <c r="T116" s="1359"/>
      <c r="U116" s="1360"/>
    </row>
    <row r="117" spans="1:21" s="1274" customFormat="1" ht="21" customHeight="1" x14ac:dyDescent="0.2">
      <c r="A117" s="1679"/>
      <c r="B117" s="1690"/>
      <c r="C117" s="1356"/>
      <c r="D117" s="2270"/>
      <c r="E117" s="2334" t="s">
        <v>108</v>
      </c>
      <c r="F117" s="1357"/>
      <c r="G117" s="1305"/>
      <c r="H117" s="1305"/>
      <c r="I117" s="1306"/>
      <c r="J117" s="1307"/>
      <c r="K117" s="1308"/>
      <c r="L117" s="1306"/>
      <c r="M117" s="1308"/>
      <c r="N117" s="1305"/>
      <c r="O117" s="1306"/>
      <c r="P117" s="1307"/>
      <c r="Q117" s="2429"/>
      <c r="R117" s="1343"/>
      <c r="S117" s="1361"/>
      <c r="T117" s="1361"/>
      <c r="U117" s="1360"/>
    </row>
    <row r="118" spans="1:21" s="1274" customFormat="1" ht="29.25" customHeight="1" x14ac:dyDescent="0.2">
      <c r="A118" s="1679"/>
      <c r="B118" s="1690"/>
      <c r="C118" s="1356"/>
      <c r="D118" s="2271"/>
      <c r="E118" s="2335"/>
      <c r="F118" s="1357"/>
      <c r="G118" s="1313"/>
      <c r="H118" s="1313"/>
      <c r="I118" s="1314"/>
      <c r="J118" s="1315"/>
      <c r="K118" s="1351"/>
      <c r="L118" s="1314"/>
      <c r="M118" s="1351"/>
      <c r="N118" s="1313"/>
      <c r="O118" s="1314"/>
      <c r="P118" s="1315"/>
      <c r="Q118" s="1362" t="s">
        <v>141</v>
      </c>
      <c r="R118" s="1363"/>
      <c r="S118" s="1363">
        <v>1</v>
      </c>
      <c r="T118" s="1363"/>
      <c r="U118" s="1355"/>
    </row>
    <row r="119" spans="1:21" s="1274" customFormat="1" ht="13.5" customHeight="1" x14ac:dyDescent="0.2">
      <c r="A119" s="1679"/>
      <c r="B119" s="1690"/>
      <c r="C119" s="1356"/>
      <c r="D119" s="2319" t="s">
        <v>202</v>
      </c>
      <c r="E119" s="1364" t="s">
        <v>47</v>
      </c>
      <c r="F119" s="1691"/>
      <c r="G119" s="1305" t="s">
        <v>388</v>
      </c>
      <c r="H119" s="1305">
        <v>21.5</v>
      </c>
      <c r="I119" s="1306">
        <v>21.5</v>
      </c>
      <c r="J119" s="1307"/>
      <c r="K119" s="1365"/>
      <c r="L119" s="1366"/>
      <c r="M119" s="1365"/>
      <c r="N119" s="1367"/>
      <c r="O119" s="1366"/>
      <c r="P119" s="1368"/>
      <c r="Q119" s="1689" t="s">
        <v>46</v>
      </c>
      <c r="R119" s="1343">
        <v>1</v>
      </c>
      <c r="S119" s="1343"/>
      <c r="T119" s="1343"/>
      <c r="U119" s="1369"/>
    </row>
    <row r="120" spans="1:21" s="1274" customFormat="1" ht="18" customHeight="1" x14ac:dyDescent="0.2">
      <c r="A120" s="1679"/>
      <c r="B120" s="1690"/>
      <c r="C120" s="1370"/>
      <c r="D120" s="2336"/>
      <c r="E120" s="1371" t="s">
        <v>229</v>
      </c>
      <c r="F120" s="1691"/>
      <c r="G120" s="1313"/>
      <c r="H120" s="1372"/>
      <c r="I120" s="1373"/>
      <c r="J120" s="1374"/>
      <c r="K120" s="1375"/>
      <c r="L120" s="1373"/>
      <c r="M120" s="1375"/>
      <c r="N120" s="1372"/>
      <c r="O120" s="1373"/>
      <c r="P120" s="1374"/>
      <c r="Q120" s="1376"/>
      <c r="R120" s="1345"/>
      <c r="S120" s="1345"/>
      <c r="T120" s="1345"/>
      <c r="U120" s="1369"/>
    </row>
    <row r="121" spans="1:21" s="1274" customFormat="1" ht="12" customHeight="1" x14ac:dyDescent="0.2">
      <c r="A121" s="2274"/>
      <c r="B121" s="2268"/>
      <c r="C121" s="2283"/>
      <c r="D121" s="2269" t="s">
        <v>146</v>
      </c>
      <c r="E121" s="1317" t="s">
        <v>47</v>
      </c>
      <c r="F121" s="2321"/>
      <c r="G121" s="1305"/>
      <c r="H121" s="1305"/>
      <c r="I121" s="1306"/>
      <c r="J121" s="1307"/>
      <c r="K121" s="1308"/>
      <c r="L121" s="1306"/>
      <c r="M121" s="1308"/>
      <c r="N121" s="1305"/>
      <c r="O121" s="1306"/>
      <c r="P121" s="1307"/>
      <c r="Q121" s="2275" t="s">
        <v>235</v>
      </c>
      <c r="R121" s="1377"/>
      <c r="S121" s="1378"/>
      <c r="T121" s="1377"/>
      <c r="U121" s="1355"/>
    </row>
    <row r="122" spans="1:21" s="1274" customFormat="1" ht="15" customHeight="1" x14ac:dyDescent="0.2">
      <c r="A122" s="2274"/>
      <c r="B122" s="2268"/>
      <c r="C122" s="2283"/>
      <c r="D122" s="2270"/>
      <c r="E122" s="2317" t="s">
        <v>108</v>
      </c>
      <c r="F122" s="2321"/>
      <c r="G122" s="1305"/>
      <c r="H122" s="1305"/>
      <c r="I122" s="1306"/>
      <c r="J122" s="1307"/>
      <c r="K122" s="1308"/>
      <c r="L122" s="1306"/>
      <c r="M122" s="1308"/>
      <c r="N122" s="1305"/>
      <c r="O122" s="1306"/>
      <c r="P122" s="1307"/>
      <c r="Q122" s="2276"/>
      <c r="R122" s="1379"/>
      <c r="S122" s="1379"/>
      <c r="T122" s="1379"/>
      <c r="U122" s="1355"/>
    </row>
    <row r="123" spans="1:21" s="1274" customFormat="1" ht="18" customHeight="1" x14ac:dyDescent="0.2">
      <c r="A123" s="2274"/>
      <c r="B123" s="2268"/>
      <c r="C123" s="2283"/>
      <c r="D123" s="2271"/>
      <c r="E123" s="2318"/>
      <c r="F123" s="2321"/>
      <c r="G123" s="1313"/>
      <c r="H123" s="1380"/>
      <c r="I123" s="1381"/>
      <c r="J123" s="1382"/>
      <c r="K123" s="1383"/>
      <c r="L123" s="1381"/>
      <c r="M123" s="1383"/>
      <c r="N123" s="1380"/>
      <c r="O123" s="1381"/>
      <c r="P123" s="1382"/>
      <c r="Q123" s="1384"/>
      <c r="R123" s="1345"/>
      <c r="S123" s="1385"/>
      <c r="T123" s="1385"/>
      <c r="U123" s="1360"/>
    </row>
    <row r="124" spans="1:21" s="1274" customFormat="1" ht="13.5" customHeight="1" x14ac:dyDescent="0.2">
      <c r="A124" s="1679"/>
      <c r="B124" s="1690"/>
      <c r="C124" s="1681"/>
      <c r="D124" s="2319" t="s">
        <v>198</v>
      </c>
      <c r="E124" s="1684" t="s">
        <v>47</v>
      </c>
      <c r="F124" s="2321"/>
      <c r="G124" s="1305"/>
      <c r="H124" s="1305"/>
      <c r="I124" s="1306"/>
      <c r="J124" s="1307"/>
      <c r="K124" s="1308"/>
      <c r="L124" s="1306"/>
      <c r="M124" s="1308"/>
      <c r="N124" s="1305"/>
      <c r="O124" s="1306"/>
      <c r="P124" s="1307"/>
      <c r="Q124" s="1674" t="s">
        <v>142</v>
      </c>
      <c r="R124" s="1386"/>
      <c r="S124" s="1387"/>
      <c r="T124" s="1358">
        <v>1</v>
      </c>
      <c r="U124" s="1369"/>
    </row>
    <row r="125" spans="1:21" s="1274" customFormat="1" ht="9.75" customHeight="1" x14ac:dyDescent="0.2">
      <c r="A125" s="1679"/>
      <c r="B125" s="1690"/>
      <c r="C125" s="1681"/>
      <c r="D125" s="2320"/>
      <c r="E125" s="1685"/>
      <c r="F125" s="2321"/>
      <c r="G125" s="1313"/>
      <c r="H125" s="1313"/>
      <c r="I125" s="1314"/>
      <c r="J125" s="1315"/>
      <c r="K125" s="1351"/>
      <c r="L125" s="1314"/>
      <c r="M125" s="1351"/>
      <c r="N125" s="1313"/>
      <c r="O125" s="1314"/>
      <c r="P125" s="1315"/>
      <c r="Q125" s="1689"/>
      <c r="R125" s="1388"/>
      <c r="S125" s="1389"/>
      <c r="T125" s="1343"/>
      <c r="U125" s="1369"/>
    </row>
    <row r="126" spans="1:21" s="1274" customFormat="1" ht="16.5" customHeight="1" thickBot="1" x14ac:dyDescent="0.25">
      <c r="A126" s="1390"/>
      <c r="B126" s="1391"/>
      <c r="C126" s="1392"/>
      <c r="D126" s="1393"/>
      <c r="E126" s="1394"/>
      <c r="F126" s="1392"/>
      <c r="G126" s="1395" t="s">
        <v>6</v>
      </c>
      <c r="H126" s="1396">
        <f>SUM(H100:H120)</f>
        <v>2780.8</v>
      </c>
      <c r="I126" s="1396">
        <f>SUM(I100:I120)</f>
        <v>2780.8</v>
      </c>
      <c r="J126" s="1397">
        <f>SUM(J100:J125)</f>
        <v>0</v>
      </c>
      <c r="K126" s="1396">
        <f t="shared" ref="K126:P126" si="3">SUM(K100:K106)</f>
        <v>1083</v>
      </c>
      <c r="L126" s="1398">
        <f t="shared" si="3"/>
        <v>1083</v>
      </c>
      <c r="M126" s="1397">
        <f t="shared" si="3"/>
        <v>0</v>
      </c>
      <c r="N126" s="1396">
        <f t="shared" si="3"/>
        <v>2034.4</v>
      </c>
      <c r="O126" s="1398">
        <f t="shared" si="3"/>
        <v>2034.7</v>
      </c>
      <c r="P126" s="1397">
        <f t="shared" si="3"/>
        <v>0</v>
      </c>
      <c r="Q126" s="1399"/>
      <c r="R126" s="1306"/>
      <c r="S126" s="1308"/>
      <c r="T126" s="1400"/>
      <c r="U126" s="1401"/>
    </row>
    <row r="127" spans="1:21" s="1274" customFormat="1" ht="14.1" customHeight="1" x14ac:dyDescent="0.2">
      <c r="A127" s="1402" t="s">
        <v>5</v>
      </c>
      <c r="B127" s="1403" t="s">
        <v>5</v>
      </c>
      <c r="C127" s="1404" t="s">
        <v>7</v>
      </c>
      <c r="D127" s="2280" t="s">
        <v>50</v>
      </c>
      <c r="E127" s="2323" t="s">
        <v>88</v>
      </c>
      <c r="F127" s="1405" t="s">
        <v>43</v>
      </c>
      <c r="G127" s="1406" t="s">
        <v>385</v>
      </c>
      <c r="H127" s="1407">
        <v>406.6</v>
      </c>
      <c r="I127" s="1408">
        <v>406.6</v>
      </c>
      <c r="J127" s="1409"/>
      <c r="K127" s="1407">
        <v>464.9</v>
      </c>
      <c r="L127" s="1408">
        <v>464.9</v>
      </c>
      <c r="M127" s="1409"/>
      <c r="N127" s="1407">
        <v>1300</v>
      </c>
      <c r="O127" s="1408">
        <v>1300</v>
      </c>
      <c r="P127" s="1409"/>
      <c r="Q127" s="1410"/>
      <c r="R127" s="1411"/>
      <c r="S127" s="1412"/>
      <c r="T127" s="1413"/>
      <c r="U127" s="2474"/>
    </row>
    <row r="128" spans="1:21" s="1274" customFormat="1" ht="14.1" customHeight="1" x14ac:dyDescent="0.2">
      <c r="A128" s="1695"/>
      <c r="B128" s="1690"/>
      <c r="C128" s="1681"/>
      <c r="D128" s="2281"/>
      <c r="E128" s="2324"/>
      <c r="F128" s="1691"/>
      <c r="G128" s="1304" t="s">
        <v>384</v>
      </c>
      <c r="H128" s="1305">
        <v>0.8</v>
      </c>
      <c r="I128" s="1306">
        <v>0.8</v>
      </c>
      <c r="J128" s="1307"/>
      <c r="K128" s="1308"/>
      <c r="L128" s="1306"/>
      <c r="M128" s="1308"/>
      <c r="N128" s="1305"/>
      <c r="O128" s="1306"/>
      <c r="P128" s="1307"/>
      <c r="Q128" s="1689"/>
      <c r="R128" s="1388"/>
      <c r="S128" s="1389"/>
      <c r="T128" s="1343"/>
      <c r="U128" s="2475"/>
    </row>
    <row r="129" spans="1:21" s="1274" customFormat="1" ht="18.75" customHeight="1" x14ac:dyDescent="0.2">
      <c r="A129" s="1695"/>
      <c r="B129" s="1690"/>
      <c r="C129" s="1681"/>
      <c r="D129" s="2322"/>
      <c r="E129" s="2325"/>
      <c r="F129" s="1414"/>
      <c r="G129" s="1415" t="s">
        <v>381</v>
      </c>
      <c r="H129" s="1305">
        <v>200</v>
      </c>
      <c r="I129" s="1306">
        <v>200</v>
      </c>
      <c r="J129" s="1416"/>
      <c r="K129" s="1305">
        <v>1296.4000000000001</v>
      </c>
      <c r="L129" s="1306">
        <v>1296.4000000000001</v>
      </c>
      <c r="M129" s="1307"/>
      <c r="N129" s="1305">
        <v>600</v>
      </c>
      <c r="O129" s="1306">
        <v>600</v>
      </c>
      <c r="P129" s="1307"/>
      <c r="Q129" s="1417"/>
      <c r="R129" s="1418"/>
      <c r="S129" s="1419"/>
      <c r="T129" s="1418"/>
      <c r="U129" s="2476"/>
    </row>
    <row r="130" spans="1:21" s="1274" customFormat="1" ht="16.5" customHeight="1" x14ac:dyDescent="0.2">
      <c r="A130" s="2274"/>
      <c r="B130" s="2268"/>
      <c r="C130" s="2283"/>
      <c r="D130" s="2269" t="s">
        <v>194</v>
      </c>
      <c r="E130" s="1685" t="s">
        <v>47</v>
      </c>
      <c r="F130" s="2355"/>
      <c r="G130" s="1305"/>
      <c r="H130" s="1296"/>
      <c r="I130" s="1297"/>
      <c r="J130" s="1298"/>
      <c r="K130" s="1299"/>
      <c r="L130" s="1297"/>
      <c r="M130" s="1299"/>
      <c r="N130" s="1296"/>
      <c r="O130" s="1297"/>
      <c r="P130" s="1298"/>
      <c r="Q130" s="2467" t="s">
        <v>149</v>
      </c>
      <c r="R130" s="1676">
        <v>1</v>
      </c>
      <c r="S130" s="1420"/>
      <c r="T130" s="1361"/>
      <c r="U130" s="2277"/>
    </row>
    <row r="131" spans="1:21" s="1274" customFormat="1" ht="23.25" customHeight="1" x14ac:dyDescent="0.2">
      <c r="A131" s="2274"/>
      <c r="B131" s="2268"/>
      <c r="C131" s="2283"/>
      <c r="D131" s="2270"/>
      <c r="E131" s="1685"/>
      <c r="F131" s="2321"/>
      <c r="G131" s="1305"/>
      <c r="H131" s="1305"/>
      <c r="I131" s="1421"/>
      <c r="J131" s="1416"/>
      <c r="K131" s="1308"/>
      <c r="L131" s="1306"/>
      <c r="M131" s="1308"/>
      <c r="N131" s="1305"/>
      <c r="O131" s="1306"/>
      <c r="P131" s="1307"/>
      <c r="Q131" s="2483"/>
      <c r="R131" s="1422"/>
      <c r="S131" s="1423"/>
      <c r="T131" s="1424"/>
      <c r="U131" s="2479"/>
    </row>
    <row r="132" spans="1:21" s="1274" customFormat="1" ht="39.75" customHeight="1" x14ac:dyDescent="0.2">
      <c r="A132" s="2274"/>
      <c r="B132" s="2268"/>
      <c r="C132" s="2283"/>
      <c r="D132" s="2270"/>
      <c r="E132" s="1685"/>
      <c r="F132" s="2321"/>
      <c r="G132" s="1305"/>
      <c r="H132" s="1305"/>
      <c r="I132" s="1306"/>
      <c r="J132" s="1307"/>
      <c r="K132" s="1308"/>
      <c r="L132" s="1306"/>
      <c r="M132" s="1308"/>
      <c r="N132" s="1305"/>
      <c r="O132" s="1306"/>
      <c r="P132" s="1307"/>
      <c r="Q132" s="1425" t="s">
        <v>175</v>
      </c>
      <c r="R132" s="1426">
        <v>100</v>
      </c>
      <c r="S132" s="1427"/>
      <c r="T132" s="1428"/>
      <c r="U132" s="2479"/>
    </row>
    <row r="133" spans="1:21" s="1274" customFormat="1" ht="28.5" customHeight="1" x14ac:dyDescent="0.2">
      <c r="A133" s="2274"/>
      <c r="B133" s="2268"/>
      <c r="C133" s="2283"/>
      <c r="D133" s="2270"/>
      <c r="E133" s="1685"/>
      <c r="F133" s="2321"/>
      <c r="G133" s="1429"/>
      <c r="H133" s="1305"/>
      <c r="I133" s="1306"/>
      <c r="J133" s="1307"/>
      <c r="K133" s="1308"/>
      <c r="L133" s="1306"/>
      <c r="M133" s="1308"/>
      <c r="N133" s="1305"/>
      <c r="O133" s="1306"/>
      <c r="P133" s="1307"/>
      <c r="Q133" s="1425" t="s">
        <v>176</v>
      </c>
      <c r="R133" s="1430" t="s">
        <v>343</v>
      </c>
      <c r="S133" s="1427">
        <v>80</v>
      </c>
      <c r="T133" s="1428">
        <v>100</v>
      </c>
      <c r="U133" s="2484"/>
    </row>
    <row r="134" spans="1:21" s="1274" customFormat="1" ht="53.25" customHeight="1" x14ac:dyDescent="0.2">
      <c r="A134" s="2274"/>
      <c r="B134" s="2268"/>
      <c r="C134" s="2283"/>
      <c r="D134" s="2271"/>
      <c r="E134" s="1686"/>
      <c r="F134" s="2321"/>
      <c r="G134" s="1305"/>
      <c r="H134" s="1305"/>
      <c r="I134" s="1306"/>
      <c r="J134" s="1307"/>
      <c r="K134" s="1308"/>
      <c r="L134" s="1306"/>
      <c r="M134" s="1308"/>
      <c r="N134" s="1305"/>
      <c r="O134" s="1306"/>
      <c r="P134" s="1307"/>
      <c r="Q134" s="1431" t="s">
        <v>177</v>
      </c>
      <c r="R134" s="1430"/>
      <c r="S134" s="1432"/>
      <c r="T134" s="1433" t="s">
        <v>43</v>
      </c>
      <c r="U134" s="2484"/>
    </row>
    <row r="135" spans="1:21" s="1274" customFormat="1" ht="18.75" customHeight="1" x14ac:dyDescent="0.2">
      <c r="A135" s="2274"/>
      <c r="B135" s="2268"/>
      <c r="C135" s="2283"/>
      <c r="D135" s="2269" t="s">
        <v>58</v>
      </c>
      <c r="E135" s="1687" t="s">
        <v>47</v>
      </c>
      <c r="F135" s="2321"/>
      <c r="G135" s="1296"/>
      <c r="H135" s="1296"/>
      <c r="I135" s="1297"/>
      <c r="J135" s="1298"/>
      <c r="K135" s="1299"/>
      <c r="L135" s="1297"/>
      <c r="M135" s="1299"/>
      <c r="N135" s="1296"/>
      <c r="O135" s="1297"/>
      <c r="P135" s="1298"/>
      <c r="Q135" s="2275" t="s">
        <v>314</v>
      </c>
      <c r="R135" s="1675">
        <v>5</v>
      </c>
      <c r="S135" s="1434">
        <v>50</v>
      </c>
      <c r="T135" s="1359">
        <v>80</v>
      </c>
      <c r="U135" s="1435"/>
    </row>
    <row r="136" spans="1:21" s="1274" customFormat="1" ht="7.5" customHeight="1" x14ac:dyDescent="0.2">
      <c r="A136" s="2274"/>
      <c r="B136" s="2268"/>
      <c r="C136" s="2283"/>
      <c r="D136" s="2270"/>
      <c r="E136" s="1681"/>
      <c r="F136" s="2321"/>
      <c r="G136" s="1305"/>
      <c r="H136" s="1305"/>
      <c r="I136" s="1306"/>
      <c r="J136" s="1307"/>
      <c r="K136" s="1308"/>
      <c r="L136" s="1306"/>
      <c r="M136" s="1308"/>
      <c r="N136" s="1305"/>
      <c r="O136" s="1306"/>
      <c r="P136" s="1307"/>
      <c r="Q136" s="2316"/>
      <c r="R136" s="1676"/>
      <c r="S136" s="1420"/>
      <c r="T136" s="1361"/>
      <c r="U136" s="1360"/>
    </row>
    <row r="137" spans="1:21" s="1274" customFormat="1" ht="9.75" customHeight="1" x14ac:dyDescent="0.2">
      <c r="A137" s="2274"/>
      <c r="B137" s="2268"/>
      <c r="C137" s="2283"/>
      <c r="D137" s="2271"/>
      <c r="E137" s="1688"/>
      <c r="F137" s="2321"/>
      <c r="G137" s="1350"/>
      <c r="H137" s="1313"/>
      <c r="I137" s="1314"/>
      <c r="J137" s="1315"/>
      <c r="K137" s="1351"/>
      <c r="L137" s="1314"/>
      <c r="M137" s="1351"/>
      <c r="N137" s="1313"/>
      <c r="O137" s="1314"/>
      <c r="P137" s="1315"/>
      <c r="Q137" s="1436"/>
      <c r="R137" s="1437"/>
      <c r="S137" s="1438"/>
      <c r="T137" s="1385"/>
      <c r="U137" s="1360"/>
    </row>
    <row r="138" spans="1:21" s="1274" customFormat="1" ht="17.25" customHeight="1" x14ac:dyDescent="0.2">
      <c r="A138" s="1679"/>
      <c r="B138" s="1690"/>
      <c r="C138" s="1357"/>
      <c r="D138" s="2269" t="s">
        <v>199</v>
      </c>
      <c r="E138" s="2328" t="s">
        <v>47</v>
      </c>
      <c r="F138" s="2353"/>
      <c r="G138" s="1296"/>
      <c r="H138" s="1439"/>
      <c r="I138" s="1440"/>
      <c r="J138" s="1441"/>
      <c r="K138" s="1442"/>
      <c r="L138" s="1440"/>
      <c r="M138" s="1442"/>
      <c r="N138" s="1439"/>
      <c r="O138" s="1440"/>
      <c r="P138" s="1441"/>
      <c r="Q138" s="1700" t="s">
        <v>92</v>
      </c>
      <c r="R138" s="1443">
        <v>1</v>
      </c>
      <c r="S138" s="1387"/>
      <c r="T138" s="1358"/>
      <c r="U138" s="1369"/>
    </row>
    <row r="139" spans="1:21" s="1274" customFormat="1" ht="21.75" customHeight="1" x14ac:dyDescent="0.2">
      <c r="A139" s="1679"/>
      <c r="B139" s="1690"/>
      <c r="C139" s="1357"/>
      <c r="D139" s="2271"/>
      <c r="E139" s="2423"/>
      <c r="F139" s="2353"/>
      <c r="G139" s="1313"/>
      <c r="H139" s="1444"/>
      <c r="I139" s="1445"/>
      <c r="J139" s="1446"/>
      <c r="K139" s="1447"/>
      <c r="L139" s="1445"/>
      <c r="M139" s="1447"/>
      <c r="N139" s="1444"/>
      <c r="O139" s="1445"/>
      <c r="P139" s="1446"/>
      <c r="Q139" s="1448"/>
      <c r="R139" s="1449"/>
      <c r="S139" s="1419"/>
      <c r="T139" s="1345"/>
      <c r="U139" s="1369"/>
    </row>
    <row r="140" spans="1:21" s="1274" customFormat="1" ht="16.5" customHeight="1" x14ac:dyDescent="0.2">
      <c r="A140" s="1679"/>
      <c r="B140" s="1690"/>
      <c r="C140" s="1357"/>
      <c r="D140" s="2269" t="s">
        <v>213</v>
      </c>
      <c r="E140" s="2328" t="s">
        <v>47</v>
      </c>
      <c r="F140" s="2353"/>
      <c r="G140" s="1305" t="s">
        <v>390</v>
      </c>
      <c r="H140" s="1450"/>
      <c r="I140" s="1451"/>
      <c r="J140" s="1452"/>
      <c r="K140" s="1453">
        <v>95</v>
      </c>
      <c r="L140" s="1451">
        <v>95</v>
      </c>
      <c r="M140" s="1453"/>
      <c r="N140" s="1450"/>
      <c r="O140" s="1451"/>
      <c r="P140" s="1452"/>
      <c r="Q140" s="1700" t="s">
        <v>92</v>
      </c>
      <c r="R140" s="1443"/>
      <c r="S140" s="1387">
        <v>1</v>
      </c>
      <c r="T140" s="1358"/>
      <c r="U140" s="1369"/>
    </row>
    <row r="141" spans="1:21" s="1274" customFormat="1" ht="17.25" customHeight="1" x14ac:dyDescent="0.2">
      <c r="A141" s="1679"/>
      <c r="B141" s="1690"/>
      <c r="C141" s="1357"/>
      <c r="D141" s="2270"/>
      <c r="E141" s="2341"/>
      <c r="F141" s="2353"/>
      <c r="G141" s="1454"/>
      <c r="H141" s="1313"/>
      <c r="I141" s="1314"/>
      <c r="J141" s="1315"/>
      <c r="K141" s="1351"/>
      <c r="L141" s="1314"/>
      <c r="M141" s="1351"/>
      <c r="N141" s="1313"/>
      <c r="O141" s="1314"/>
      <c r="P141" s="1315"/>
      <c r="Q141" s="1678"/>
      <c r="R141" s="1455"/>
      <c r="S141" s="1389"/>
      <c r="T141" s="1343"/>
      <c r="U141" s="1369"/>
    </row>
    <row r="142" spans="1:21" s="1274" customFormat="1" ht="16.5" customHeight="1" thickBot="1" x14ac:dyDescent="0.25">
      <c r="A142" s="1390"/>
      <c r="B142" s="1391"/>
      <c r="C142" s="1392"/>
      <c r="D142" s="1393"/>
      <c r="E142" s="1394"/>
      <c r="F142" s="1392"/>
      <c r="G142" s="1395" t="s">
        <v>6</v>
      </c>
      <c r="H142" s="1396">
        <f>SUM(H127:H141)</f>
        <v>607.4</v>
      </c>
      <c r="I142" s="1398">
        <f>SUM(I127:I141)</f>
        <v>607.4</v>
      </c>
      <c r="J142" s="1397">
        <f>SUM(J127:J141)</f>
        <v>0</v>
      </c>
      <c r="K142" s="1396">
        <f t="shared" ref="K142:P142" si="4">SUM(K127:K141)</f>
        <v>1856.3</v>
      </c>
      <c r="L142" s="1398">
        <f t="shared" si="4"/>
        <v>1856.3</v>
      </c>
      <c r="M142" s="1397">
        <f t="shared" si="4"/>
        <v>0</v>
      </c>
      <c r="N142" s="1396">
        <f t="shared" si="4"/>
        <v>1900</v>
      </c>
      <c r="O142" s="1398">
        <f t="shared" si="4"/>
        <v>1900</v>
      </c>
      <c r="P142" s="1397">
        <f t="shared" si="4"/>
        <v>0</v>
      </c>
      <c r="Q142" s="1456"/>
      <c r="R142" s="1457"/>
      <c r="S142" s="1458"/>
      <c r="T142" s="1459"/>
      <c r="U142" s="1460"/>
    </row>
    <row r="143" spans="1:21" s="1274" customFormat="1" ht="14.1" customHeight="1" x14ac:dyDescent="0.2">
      <c r="A143" s="1679" t="s">
        <v>5</v>
      </c>
      <c r="B143" s="1680" t="s">
        <v>5</v>
      </c>
      <c r="C143" s="1681" t="s">
        <v>28</v>
      </c>
      <c r="D143" s="2462" t="s">
        <v>95</v>
      </c>
      <c r="E143" s="2339" t="s">
        <v>90</v>
      </c>
      <c r="F143" s="1405" t="s">
        <v>43</v>
      </c>
      <c r="G143" s="1407" t="s">
        <v>385</v>
      </c>
      <c r="H143" s="1407">
        <f>875.5+10</f>
        <v>885.5</v>
      </c>
      <c r="I143" s="1408">
        <f>875.5+10</f>
        <v>885.5</v>
      </c>
      <c r="J143" s="1461"/>
      <c r="K143" s="1407">
        <v>374</v>
      </c>
      <c r="L143" s="1408">
        <v>374</v>
      </c>
      <c r="M143" s="1409"/>
      <c r="N143" s="1407">
        <v>100</v>
      </c>
      <c r="O143" s="1408">
        <v>100</v>
      </c>
      <c r="P143" s="1409"/>
      <c r="Q143" s="1689"/>
      <c r="R143" s="1361"/>
      <c r="S143" s="1361"/>
      <c r="T143" s="1361"/>
      <c r="U143" s="1360"/>
    </row>
    <row r="144" spans="1:21" s="1274" customFormat="1" ht="14.1" customHeight="1" x14ac:dyDescent="0.2">
      <c r="A144" s="1679"/>
      <c r="B144" s="1680"/>
      <c r="C144" s="1681"/>
      <c r="D144" s="2348"/>
      <c r="E144" s="2340"/>
      <c r="F144" s="1691"/>
      <c r="G144" s="1305" t="s">
        <v>384</v>
      </c>
      <c r="H144" s="1305">
        <v>298.7</v>
      </c>
      <c r="I144" s="1306">
        <v>298.7</v>
      </c>
      <c r="J144" s="1307"/>
      <c r="K144" s="1305"/>
      <c r="L144" s="1306"/>
      <c r="M144" s="1307"/>
      <c r="N144" s="1305"/>
      <c r="O144" s="1306"/>
      <c r="P144" s="1307"/>
      <c r="Q144" s="1689"/>
      <c r="R144" s="1361"/>
      <c r="S144" s="1361"/>
      <c r="T144" s="1361"/>
      <c r="U144" s="1360"/>
    </row>
    <row r="145" spans="1:21" s="1274" customFormat="1" ht="14.1" customHeight="1" x14ac:dyDescent="0.2">
      <c r="A145" s="1679"/>
      <c r="B145" s="1680"/>
      <c r="C145" s="1681"/>
      <c r="D145" s="2348"/>
      <c r="E145" s="2340"/>
      <c r="F145" s="1691"/>
      <c r="G145" s="1305" t="s">
        <v>381</v>
      </c>
      <c r="H145" s="1305">
        <f>755.4-236.1</f>
        <v>519.29999999999995</v>
      </c>
      <c r="I145" s="1306">
        <f>755.4-236.1</f>
        <v>519.29999999999995</v>
      </c>
      <c r="J145" s="1416"/>
      <c r="K145" s="1305">
        <f>711.8+236.1</f>
        <v>947.9</v>
      </c>
      <c r="L145" s="1306">
        <f>711.8+236.1</f>
        <v>947.9</v>
      </c>
      <c r="M145" s="1416"/>
      <c r="N145" s="1305">
        <v>400</v>
      </c>
      <c r="O145" s="1306">
        <v>400</v>
      </c>
      <c r="P145" s="1307"/>
      <c r="Q145" s="1689"/>
      <c r="R145" s="1361"/>
      <c r="S145" s="1361"/>
      <c r="T145" s="1361"/>
      <c r="U145" s="1360"/>
    </row>
    <row r="146" spans="1:21" s="1274" customFormat="1" ht="14.1" customHeight="1" x14ac:dyDescent="0.2">
      <c r="A146" s="1679"/>
      <c r="B146" s="1680"/>
      <c r="C146" s="1681"/>
      <c r="D146" s="1462"/>
      <c r="E146" s="2340"/>
      <c r="F146" s="1691"/>
      <c r="G146" s="1305" t="s">
        <v>389</v>
      </c>
      <c r="H146" s="1305">
        <v>1482.2</v>
      </c>
      <c r="I146" s="1306">
        <v>1482.2</v>
      </c>
      <c r="J146" s="1307"/>
      <c r="K146" s="1305">
        <v>122.8</v>
      </c>
      <c r="L146" s="1306">
        <v>122.8</v>
      </c>
      <c r="M146" s="1307"/>
      <c r="N146" s="1305"/>
      <c r="O146" s="1306"/>
      <c r="P146" s="1307"/>
      <c r="Q146" s="1689"/>
      <c r="R146" s="1361"/>
      <c r="S146" s="1361"/>
      <c r="T146" s="1361"/>
      <c r="U146" s="1360"/>
    </row>
    <row r="147" spans="1:21" s="1274" customFormat="1" ht="14.1" customHeight="1" x14ac:dyDescent="0.2">
      <c r="A147" s="1679"/>
      <c r="B147" s="1680"/>
      <c r="C147" s="1681"/>
      <c r="D147" s="1462"/>
      <c r="E147" s="2318"/>
      <c r="F147" s="1691"/>
      <c r="G147" s="1313" t="s">
        <v>387</v>
      </c>
      <c r="H147" s="1313">
        <v>200</v>
      </c>
      <c r="I147" s="1314">
        <v>200</v>
      </c>
      <c r="J147" s="1315"/>
      <c r="K147" s="1351"/>
      <c r="L147" s="1314"/>
      <c r="M147" s="1315"/>
      <c r="N147" s="1305"/>
      <c r="O147" s="1306"/>
      <c r="P147" s="1307"/>
      <c r="Q147" s="1689"/>
      <c r="R147" s="1361"/>
      <c r="S147" s="1361"/>
      <c r="T147" s="1361"/>
      <c r="U147" s="1360"/>
    </row>
    <row r="148" spans="1:21" s="1274" customFormat="1" ht="14.1" customHeight="1" x14ac:dyDescent="0.2">
      <c r="A148" s="2274"/>
      <c r="B148" s="2268"/>
      <c r="C148" s="2283"/>
      <c r="D148" s="2269" t="s">
        <v>278</v>
      </c>
      <c r="E148" s="2343" t="s">
        <v>47</v>
      </c>
      <c r="F148" s="2355"/>
      <c r="G148" s="1305" t="s">
        <v>388</v>
      </c>
      <c r="H148" s="1305">
        <v>104.9</v>
      </c>
      <c r="I148" s="1306">
        <v>104.9</v>
      </c>
      <c r="J148" s="1307"/>
      <c r="K148" s="1308"/>
      <c r="L148" s="1306"/>
      <c r="M148" s="1308"/>
      <c r="N148" s="1296"/>
      <c r="O148" s="1297"/>
      <c r="P148" s="1298"/>
      <c r="Q148" s="2275"/>
      <c r="R148" s="1358"/>
      <c r="S148" s="1358"/>
      <c r="T148" s="1358"/>
      <c r="U148" s="2277"/>
    </row>
    <row r="149" spans="1:21" s="1274" customFormat="1" ht="27" customHeight="1" x14ac:dyDescent="0.2">
      <c r="A149" s="2274"/>
      <c r="B149" s="2268"/>
      <c r="C149" s="2283"/>
      <c r="D149" s="2342"/>
      <c r="E149" s="2344"/>
      <c r="F149" s="2321"/>
      <c r="G149" s="1305"/>
      <c r="H149" s="1450"/>
      <c r="I149" s="1451"/>
      <c r="J149" s="1452"/>
      <c r="K149" s="1453"/>
      <c r="L149" s="1451"/>
      <c r="M149" s="1453"/>
      <c r="N149" s="1450"/>
      <c r="O149" s="1451"/>
      <c r="P149" s="1452"/>
      <c r="Q149" s="2429"/>
      <c r="R149" s="1343"/>
      <c r="S149" s="1343"/>
      <c r="T149" s="1343"/>
      <c r="U149" s="2479"/>
    </row>
    <row r="150" spans="1:21" s="1274" customFormat="1" ht="25.5" customHeight="1" x14ac:dyDescent="0.2">
      <c r="A150" s="2274"/>
      <c r="B150" s="2268"/>
      <c r="C150" s="2283"/>
      <c r="D150" s="1463" t="s">
        <v>379</v>
      </c>
      <c r="E150" s="2344"/>
      <c r="F150" s="2321"/>
      <c r="G150" s="1464"/>
      <c r="H150" s="1464"/>
      <c r="I150" s="1465"/>
      <c r="J150" s="1466"/>
      <c r="K150" s="1467"/>
      <c r="L150" s="1465"/>
      <c r="M150" s="1468"/>
      <c r="N150" s="1464"/>
      <c r="O150" s="1469"/>
      <c r="P150" s="1470"/>
      <c r="Q150" s="1471" t="s">
        <v>178</v>
      </c>
      <c r="R150" s="1472">
        <v>100</v>
      </c>
      <c r="S150" s="1472"/>
      <c r="T150" s="1472"/>
      <c r="U150" s="2479"/>
    </row>
    <row r="151" spans="1:21" s="1274" customFormat="1" ht="42.75" customHeight="1" x14ac:dyDescent="0.2">
      <c r="A151" s="2274"/>
      <c r="B151" s="2268"/>
      <c r="C151" s="2283"/>
      <c r="D151" s="1673" t="s">
        <v>380</v>
      </c>
      <c r="E151" s="2345"/>
      <c r="F151" s="2428"/>
      <c r="G151" s="1313"/>
      <c r="H151" s="1313"/>
      <c r="I151" s="1314"/>
      <c r="J151" s="1315"/>
      <c r="K151" s="1351"/>
      <c r="L151" s="1314"/>
      <c r="M151" s="1351"/>
      <c r="N151" s="1313"/>
      <c r="O151" s="1314"/>
      <c r="P151" s="1315"/>
      <c r="Q151" s="1473" t="s">
        <v>179</v>
      </c>
      <c r="R151" s="1345">
        <v>80</v>
      </c>
      <c r="S151" s="1345">
        <v>100</v>
      </c>
      <c r="T151" s="1345"/>
      <c r="U151" s="2282"/>
    </row>
    <row r="152" spans="1:21" s="1274" customFormat="1" ht="15" customHeight="1" x14ac:dyDescent="0.2">
      <c r="A152" s="1679"/>
      <c r="B152" s="1680"/>
      <c r="C152" s="1691"/>
      <c r="D152" s="2269" t="s">
        <v>279</v>
      </c>
      <c r="E152" s="1474" t="s">
        <v>47</v>
      </c>
      <c r="F152" s="2352"/>
      <c r="G152" s="1439" t="s">
        <v>388</v>
      </c>
      <c r="H152" s="1296"/>
      <c r="I152" s="1297"/>
      <c r="J152" s="1298"/>
      <c r="K152" s="1299">
        <v>40</v>
      </c>
      <c r="L152" s="1297">
        <v>40</v>
      </c>
      <c r="M152" s="1298"/>
      <c r="N152" s="1296"/>
      <c r="O152" s="1297"/>
      <c r="P152" s="1298"/>
      <c r="Q152" s="1674" t="s">
        <v>46</v>
      </c>
      <c r="R152" s="1443">
        <v>1</v>
      </c>
      <c r="S152" s="1475"/>
      <c r="T152" s="1476"/>
      <c r="U152" s="1477"/>
    </row>
    <row r="153" spans="1:21" s="1274" customFormat="1" ht="15" customHeight="1" x14ac:dyDescent="0.2">
      <c r="A153" s="1679"/>
      <c r="B153" s="1680"/>
      <c r="C153" s="1691"/>
      <c r="D153" s="2270"/>
      <c r="E153" s="1478"/>
      <c r="F153" s="2353"/>
      <c r="G153" s="1305"/>
      <c r="H153" s="1305"/>
      <c r="I153" s="1306"/>
      <c r="J153" s="1307"/>
      <c r="K153" s="1308"/>
      <c r="L153" s="1306"/>
      <c r="M153" s="1308"/>
      <c r="N153" s="1305"/>
      <c r="O153" s="1306"/>
      <c r="P153" s="1307"/>
      <c r="Q153" s="1689" t="s">
        <v>143</v>
      </c>
      <c r="R153" s="1455"/>
      <c r="S153" s="1479">
        <v>30</v>
      </c>
      <c r="T153" s="1480">
        <v>60</v>
      </c>
      <c r="U153" s="1477"/>
    </row>
    <row r="154" spans="1:21" s="1274" customFormat="1" ht="10.5" customHeight="1" x14ac:dyDescent="0.2">
      <c r="A154" s="1679"/>
      <c r="B154" s="1680"/>
      <c r="C154" s="1691"/>
      <c r="D154" s="2346"/>
      <c r="E154" s="1683"/>
      <c r="F154" s="2354"/>
      <c r="G154" s="1350"/>
      <c r="H154" s="1313"/>
      <c r="I154" s="1314"/>
      <c r="J154" s="1315"/>
      <c r="K154" s="1351"/>
      <c r="L154" s="1314"/>
      <c r="M154" s="1351"/>
      <c r="N154" s="1313"/>
      <c r="O154" s="1314"/>
      <c r="P154" s="1315"/>
      <c r="Q154" s="1417"/>
      <c r="R154" s="1449"/>
      <c r="S154" s="1481"/>
      <c r="T154" s="1482"/>
      <c r="U154" s="1483"/>
    </row>
    <row r="155" spans="1:21" s="1274" customFormat="1" ht="15" customHeight="1" x14ac:dyDescent="0.2">
      <c r="A155" s="1679"/>
      <c r="B155" s="1680"/>
      <c r="C155" s="1691"/>
      <c r="D155" s="2269" t="s">
        <v>274</v>
      </c>
      <c r="E155" s="2328" t="s">
        <v>47</v>
      </c>
      <c r="F155" s="2352"/>
      <c r="G155" s="1450"/>
      <c r="H155" s="1305"/>
      <c r="I155" s="1421"/>
      <c r="J155" s="1416"/>
      <c r="K155" s="1308"/>
      <c r="L155" s="1306"/>
      <c r="M155" s="1308"/>
      <c r="N155" s="1305"/>
      <c r="O155" s="1306"/>
      <c r="P155" s="1307"/>
      <c r="Q155" s="2275" t="s">
        <v>46</v>
      </c>
      <c r="R155" s="1386">
        <v>1</v>
      </c>
      <c r="S155" s="1387"/>
      <c r="T155" s="1358"/>
      <c r="U155" s="2277"/>
    </row>
    <row r="156" spans="1:21" s="1274" customFormat="1" ht="18" customHeight="1" x14ac:dyDescent="0.2">
      <c r="A156" s="1679"/>
      <c r="B156" s="1680"/>
      <c r="C156" s="1691"/>
      <c r="D156" s="2270"/>
      <c r="E156" s="2341"/>
      <c r="F156" s="2353"/>
      <c r="G156" s="1350"/>
      <c r="H156" s="1313"/>
      <c r="I156" s="1314"/>
      <c r="J156" s="1315"/>
      <c r="K156" s="1351"/>
      <c r="L156" s="1314"/>
      <c r="M156" s="1351"/>
      <c r="N156" s="1313"/>
      <c r="O156" s="1314"/>
      <c r="P156" s="1315"/>
      <c r="Q156" s="2276"/>
      <c r="R156" s="1388"/>
      <c r="S156" s="1389"/>
      <c r="T156" s="1343"/>
      <c r="U156" s="2278"/>
    </row>
    <row r="157" spans="1:21" s="1274" customFormat="1" ht="20.25" customHeight="1" thickBot="1" x14ac:dyDescent="0.25">
      <c r="A157" s="1390"/>
      <c r="B157" s="1391"/>
      <c r="C157" s="1392"/>
      <c r="D157" s="1393"/>
      <c r="E157" s="1394"/>
      <c r="F157" s="1392"/>
      <c r="G157" s="1395" t="s">
        <v>6</v>
      </c>
      <c r="H157" s="1396">
        <f>SUM(H143:H156)</f>
        <v>3490.6</v>
      </c>
      <c r="I157" s="1398">
        <f>SUM(I143:I156)</f>
        <v>3490.6</v>
      </c>
      <c r="J157" s="1484"/>
      <c r="K157" s="1396">
        <f t="shared" ref="K157:L157" si="5">SUM(K143:K156)</f>
        <v>1484.7</v>
      </c>
      <c r="L157" s="1398">
        <f t="shared" si="5"/>
        <v>1484.7</v>
      </c>
      <c r="M157" s="1484"/>
      <c r="N157" s="1396">
        <f t="shared" ref="N157:O157" si="6">SUM(N143:N156)</f>
        <v>500</v>
      </c>
      <c r="O157" s="1398">
        <f t="shared" si="6"/>
        <v>500</v>
      </c>
      <c r="P157" s="1397"/>
      <c r="Q157" s="1485"/>
      <c r="R157" s="1457"/>
      <c r="S157" s="1458"/>
      <c r="T157" s="1459"/>
      <c r="U157" s="2279"/>
    </row>
    <row r="158" spans="1:21" s="1274" customFormat="1" ht="14.1" customHeight="1" x14ac:dyDescent="0.2">
      <c r="A158" s="1402" t="s">
        <v>5</v>
      </c>
      <c r="B158" s="1486" t="s">
        <v>5</v>
      </c>
      <c r="C158" s="1404" t="s">
        <v>33</v>
      </c>
      <c r="D158" s="2280" t="s">
        <v>51</v>
      </c>
      <c r="E158" s="2427" t="s">
        <v>87</v>
      </c>
      <c r="F158" s="1487" t="s">
        <v>43</v>
      </c>
      <c r="G158" s="1304" t="s">
        <v>387</v>
      </c>
      <c r="H158" s="1305">
        <v>1300</v>
      </c>
      <c r="I158" s="1306">
        <v>1300</v>
      </c>
      <c r="J158" s="1307"/>
      <c r="K158" s="1308"/>
      <c r="L158" s="1306"/>
      <c r="M158" s="1308"/>
      <c r="N158" s="1305"/>
      <c r="O158" s="1306"/>
      <c r="P158" s="1298"/>
      <c r="Q158" s="1488"/>
      <c r="R158" s="1489"/>
      <c r="S158" s="1490"/>
      <c r="T158" s="1491"/>
      <c r="U158" s="1492"/>
    </row>
    <row r="159" spans="1:21" s="1274" customFormat="1" ht="14.1" customHeight="1" x14ac:dyDescent="0.2">
      <c r="A159" s="1679"/>
      <c r="B159" s="1680"/>
      <c r="C159" s="1681"/>
      <c r="D159" s="2281"/>
      <c r="E159" s="2421"/>
      <c r="F159" s="1682"/>
      <c r="G159" s="1279" t="s">
        <v>385</v>
      </c>
      <c r="H159" s="1305">
        <v>10</v>
      </c>
      <c r="I159" s="1306">
        <v>10</v>
      </c>
      <c r="J159" s="1307"/>
      <c r="K159" s="1308">
        <v>24.6</v>
      </c>
      <c r="L159" s="1306">
        <v>24.6</v>
      </c>
      <c r="M159" s="1308"/>
      <c r="N159" s="1305">
        <v>22.5</v>
      </c>
      <c r="O159" s="1306">
        <v>22.5</v>
      </c>
      <c r="P159" s="1307"/>
      <c r="Q159" s="1677"/>
      <c r="R159" s="1388"/>
      <c r="S159" s="1389"/>
      <c r="T159" s="1343"/>
      <c r="U159" s="1369"/>
    </row>
    <row r="160" spans="1:21" s="1274" customFormat="1" ht="11.25" customHeight="1" x14ac:dyDescent="0.2">
      <c r="A160" s="1679"/>
      <c r="B160" s="1680"/>
      <c r="C160" s="1681"/>
      <c r="D160" s="1493"/>
      <c r="E160" s="2421"/>
      <c r="F160" s="1682"/>
      <c r="G160" s="1305" t="s">
        <v>386</v>
      </c>
      <c r="H160" s="1305"/>
      <c r="I160" s="1306"/>
      <c r="J160" s="1307"/>
      <c r="K160" s="1308">
        <v>425</v>
      </c>
      <c r="L160" s="1306">
        <v>425</v>
      </c>
      <c r="M160" s="1308"/>
      <c r="N160" s="1305">
        <v>425</v>
      </c>
      <c r="O160" s="1306">
        <v>425</v>
      </c>
      <c r="P160" s="1307"/>
      <c r="Q160" s="1677"/>
      <c r="R160" s="1388"/>
      <c r="S160" s="1389"/>
      <c r="T160" s="1343"/>
      <c r="U160" s="1369"/>
    </row>
    <row r="161" spans="1:21" s="1274" customFormat="1" ht="11.25" customHeight="1" x14ac:dyDescent="0.2">
      <c r="A161" s="1679"/>
      <c r="B161" s="1680"/>
      <c r="C161" s="1681"/>
      <c r="D161" s="1493"/>
      <c r="E161" s="2422"/>
      <c r="F161" s="1682"/>
      <c r="G161" s="1305"/>
      <c r="H161" s="1305"/>
      <c r="I161" s="1306"/>
      <c r="J161" s="1307"/>
      <c r="K161" s="1308"/>
      <c r="L161" s="1306"/>
      <c r="M161" s="1308"/>
      <c r="N161" s="1305"/>
      <c r="O161" s="1306"/>
      <c r="P161" s="1307"/>
      <c r="Q161" s="1677"/>
      <c r="R161" s="1388"/>
      <c r="S161" s="1389"/>
      <c r="T161" s="1343"/>
      <c r="U161" s="1369"/>
    </row>
    <row r="162" spans="1:21" s="1274" customFormat="1" ht="13.5" customHeight="1" x14ac:dyDescent="0.2">
      <c r="A162" s="1679"/>
      <c r="B162" s="1680"/>
      <c r="C162" s="1681"/>
      <c r="D162" s="2269" t="s">
        <v>59</v>
      </c>
      <c r="E162" s="2328" t="s">
        <v>47</v>
      </c>
      <c r="F162" s="2424"/>
      <c r="G162" s="1295"/>
      <c r="H162" s="1296"/>
      <c r="I162" s="1494"/>
      <c r="J162" s="1495"/>
      <c r="K162" s="1299"/>
      <c r="L162" s="1297"/>
      <c r="M162" s="1299"/>
      <c r="N162" s="1296"/>
      <c r="O162" s="1297"/>
      <c r="P162" s="1298"/>
      <c r="Q162" s="2425" t="s">
        <v>214</v>
      </c>
      <c r="R162" s="1386">
        <v>100</v>
      </c>
      <c r="S162" s="1387"/>
      <c r="T162" s="1358"/>
      <c r="U162" s="2277"/>
    </row>
    <row r="163" spans="1:21" s="1274" customFormat="1" ht="14.25" customHeight="1" x14ac:dyDescent="0.2">
      <c r="A163" s="1679"/>
      <c r="B163" s="1680"/>
      <c r="C163" s="1681"/>
      <c r="D163" s="2271"/>
      <c r="E163" s="2423"/>
      <c r="F163" s="2424"/>
      <c r="G163" s="1415"/>
      <c r="H163" s="1313"/>
      <c r="I163" s="1314"/>
      <c r="J163" s="1315"/>
      <c r="K163" s="1351"/>
      <c r="L163" s="1314"/>
      <c r="M163" s="1351"/>
      <c r="N163" s="1313"/>
      <c r="O163" s="1314"/>
      <c r="P163" s="1315"/>
      <c r="Q163" s="2426"/>
      <c r="R163" s="1388"/>
      <c r="S163" s="1389"/>
      <c r="T163" s="1343"/>
      <c r="U163" s="2282"/>
    </row>
    <row r="164" spans="1:21" s="1274" customFormat="1" ht="14.25" customHeight="1" x14ac:dyDescent="0.2">
      <c r="A164" s="2274"/>
      <c r="B164" s="2268"/>
      <c r="C164" s="2283"/>
      <c r="D164" s="2269" t="s">
        <v>240</v>
      </c>
      <c r="E164" s="2312" t="s">
        <v>47</v>
      </c>
      <c r="F164" s="2314"/>
      <c r="G164" s="1279"/>
      <c r="H164" s="1305"/>
      <c r="I164" s="1306"/>
      <c r="J164" s="1307"/>
      <c r="K164" s="1308"/>
      <c r="L164" s="1306"/>
      <c r="M164" s="1308"/>
      <c r="N164" s="1305"/>
      <c r="O164" s="1306"/>
      <c r="P164" s="1307"/>
      <c r="Q164" s="1674" t="s">
        <v>46</v>
      </c>
      <c r="R164" s="1386">
        <v>1</v>
      </c>
      <c r="S164" s="1387"/>
      <c r="T164" s="1358"/>
      <c r="U164" s="1369"/>
    </row>
    <row r="165" spans="1:21" s="1274" customFormat="1" ht="21" customHeight="1" x14ac:dyDescent="0.2">
      <c r="A165" s="2274"/>
      <c r="B165" s="2268"/>
      <c r="C165" s="2283"/>
      <c r="D165" s="2270"/>
      <c r="E165" s="2313"/>
      <c r="F165" s="2314"/>
      <c r="G165" s="1305"/>
      <c r="H165" s="1305"/>
      <c r="I165" s="1306"/>
      <c r="J165" s="1307"/>
      <c r="K165" s="1308"/>
      <c r="L165" s="1306"/>
      <c r="M165" s="1308"/>
      <c r="N165" s="1305"/>
      <c r="O165" s="1306"/>
      <c r="P165" s="1307"/>
      <c r="Q165" s="2315" t="s">
        <v>135</v>
      </c>
      <c r="R165" s="1388"/>
      <c r="S165" s="1389">
        <v>50</v>
      </c>
      <c r="T165" s="1343">
        <v>100</v>
      </c>
      <c r="U165" s="1369"/>
    </row>
    <row r="166" spans="1:21" s="1274" customFormat="1" ht="18.75" customHeight="1" x14ac:dyDescent="0.2">
      <c r="A166" s="2274"/>
      <c r="B166" s="2268"/>
      <c r="C166" s="2283"/>
      <c r="D166" s="2270"/>
      <c r="E166" s="2313"/>
      <c r="F166" s="2314"/>
      <c r="G166" s="1350"/>
      <c r="H166" s="1313"/>
      <c r="I166" s="1314"/>
      <c r="J166" s="1315"/>
      <c r="K166" s="1351"/>
      <c r="L166" s="1314"/>
      <c r="M166" s="1351"/>
      <c r="N166" s="1313"/>
      <c r="O166" s="1314"/>
      <c r="P166" s="1315"/>
      <c r="Q166" s="2316"/>
      <c r="R166" s="1388"/>
      <c r="S166" s="1389"/>
      <c r="T166" s="1343"/>
      <c r="U166" s="1369"/>
    </row>
    <row r="167" spans="1:21" s="1274" customFormat="1" ht="16.5" customHeight="1" thickBot="1" x14ac:dyDescent="0.25">
      <c r="A167" s="1390"/>
      <c r="B167" s="1391"/>
      <c r="C167" s="1392"/>
      <c r="D167" s="1393"/>
      <c r="E167" s="1394"/>
      <c r="F167" s="1392"/>
      <c r="G167" s="1395" t="s">
        <v>6</v>
      </c>
      <c r="H167" s="1396">
        <f>SUM(H158:H166)</f>
        <v>1310</v>
      </c>
      <c r="I167" s="1398">
        <f>SUM(I158:I166)</f>
        <v>1310</v>
      </c>
      <c r="J167" s="1484"/>
      <c r="K167" s="1396">
        <f t="shared" ref="K167:P167" si="7">SUM(K158:K166)</f>
        <v>449.6</v>
      </c>
      <c r="L167" s="1398">
        <f t="shared" si="7"/>
        <v>449.6</v>
      </c>
      <c r="M167" s="1397">
        <f t="shared" si="7"/>
        <v>0</v>
      </c>
      <c r="N167" s="1396">
        <f t="shared" si="7"/>
        <v>447.5</v>
      </c>
      <c r="O167" s="1398">
        <f t="shared" si="7"/>
        <v>447.5</v>
      </c>
      <c r="P167" s="1397">
        <f t="shared" si="7"/>
        <v>0</v>
      </c>
      <c r="Q167" s="1456"/>
      <c r="R167" s="1457"/>
      <c r="S167" s="1458"/>
      <c r="T167" s="1459"/>
      <c r="U167" s="1460"/>
    </row>
    <row r="168" spans="1:21" s="1274" customFormat="1" ht="14.1" customHeight="1" x14ac:dyDescent="0.2">
      <c r="A168" s="1402" t="s">
        <v>5</v>
      </c>
      <c r="B168" s="1486" t="s">
        <v>5</v>
      </c>
      <c r="C168" s="1404" t="s">
        <v>34</v>
      </c>
      <c r="D168" s="2280" t="s">
        <v>94</v>
      </c>
      <c r="E168" s="2420" t="s">
        <v>85</v>
      </c>
      <c r="F168" s="1405" t="s">
        <v>43</v>
      </c>
      <c r="G168" s="1496" t="s">
        <v>385</v>
      </c>
      <c r="H168" s="1407">
        <f>515.8-10</f>
        <v>505.8</v>
      </c>
      <c r="I168" s="1408">
        <f>515.8-10</f>
        <v>505.8</v>
      </c>
      <c r="J168" s="1409"/>
      <c r="K168" s="1407">
        <v>82</v>
      </c>
      <c r="L168" s="1408">
        <v>82</v>
      </c>
      <c r="M168" s="1497"/>
      <c r="N168" s="1407">
        <v>160.6</v>
      </c>
      <c r="O168" s="1408">
        <v>160.6</v>
      </c>
      <c r="P168" s="1409"/>
      <c r="Q168" s="1498"/>
      <c r="R168" s="1499"/>
      <c r="S168" s="1500"/>
      <c r="T168" s="1501"/>
      <c r="U168" s="1502"/>
    </row>
    <row r="169" spans="1:21" s="1274" customFormat="1" ht="14.1" customHeight="1" x14ac:dyDescent="0.2">
      <c r="A169" s="1679"/>
      <c r="B169" s="1680"/>
      <c r="C169" s="1681"/>
      <c r="D169" s="2330"/>
      <c r="E169" s="2421"/>
      <c r="F169" s="1691"/>
      <c r="G169" s="1503" t="s">
        <v>384</v>
      </c>
      <c r="H169" s="1305">
        <v>18.2</v>
      </c>
      <c r="I169" s="1306">
        <v>18.2</v>
      </c>
      <c r="J169" s="1307"/>
      <c r="K169" s="1308"/>
      <c r="L169" s="1306"/>
      <c r="M169" s="1308"/>
      <c r="N169" s="1305"/>
      <c r="O169" s="1306"/>
      <c r="P169" s="1307"/>
      <c r="Q169" s="1677"/>
      <c r="R169" s="1676"/>
      <c r="S169" s="1420"/>
      <c r="T169" s="1361"/>
      <c r="U169" s="1360"/>
    </row>
    <row r="170" spans="1:21" s="1274" customFormat="1" ht="14.1" customHeight="1" x14ac:dyDescent="0.2">
      <c r="A170" s="1679"/>
      <c r="B170" s="1680"/>
      <c r="C170" s="1681"/>
      <c r="D170" s="2331"/>
      <c r="E170" s="2422"/>
      <c r="F170" s="1691"/>
      <c r="G170" s="1313" t="s">
        <v>381</v>
      </c>
      <c r="H170" s="1313">
        <f>855.7-200</f>
        <v>655.7</v>
      </c>
      <c r="I170" s="1314">
        <f>855.7-200</f>
        <v>655.7</v>
      </c>
      <c r="J170" s="1315"/>
      <c r="K170" s="1351">
        <v>1000</v>
      </c>
      <c r="L170" s="1314">
        <v>1000</v>
      </c>
      <c r="M170" s="1351"/>
      <c r="N170" s="1313">
        <v>800</v>
      </c>
      <c r="O170" s="1314">
        <v>800</v>
      </c>
      <c r="P170" s="1315"/>
      <c r="Q170" s="1376"/>
      <c r="R170" s="1437"/>
      <c r="S170" s="1438"/>
      <c r="T170" s="1385"/>
      <c r="U170" s="1360"/>
    </row>
    <row r="171" spans="1:21" s="1274" customFormat="1" ht="27.75" customHeight="1" x14ac:dyDescent="0.2">
      <c r="A171" s="1679"/>
      <c r="B171" s="1680"/>
      <c r="C171" s="1681"/>
      <c r="D171" s="2269" t="s">
        <v>315</v>
      </c>
      <c r="E171" s="1504" t="s">
        <v>47</v>
      </c>
      <c r="F171" s="1691"/>
      <c r="G171" s="1305"/>
      <c r="H171" s="1305"/>
      <c r="I171" s="1421"/>
      <c r="J171" s="1416"/>
      <c r="K171" s="1308"/>
      <c r="L171" s="1421"/>
      <c r="M171" s="1505"/>
      <c r="N171" s="1305"/>
      <c r="O171" s="1306"/>
      <c r="P171" s="1307"/>
      <c r="Q171" s="1689" t="s">
        <v>316</v>
      </c>
      <c r="R171" s="1506"/>
      <c r="S171" s="1420">
        <v>100</v>
      </c>
      <c r="T171" s="1361"/>
      <c r="U171" s="2277"/>
    </row>
    <row r="172" spans="1:21" s="1274" customFormat="1" ht="12" customHeight="1" x14ac:dyDescent="0.2">
      <c r="A172" s="1679"/>
      <c r="B172" s="1680"/>
      <c r="C172" s="1681"/>
      <c r="D172" s="2271"/>
      <c r="E172" s="1507"/>
      <c r="F172" s="1691"/>
      <c r="G172" s="1508"/>
      <c r="H172" s="1509"/>
      <c r="I172" s="1510"/>
      <c r="J172" s="1511"/>
      <c r="K172" s="1351"/>
      <c r="L172" s="1314"/>
      <c r="M172" s="1351"/>
      <c r="N172" s="1313"/>
      <c r="O172" s="1314"/>
      <c r="P172" s="1315"/>
      <c r="Q172" s="1473"/>
      <c r="R172" s="1437"/>
      <c r="S172" s="1420"/>
      <c r="T172" s="1361"/>
      <c r="U172" s="2282"/>
    </row>
    <row r="173" spans="1:21" s="1274" customFormat="1" ht="15.75" customHeight="1" x14ac:dyDescent="0.2">
      <c r="A173" s="1679"/>
      <c r="B173" s="1680"/>
      <c r="C173" s="1681"/>
      <c r="D173" s="2269" t="s">
        <v>200</v>
      </c>
      <c r="E173" s="1504" t="s">
        <v>47</v>
      </c>
      <c r="F173" s="1691"/>
      <c r="G173" s="1305"/>
      <c r="H173" s="1305"/>
      <c r="I173" s="1306"/>
      <c r="J173" s="1307"/>
      <c r="K173" s="1308"/>
      <c r="L173" s="1306"/>
      <c r="M173" s="1308"/>
      <c r="N173" s="1305"/>
      <c r="O173" s="1306"/>
      <c r="P173" s="1307"/>
      <c r="Q173" s="2275" t="s">
        <v>204</v>
      </c>
      <c r="R173" s="1512">
        <v>10</v>
      </c>
      <c r="S173" s="1513">
        <v>40</v>
      </c>
      <c r="T173" s="1514">
        <v>80</v>
      </c>
      <c r="U173" s="2272"/>
    </row>
    <row r="174" spans="1:21" s="1274" customFormat="1" ht="19.5" customHeight="1" x14ac:dyDescent="0.2">
      <c r="A174" s="1679"/>
      <c r="B174" s="1680"/>
      <c r="C174" s="1681"/>
      <c r="D174" s="2271"/>
      <c r="E174" s="1515"/>
      <c r="F174" s="1691"/>
      <c r="G174" s="1415"/>
      <c r="H174" s="1313"/>
      <c r="I174" s="1314"/>
      <c r="J174" s="1315"/>
      <c r="K174" s="1351"/>
      <c r="L174" s="1314"/>
      <c r="M174" s="1351"/>
      <c r="N174" s="1313"/>
      <c r="O174" s="1314"/>
      <c r="P174" s="1315"/>
      <c r="Q174" s="2468"/>
      <c r="R174" s="1437"/>
      <c r="S174" s="1438"/>
      <c r="T174" s="1385"/>
      <c r="U174" s="2273"/>
    </row>
    <row r="175" spans="1:21" s="1274" customFormat="1" ht="15" customHeight="1" x14ac:dyDescent="0.2">
      <c r="A175" s="1679"/>
      <c r="B175" s="1680"/>
      <c r="C175" s="1681"/>
      <c r="D175" s="2269" t="s">
        <v>129</v>
      </c>
      <c r="E175" s="2328" t="s">
        <v>303</v>
      </c>
      <c r="F175" s="1691"/>
      <c r="G175" s="1305"/>
      <c r="H175" s="1305"/>
      <c r="I175" s="1306"/>
      <c r="J175" s="1307"/>
      <c r="K175" s="1299"/>
      <c r="L175" s="1297"/>
      <c r="M175" s="1299"/>
      <c r="N175" s="1296"/>
      <c r="O175" s="1297"/>
      <c r="P175" s="1298"/>
      <c r="Q175" s="1694" t="s">
        <v>46</v>
      </c>
      <c r="R175" s="1675">
        <v>1</v>
      </c>
      <c r="S175" s="1434"/>
      <c r="T175" s="1359"/>
      <c r="U175" s="2273"/>
    </row>
    <row r="176" spans="1:21" s="1274" customFormat="1" ht="39.75" customHeight="1" x14ac:dyDescent="0.2">
      <c r="A176" s="1679"/>
      <c r="B176" s="1680"/>
      <c r="C176" s="1691"/>
      <c r="D176" s="2271"/>
      <c r="E176" s="2329"/>
      <c r="F176" s="1691"/>
      <c r="G176" s="1313"/>
      <c r="H176" s="1313"/>
      <c r="I176" s="1314"/>
      <c r="J176" s="1315"/>
      <c r="K176" s="1351"/>
      <c r="L176" s="1314"/>
      <c r="M176" s="1351"/>
      <c r="N176" s="1313"/>
      <c r="O176" s="1314"/>
      <c r="P176" s="1315"/>
      <c r="Q176" s="1417" t="s">
        <v>310</v>
      </c>
      <c r="R176" s="1418"/>
      <c r="S176" s="1419"/>
      <c r="T176" s="1345"/>
      <c r="U176" s="2273"/>
    </row>
    <row r="177" spans="1:21" s="1274" customFormat="1" ht="14.25" customHeight="1" x14ac:dyDescent="0.2">
      <c r="A177" s="1679"/>
      <c r="B177" s="1680"/>
      <c r="C177" s="1681"/>
      <c r="D177" s="2269" t="s">
        <v>221</v>
      </c>
      <c r="E177" s="1504" t="s">
        <v>47</v>
      </c>
      <c r="F177" s="1691"/>
      <c r="G177" s="1305"/>
      <c r="H177" s="1305"/>
      <c r="I177" s="1306"/>
      <c r="J177" s="1307"/>
      <c r="K177" s="1308"/>
      <c r="L177" s="1306"/>
      <c r="M177" s="1308"/>
      <c r="N177" s="1305"/>
      <c r="O177" s="1306"/>
      <c r="P177" s="1307"/>
      <c r="Q177" s="1694" t="s">
        <v>46</v>
      </c>
      <c r="R177" s="1516"/>
      <c r="S177" s="2469">
        <v>1</v>
      </c>
      <c r="T177" s="1359"/>
      <c r="U177" s="2273"/>
    </row>
    <row r="178" spans="1:21" s="1274" customFormat="1" ht="9.75" customHeight="1" x14ac:dyDescent="0.2">
      <c r="A178" s="1679"/>
      <c r="B178" s="1680"/>
      <c r="C178" s="1681"/>
      <c r="D178" s="2270"/>
      <c r="E178" s="1517"/>
      <c r="F178" s="1691"/>
      <c r="G178" s="1313"/>
      <c r="H178" s="1313"/>
      <c r="I178" s="1314"/>
      <c r="J178" s="1315"/>
      <c r="K178" s="1351"/>
      <c r="L178" s="1314"/>
      <c r="M178" s="1351"/>
      <c r="N178" s="1313"/>
      <c r="O178" s="1314"/>
      <c r="P178" s="1315"/>
      <c r="Q178" s="1692"/>
      <c r="R178" s="1676"/>
      <c r="S178" s="2470"/>
      <c r="T178" s="1361"/>
      <c r="U178" s="2273"/>
    </row>
    <row r="179" spans="1:21" s="1274" customFormat="1" ht="16.5" customHeight="1" thickBot="1" x14ac:dyDescent="0.25">
      <c r="A179" s="1390"/>
      <c r="B179" s="1391"/>
      <c r="C179" s="1392"/>
      <c r="D179" s="1393"/>
      <c r="E179" s="1394"/>
      <c r="F179" s="1392"/>
      <c r="G179" s="1395" t="s">
        <v>6</v>
      </c>
      <c r="H179" s="1396">
        <f t="shared" ref="H179:P179" si="8">SUM(H168:H178)</f>
        <v>1179.7</v>
      </c>
      <c r="I179" s="1398">
        <f t="shared" si="8"/>
        <v>1179.7</v>
      </c>
      <c r="J179" s="1397">
        <f t="shared" si="8"/>
        <v>0</v>
      </c>
      <c r="K179" s="1396">
        <f t="shared" si="8"/>
        <v>1082</v>
      </c>
      <c r="L179" s="1398">
        <f t="shared" si="8"/>
        <v>1082</v>
      </c>
      <c r="M179" s="1397">
        <f t="shared" si="8"/>
        <v>0</v>
      </c>
      <c r="N179" s="1396">
        <f t="shared" si="8"/>
        <v>960.6</v>
      </c>
      <c r="O179" s="1398">
        <f t="shared" si="8"/>
        <v>960.6</v>
      </c>
      <c r="P179" s="1397">
        <f t="shared" si="8"/>
        <v>0</v>
      </c>
      <c r="Q179" s="1456"/>
      <c r="R179" s="1457"/>
      <c r="S179" s="1458"/>
      <c r="T179" s="1459"/>
      <c r="U179" s="1460"/>
    </row>
    <row r="180" spans="1:21" s="1274" customFormat="1" ht="29.25" customHeight="1" x14ac:dyDescent="0.2">
      <c r="A180" s="1679" t="s">
        <v>5</v>
      </c>
      <c r="B180" s="1680" t="s">
        <v>5</v>
      </c>
      <c r="C180" s="1681" t="s">
        <v>35</v>
      </c>
      <c r="D180" s="1518" t="s">
        <v>72</v>
      </c>
      <c r="E180" s="1519" t="s">
        <v>89</v>
      </c>
      <c r="F180" s="1520" t="s">
        <v>43</v>
      </c>
      <c r="G180" s="1521"/>
      <c r="H180" s="1522"/>
      <c r="I180" s="1523"/>
      <c r="J180" s="1524"/>
      <c r="K180" s="1525"/>
      <c r="L180" s="1523"/>
      <c r="M180" s="1525"/>
      <c r="N180" s="1522"/>
      <c r="O180" s="1523"/>
      <c r="P180" s="1524"/>
      <c r="Q180" s="1526"/>
      <c r="R180" s="1527"/>
      <c r="S180" s="1527"/>
      <c r="T180" s="1527"/>
      <c r="U180" s="1528"/>
    </row>
    <row r="181" spans="1:21" s="1274" customFormat="1" ht="14.25" customHeight="1" x14ac:dyDescent="0.2">
      <c r="A181" s="1679"/>
      <c r="B181" s="1680"/>
      <c r="C181" s="1681"/>
      <c r="D181" s="2269" t="s">
        <v>127</v>
      </c>
      <c r="E181" s="2328" t="s">
        <v>303</v>
      </c>
      <c r="F181" s="1691"/>
      <c r="G181" s="1529" t="s">
        <v>381</v>
      </c>
      <c r="H181" s="1305">
        <v>243.1</v>
      </c>
      <c r="I181" s="1306">
        <v>243.1</v>
      </c>
      <c r="J181" s="1307"/>
      <c r="K181" s="1308"/>
      <c r="L181" s="1306"/>
      <c r="M181" s="1308"/>
      <c r="N181" s="1305">
        <v>1200</v>
      </c>
      <c r="O181" s="1306">
        <v>1200</v>
      </c>
      <c r="P181" s="1307"/>
      <c r="Q181" s="1530" t="s">
        <v>46</v>
      </c>
      <c r="R181" s="1479">
        <v>1</v>
      </c>
      <c r="S181" s="1358"/>
      <c r="T181" s="1358"/>
      <c r="U181" s="1369"/>
    </row>
    <row r="182" spans="1:21" s="1274" customFormat="1" ht="13.5" customHeight="1" x14ac:dyDescent="0.2">
      <c r="A182" s="1679"/>
      <c r="B182" s="1680"/>
      <c r="C182" s="1681"/>
      <c r="D182" s="2270"/>
      <c r="E182" s="2338"/>
      <c r="F182" s="1691"/>
      <c r="G182" s="1529" t="s">
        <v>382</v>
      </c>
      <c r="H182" s="1305"/>
      <c r="I182" s="1306"/>
      <c r="J182" s="1307"/>
      <c r="K182" s="1308">
        <v>5000</v>
      </c>
      <c r="L182" s="1306">
        <v>5000</v>
      </c>
      <c r="M182" s="1308"/>
      <c r="N182" s="1305">
        <v>8609.1</v>
      </c>
      <c r="O182" s="1306">
        <v>8609.1</v>
      </c>
      <c r="P182" s="1307"/>
      <c r="Q182" s="2301" t="s">
        <v>233</v>
      </c>
      <c r="R182" s="1479"/>
      <c r="S182" s="1343">
        <v>60</v>
      </c>
      <c r="T182" s="1343">
        <v>90</v>
      </c>
      <c r="U182" s="1369"/>
    </row>
    <row r="183" spans="1:21" s="1274" customFormat="1" ht="14.25" customHeight="1" x14ac:dyDescent="0.2">
      <c r="A183" s="1679"/>
      <c r="B183" s="1680"/>
      <c r="C183" s="1681"/>
      <c r="D183" s="2270"/>
      <c r="E183" s="2338"/>
      <c r="F183" s="1691"/>
      <c r="G183" s="1529" t="s">
        <v>383</v>
      </c>
      <c r="H183" s="1305"/>
      <c r="I183" s="1306"/>
      <c r="J183" s="1307"/>
      <c r="K183" s="1308">
        <v>10000</v>
      </c>
      <c r="L183" s="1306">
        <v>10000</v>
      </c>
      <c r="M183" s="1308"/>
      <c r="N183" s="1305"/>
      <c r="O183" s="1306"/>
      <c r="P183" s="1307"/>
      <c r="Q183" s="2302"/>
      <c r="R183" s="1479"/>
      <c r="S183" s="1343"/>
      <c r="T183" s="1343"/>
      <c r="U183" s="1369"/>
    </row>
    <row r="184" spans="1:21" s="1274" customFormat="1" ht="16.5" customHeight="1" thickBot="1" x14ac:dyDescent="0.25">
      <c r="A184" s="1390"/>
      <c r="B184" s="1391"/>
      <c r="C184" s="1392"/>
      <c r="D184" s="1393"/>
      <c r="E184" s="1394"/>
      <c r="F184" s="1392"/>
      <c r="G184" s="1395" t="s">
        <v>6</v>
      </c>
      <c r="H184" s="1396">
        <f t="shared" ref="H184:P184" si="9">SUM(H181:H183)</f>
        <v>243.1</v>
      </c>
      <c r="I184" s="1398">
        <f t="shared" si="9"/>
        <v>243.1</v>
      </c>
      <c r="J184" s="1397">
        <f t="shared" si="9"/>
        <v>0</v>
      </c>
      <c r="K184" s="1396">
        <f t="shared" si="9"/>
        <v>15000</v>
      </c>
      <c r="L184" s="1398">
        <f t="shared" si="9"/>
        <v>15000</v>
      </c>
      <c r="M184" s="1397">
        <f t="shared" si="9"/>
        <v>0</v>
      </c>
      <c r="N184" s="1396">
        <f t="shared" si="9"/>
        <v>9809.1</v>
      </c>
      <c r="O184" s="1398">
        <f t="shared" si="9"/>
        <v>9809.1</v>
      </c>
      <c r="P184" s="1397">
        <f t="shared" si="9"/>
        <v>0</v>
      </c>
      <c r="Q184" s="1485"/>
      <c r="R184" s="1457"/>
      <c r="S184" s="1458"/>
      <c r="T184" s="1459"/>
      <c r="U184" s="1401"/>
    </row>
    <row r="185" spans="1:21" s="1274" customFormat="1" ht="27" customHeight="1" x14ac:dyDescent="0.2">
      <c r="A185" s="1679" t="s">
        <v>5</v>
      </c>
      <c r="B185" s="1680" t="s">
        <v>5</v>
      </c>
      <c r="C185" s="1356" t="s">
        <v>36</v>
      </c>
      <c r="D185" s="1531" t="s">
        <v>205</v>
      </c>
      <c r="E185" s="1532"/>
      <c r="F185" s="1404" t="s">
        <v>43</v>
      </c>
      <c r="G185" s="1533" t="s">
        <v>385</v>
      </c>
      <c r="H185" s="1534">
        <v>28</v>
      </c>
      <c r="I185" s="1535">
        <v>28</v>
      </c>
      <c r="J185" s="1536"/>
      <c r="K185" s="1537">
        <v>28</v>
      </c>
      <c r="L185" s="1538">
        <v>28</v>
      </c>
      <c r="M185" s="1537"/>
      <c r="N185" s="1539">
        <v>28</v>
      </c>
      <c r="O185" s="1538">
        <v>28</v>
      </c>
      <c r="P185" s="1540"/>
      <c r="Q185" s="1541"/>
      <c r="R185" s="1542"/>
      <c r="S185" s="1543"/>
      <c r="T185" s="1544"/>
      <c r="U185" s="1545"/>
    </row>
    <row r="186" spans="1:21" s="1274" customFormat="1" ht="13.5" customHeight="1" x14ac:dyDescent="0.2">
      <c r="A186" s="1679"/>
      <c r="B186" s="1680"/>
      <c r="C186" s="1370"/>
      <c r="D186" s="1546" t="s">
        <v>84</v>
      </c>
      <c r="E186" s="1547"/>
      <c r="F186" s="1681"/>
      <c r="G186" s="1296"/>
      <c r="H186" s="1296"/>
      <c r="I186" s="1297"/>
      <c r="J186" s="1298"/>
      <c r="K186" s="1299"/>
      <c r="L186" s="1297"/>
      <c r="M186" s="1299"/>
      <c r="N186" s="1296"/>
      <c r="O186" s="1297"/>
      <c r="P186" s="1298"/>
      <c r="Q186" s="2472" t="s">
        <v>132</v>
      </c>
      <c r="R186" s="1443">
        <v>100</v>
      </c>
      <c r="S186" s="1475">
        <v>100</v>
      </c>
      <c r="T186" s="1476">
        <v>100</v>
      </c>
      <c r="U186" s="1477"/>
    </row>
    <row r="187" spans="1:21" s="1274" customFormat="1" ht="11.25" customHeight="1" x14ac:dyDescent="0.2">
      <c r="A187" s="1679"/>
      <c r="B187" s="1680"/>
      <c r="C187" s="1370"/>
      <c r="D187" s="1548"/>
      <c r="E187" s="1549"/>
      <c r="F187" s="1691"/>
      <c r="G187" s="1305"/>
      <c r="H187" s="1305"/>
      <c r="I187" s="1306"/>
      <c r="J187" s="1307"/>
      <c r="K187" s="1308"/>
      <c r="L187" s="1306"/>
      <c r="M187" s="1308"/>
      <c r="N187" s="1305"/>
      <c r="O187" s="1306"/>
      <c r="P187" s="1307"/>
      <c r="Q187" s="2473"/>
      <c r="R187" s="1455"/>
      <c r="S187" s="1479"/>
      <c r="T187" s="1480"/>
      <c r="U187" s="1477"/>
    </row>
    <row r="188" spans="1:21" s="1561" customFormat="1" ht="49.5" customHeight="1" x14ac:dyDescent="0.2">
      <c r="A188" s="1679"/>
      <c r="B188" s="1680"/>
      <c r="C188" s="1681"/>
      <c r="D188" s="1550" t="s">
        <v>77</v>
      </c>
      <c r="E188" s="1551"/>
      <c r="F188" s="1520"/>
      <c r="G188" s="1552"/>
      <c r="H188" s="1553"/>
      <c r="I188" s="1554"/>
      <c r="J188" s="1555"/>
      <c r="K188" s="1556"/>
      <c r="L188" s="1554"/>
      <c r="M188" s="1556"/>
      <c r="N188" s="1553"/>
      <c r="O188" s="1554"/>
      <c r="P188" s="1555"/>
      <c r="Q188" s="2473"/>
      <c r="R188" s="1557"/>
      <c r="S188" s="1558"/>
      <c r="T188" s="1559"/>
      <c r="U188" s="1560"/>
    </row>
    <row r="189" spans="1:21" s="1274" customFormat="1" ht="16.5" customHeight="1" thickBot="1" x14ac:dyDescent="0.25">
      <c r="A189" s="1390"/>
      <c r="B189" s="1391"/>
      <c r="C189" s="1392"/>
      <c r="D189" s="1393"/>
      <c r="E189" s="1394"/>
      <c r="F189" s="1392"/>
      <c r="G189" s="1395" t="s">
        <v>6</v>
      </c>
      <c r="H189" s="1396">
        <f>SUM(H185:H188)</f>
        <v>28</v>
      </c>
      <c r="I189" s="1398">
        <f>SUM(I185:I188)</f>
        <v>28</v>
      </c>
      <c r="J189" s="1397">
        <f>SUM(J185:J188)</f>
        <v>0</v>
      </c>
      <c r="K189" s="1396">
        <f t="shared" ref="K189:P189" si="10">SUM(K185:K188)</f>
        <v>28</v>
      </c>
      <c r="L189" s="1398">
        <f t="shared" si="10"/>
        <v>28</v>
      </c>
      <c r="M189" s="1397">
        <f t="shared" si="10"/>
        <v>0</v>
      </c>
      <c r="N189" s="1396">
        <f t="shared" si="10"/>
        <v>28</v>
      </c>
      <c r="O189" s="1398">
        <f t="shared" si="10"/>
        <v>28</v>
      </c>
      <c r="P189" s="1397">
        <f t="shared" si="10"/>
        <v>0</v>
      </c>
      <c r="Q189" s="1485"/>
      <c r="R189" s="1457"/>
      <c r="S189" s="1458"/>
      <c r="T189" s="1459"/>
      <c r="U189" s="1460"/>
    </row>
    <row r="190" spans="1:21" ht="14.25" customHeight="1" thickBot="1" x14ac:dyDescent="0.25">
      <c r="A190" s="64" t="s">
        <v>5</v>
      </c>
      <c r="B190" s="207" t="s">
        <v>5</v>
      </c>
      <c r="C190" s="2303" t="s">
        <v>8</v>
      </c>
      <c r="D190" s="2304"/>
      <c r="E190" s="2304"/>
      <c r="F190" s="2304"/>
      <c r="G190" s="2305"/>
      <c r="H190" s="1562">
        <v>9639.6</v>
      </c>
      <c r="I190" s="1563">
        <v>9639.6</v>
      </c>
      <c r="J190" s="1564">
        <f t="shared" ref="J190:P190" si="11">J189+J184+J179+J167+J157+J142+J126</f>
        <v>0</v>
      </c>
      <c r="K190" s="1562">
        <v>20983.599999999999</v>
      </c>
      <c r="L190" s="1563">
        <v>20983.599999999999</v>
      </c>
      <c r="M190" s="1564">
        <f t="shared" si="11"/>
        <v>0</v>
      </c>
      <c r="N190" s="1562">
        <v>15679.9</v>
      </c>
      <c r="O190" s="1563">
        <v>15679.9</v>
      </c>
      <c r="P190" s="1564">
        <f t="shared" si="11"/>
        <v>0</v>
      </c>
      <c r="Q190" s="1655"/>
      <c r="R190" s="1672"/>
      <c r="S190" s="1672"/>
      <c r="T190" s="1655"/>
      <c r="U190" s="1656"/>
    </row>
    <row r="191" spans="1:21" ht="14.25" customHeight="1" thickBot="1" x14ac:dyDescent="0.25">
      <c r="A191" s="64" t="s">
        <v>5</v>
      </c>
      <c r="B191" s="207" t="s">
        <v>7</v>
      </c>
      <c r="C191" s="2164" t="s">
        <v>32</v>
      </c>
      <c r="D191" s="2165"/>
      <c r="E191" s="2165"/>
      <c r="F191" s="2165"/>
      <c r="G191" s="2165"/>
      <c r="H191" s="2165"/>
      <c r="I191" s="2165"/>
      <c r="J191" s="2165"/>
      <c r="K191" s="2165"/>
      <c r="L191" s="2165"/>
      <c r="M191" s="2165"/>
      <c r="N191" s="2165"/>
      <c r="O191" s="2165"/>
      <c r="P191" s="2165"/>
      <c r="Q191" s="2165"/>
      <c r="R191" s="2165"/>
      <c r="S191" s="2165"/>
      <c r="T191" s="2165"/>
      <c r="U191" s="2166"/>
    </row>
    <row r="192" spans="1:21" ht="14.1" customHeight="1" x14ac:dyDescent="0.2">
      <c r="A192" s="1637" t="s">
        <v>5</v>
      </c>
      <c r="B192" s="1664" t="s">
        <v>7</v>
      </c>
      <c r="C192" s="1639" t="s">
        <v>5</v>
      </c>
      <c r="D192" s="269" t="s">
        <v>56</v>
      </c>
      <c r="E192" s="2192" t="s">
        <v>112</v>
      </c>
      <c r="F192" s="1648">
        <v>6</v>
      </c>
      <c r="G192" s="54" t="s">
        <v>25</v>
      </c>
      <c r="H192" s="170">
        <f>5098.3-2062.6</f>
        <v>3035.7</v>
      </c>
      <c r="I192" s="144">
        <f>5098.3-2062.6-5</f>
        <v>3030.7</v>
      </c>
      <c r="J192" s="1042">
        <f>I192-H192</f>
        <v>-5</v>
      </c>
      <c r="K192" s="69">
        <f>5248-99+5</f>
        <v>5154</v>
      </c>
      <c r="L192" s="177">
        <f>5248-99+5</f>
        <v>5154</v>
      </c>
      <c r="M192" s="85"/>
      <c r="N192" s="69">
        <f>5245.4+5</f>
        <v>5250.4</v>
      </c>
      <c r="O192" s="177">
        <v>5151.3999999999996</v>
      </c>
      <c r="P192" s="85"/>
      <c r="Q192" s="139"/>
      <c r="R192" s="138"/>
      <c r="S192" s="387"/>
      <c r="T192" s="373"/>
      <c r="U192" s="2459"/>
    </row>
    <row r="193" spans="1:21" ht="14.1" customHeight="1" x14ac:dyDescent="0.2">
      <c r="A193" s="1637"/>
      <c r="B193" s="1664"/>
      <c r="C193" s="1639"/>
      <c r="D193" s="269"/>
      <c r="E193" s="2193"/>
      <c r="F193" s="1635"/>
      <c r="G193" s="69" t="s">
        <v>60</v>
      </c>
      <c r="H193" s="69">
        <v>2062.6</v>
      </c>
      <c r="I193" s="177">
        <v>2062.6</v>
      </c>
      <c r="J193" s="1042"/>
      <c r="K193" s="69"/>
      <c r="L193" s="177"/>
      <c r="M193" s="85"/>
      <c r="N193" s="69"/>
      <c r="O193" s="177"/>
      <c r="P193" s="85"/>
      <c r="Q193" s="139"/>
      <c r="R193" s="138"/>
      <c r="S193" s="387"/>
      <c r="T193" s="373"/>
      <c r="U193" s="2383"/>
    </row>
    <row r="194" spans="1:21" ht="15.75" customHeight="1" x14ac:dyDescent="0.2">
      <c r="A194" s="1637"/>
      <c r="B194" s="1664"/>
      <c r="C194" s="1639"/>
      <c r="D194" s="269"/>
      <c r="E194" s="2049"/>
      <c r="F194" s="1629"/>
      <c r="G194" s="69" t="s">
        <v>68</v>
      </c>
      <c r="H194" s="69">
        <v>198.7</v>
      </c>
      <c r="I194" s="177">
        <v>198.7</v>
      </c>
      <c r="J194" s="85"/>
      <c r="K194" s="69">
        <v>295.7</v>
      </c>
      <c r="L194" s="177">
        <v>295.7</v>
      </c>
      <c r="M194" s="85"/>
      <c r="N194" s="69">
        <v>107</v>
      </c>
      <c r="O194" s="177">
        <v>107</v>
      </c>
      <c r="P194" s="85"/>
      <c r="Q194" s="139"/>
      <c r="R194" s="138"/>
      <c r="S194" s="387"/>
      <c r="T194" s="373"/>
      <c r="U194" s="2265"/>
    </row>
    <row r="195" spans="1:21" ht="17.25" customHeight="1" x14ac:dyDescent="0.2">
      <c r="A195" s="1637"/>
      <c r="B195" s="1664"/>
      <c r="C195" s="1639"/>
      <c r="D195" s="270"/>
      <c r="E195" s="2050"/>
      <c r="F195" s="1104"/>
      <c r="G195" s="72" t="s">
        <v>75</v>
      </c>
      <c r="H195" s="72">
        <f>350+55+139.1</f>
        <v>544.1</v>
      </c>
      <c r="I195" s="36">
        <f>350+55+139.1</f>
        <v>544.1</v>
      </c>
      <c r="J195" s="124"/>
      <c r="K195" s="72"/>
      <c r="L195" s="36"/>
      <c r="M195" s="124"/>
      <c r="N195" s="72"/>
      <c r="O195" s="36"/>
      <c r="P195" s="124"/>
      <c r="Q195" s="163"/>
      <c r="R195" s="162"/>
      <c r="S195" s="388"/>
      <c r="T195" s="991"/>
      <c r="U195" s="2265"/>
    </row>
    <row r="196" spans="1:21" ht="14.25" customHeight="1" x14ac:dyDescent="0.2">
      <c r="A196" s="1637"/>
      <c r="B196" s="1664"/>
      <c r="C196" s="1639"/>
      <c r="D196" s="1649" t="s">
        <v>52</v>
      </c>
      <c r="E196" s="1634"/>
      <c r="F196" s="1648"/>
      <c r="G196" s="68"/>
      <c r="H196" s="894"/>
      <c r="I196" s="980"/>
      <c r="J196" s="977"/>
      <c r="K196" s="894"/>
      <c r="L196" s="980"/>
      <c r="M196" s="981"/>
      <c r="N196" s="894"/>
      <c r="O196" s="980"/>
      <c r="P196" s="981"/>
      <c r="Q196" s="888"/>
      <c r="R196" s="138"/>
      <c r="S196" s="387"/>
      <c r="T196" s="373"/>
      <c r="U196" s="406"/>
    </row>
    <row r="197" spans="1:21" ht="15.75" customHeight="1" x14ac:dyDescent="0.2">
      <c r="A197" s="1637"/>
      <c r="B197" s="1664"/>
      <c r="C197" s="1639"/>
      <c r="D197" s="2456" t="s">
        <v>78</v>
      </c>
      <c r="E197" s="1634"/>
      <c r="F197" s="1639"/>
      <c r="G197" s="69"/>
      <c r="H197" s="69"/>
      <c r="I197" s="177"/>
      <c r="J197" s="52"/>
      <c r="K197" s="69"/>
      <c r="L197" s="177"/>
      <c r="M197" s="96"/>
      <c r="N197" s="69"/>
      <c r="O197" s="177"/>
      <c r="P197" s="96"/>
      <c r="Q197" s="1651" t="s">
        <v>41</v>
      </c>
      <c r="R197" s="177">
        <v>6</v>
      </c>
      <c r="S197" s="177">
        <v>6</v>
      </c>
      <c r="T197" s="33">
        <v>6</v>
      </c>
      <c r="U197" s="34"/>
    </row>
    <row r="198" spans="1:21" ht="14.25" customHeight="1" x14ac:dyDescent="0.2">
      <c r="A198" s="1637"/>
      <c r="B198" s="1664"/>
      <c r="C198" s="1639"/>
      <c r="D198" s="2457"/>
      <c r="E198" s="1631"/>
      <c r="F198" s="1639"/>
      <c r="G198" s="69"/>
      <c r="H198" s="69"/>
      <c r="I198" s="177"/>
      <c r="J198" s="52"/>
      <c r="K198" s="69"/>
      <c r="L198" s="177"/>
      <c r="M198" s="96"/>
      <c r="N198" s="69"/>
      <c r="O198" s="177"/>
      <c r="P198" s="96"/>
      <c r="Q198" s="1651"/>
      <c r="R198" s="1713"/>
      <c r="S198" s="232"/>
      <c r="T198" s="1710"/>
      <c r="U198" s="1715"/>
    </row>
    <row r="199" spans="1:21" ht="20.25" customHeight="1" x14ac:dyDescent="0.2">
      <c r="A199" s="1637"/>
      <c r="B199" s="1664"/>
      <c r="C199" s="1639"/>
      <c r="D199" s="1111" t="s">
        <v>79</v>
      </c>
      <c r="E199" s="1631"/>
      <c r="F199" s="1639"/>
      <c r="G199" s="594" t="s">
        <v>25</v>
      </c>
      <c r="H199" s="594"/>
      <c r="I199" s="1061">
        <v>118.8</v>
      </c>
      <c r="J199" s="1062">
        <f>I199-H199</f>
        <v>118.8</v>
      </c>
      <c r="K199" s="594"/>
      <c r="L199" s="1061">
        <v>194</v>
      </c>
      <c r="M199" s="1196">
        <f>L199-K199</f>
        <v>194</v>
      </c>
      <c r="N199" s="594"/>
      <c r="O199" s="1061">
        <v>194</v>
      </c>
      <c r="P199" s="1062">
        <f>O199-N199</f>
        <v>194</v>
      </c>
      <c r="Q199" s="2048" t="s">
        <v>350</v>
      </c>
      <c r="R199" s="595">
        <v>2</v>
      </c>
      <c r="S199" s="999">
        <v>2</v>
      </c>
      <c r="T199" s="595">
        <v>2</v>
      </c>
      <c r="U199" s="2460" t="s">
        <v>422</v>
      </c>
    </row>
    <row r="200" spans="1:21" ht="160.5" customHeight="1" x14ac:dyDescent="0.2">
      <c r="A200" s="1637"/>
      <c r="B200" s="1664"/>
      <c r="C200" s="1639"/>
      <c r="D200" s="1649"/>
      <c r="E200" s="1631"/>
      <c r="F200" s="1639"/>
      <c r="G200" s="69"/>
      <c r="H200" s="69"/>
      <c r="I200" s="405"/>
      <c r="J200" s="528"/>
      <c r="K200" s="69"/>
      <c r="L200" s="177"/>
      <c r="M200" s="96"/>
      <c r="N200" s="69"/>
      <c r="O200" s="177"/>
      <c r="P200" s="52"/>
      <c r="Q200" s="2008"/>
      <c r="R200" s="1112"/>
      <c r="S200" s="1113"/>
      <c r="T200" s="1112"/>
      <c r="U200" s="2461"/>
    </row>
    <row r="201" spans="1:21" ht="22.5" customHeight="1" x14ac:dyDescent="0.2">
      <c r="A201" s="1637"/>
      <c r="B201" s="1664"/>
      <c r="C201" s="1639"/>
      <c r="D201" s="1110"/>
      <c r="E201" s="1631"/>
      <c r="F201" s="1639"/>
      <c r="G201" s="118"/>
      <c r="H201" s="118"/>
      <c r="I201" s="1114"/>
      <c r="J201" s="1115"/>
      <c r="K201" s="118"/>
      <c r="L201" s="1114"/>
      <c r="M201" s="1116"/>
      <c r="N201" s="118"/>
      <c r="O201" s="1114"/>
      <c r="P201" s="1115"/>
      <c r="Q201" s="1029" t="s">
        <v>137</v>
      </c>
      <c r="R201" s="1112">
        <v>4</v>
      </c>
      <c r="S201" s="1113">
        <v>4</v>
      </c>
      <c r="T201" s="1112">
        <v>4</v>
      </c>
      <c r="U201" s="1185"/>
    </row>
    <row r="202" spans="1:21" ht="60.75" customHeight="1" x14ac:dyDescent="0.2">
      <c r="A202" s="1637"/>
      <c r="B202" s="1664"/>
      <c r="C202" s="1639"/>
      <c r="D202" s="223" t="s">
        <v>80</v>
      </c>
      <c r="E202" s="1631"/>
      <c r="F202" s="1639"/>
      <c r="G202" s="70"/>
      <c r="H202" s="110"/>
      <c r="I202" s="1144"/>
      <c r="J202" s="1787"/>
      <c r="K202" s="110"/>
      <c r="L202" s="1117"/>
      <c r="M202" s="1119"/>
      <c r="N202" s="110"/>
      <c r="O202" s="1117"/>
      <c r="P202" s="1118"/>
      <c r="Q202" s="71" t="s">
        <v>138</v>
      </c>
      <c r="R202" s="1195" t="s">
        <v>365</v>
      </c>
      <c r="S202" s="327">
        <v>24.8</v>
      </c>
      <c r="T202" s="992">
        <v>24.8</v>
      </c>
      <c r="U202" s="1974" t="s">
        <v>430</v>
      </c>
    </row>
    <row r="203" spans="1:21" ht="21.75" customHeight="1" x14ac:dyDescent="0.2">
      <c r="A203" s="1637"/>
      <c r="B203" s="1664"/>
      <c r="C203" s="1639"/>
      <c r="D203" s="2190" t="s">
        <v>128</v>
      </c>
      <c r="E203" s="1631"/>
      <c r="F203" s="1639"/>
      <c r="G203" s="69"/>
      <c r="H203" s="69"/>
      <c r="I203" s="405"/>
      <c r="J203" s="528"/>
      <c r="K203" s="69"/>
      <c r="L203" s="177"/>
      <c r="M203" s="96"/>
      <c r="N203" s="69"/>
      <c r="O203" s="177"/>
      <c r="P203" s="96"/>
      <c r="Q203" s="2048" t="s">
        <v>304</v>
      </c>
      <c r="R203" s="1067">
        <v>6</v>
      </c>
      <c r="S203" s="1713">
        <v>3</v>
      </c>
      <c r="T203" s="1710">
        <v>3</v>
      </c>
      <c r="U203" s="2480"/>
    </row>
    <row r="204" spans="1:21" ht="18" customHeight="1" x14ac:dyDescent="0.2">
      <c r="A204" s="1637"/>
      <c r="B204" s="1664"/>
      <c r="C204" s="1639"/>
      <c r="D204" s="2191"/>
      <c r="E204" s="1634"/>
      <c r="F204" s="1639"/>
      <c r="G204" s="69"/>
      <c r="H204" s="69"/>
      <c r="I204" s="405"/>
      <c r="J204" s="528"/>
      <c r="K204" s="69"/>
      <c r="L204" s="177"/>
      <c r="M204" s="85"/>
      <c r="N204" s="69"/>
      <c r="O204" s="177"/>
      <c r="P204" s="85"/>
      <c r="Q204" s="2417"/>
      <c r="R204" s="1067"/>
      <c r="S204" s="1713"/>
      <c r="T204" s="1710"/>
      <c r="U204" s="2383"/>
    </row>
    <row r="205" spans="1:21" ht="12" customHeight="1" x14ac:dyDescent="0.2">
      <c r="A205" s="1637"/>
      <c r="B205" s="1664"/>
      <c r="C205" s="1639"/>
      <c r="D205" s="2458"/>
      <c r="E205" s="1634"/>
      <c r="F205" s="1639"/>
      <c r="G205" s="69"/>
      <c r="H205" s="69"/>
      <c r="I205" s="177"/>
      <c r="J205" s="52"/>
      <c r="K205" s="69"/>
      <c r="L205" s="177"/>
      <c r="M205" s="85"/>
      <c r="N205" s="69"/>
      <c r="O205" s="177"/>
      <c r="P205" s="85"/>
      <c r="Q205" s="2025"/>
      <c r="R205" s="41"/>
      <c r="S205" s="19"/>
      <c r="T205" s="1710"/>
      <c r="U205" s="2412"/>
    </row>
    <row r="206" spans="1:21" ht="14.25" customHeight="1" x14ac:dyDescent="0.2">
      <c r="A206" s="1637"/>
      <c r="B206" s="1664"/>
      <c r="C206" s="1639"/>
      <c r="D206" s="213" t="s">
        <v>154</v>
      </c>
      <c r="E206" s="1634"/>
      <c r="F206" s="1639"/>
      <c r="G206" s="122"/>
      <c r="H206" s="117"/>
      <c r="I206" s="135"/>
      <c r="J206" s="978"/>
      <c r="K206" s="117"/>
      <c r="L206" s="135"/>
      <c r="M206" s="308"/>
      <c r="N206" s="117"/>
      <c r="O206" s="135"/>
      <c r="P206" s="308"/>
      <c r="Q206" s="1651"/>
      <c r="R206" s="159"/>
      <c r="S206" s="373"/>
      <c r="T206" s="136"/>
      <c r="U206" s="406"/>
    </row>
    <row r="207" spans="1:21" ht="52.5" customHeight="1" x14ac:dyDescent="0.2">
      <c r="A207" s="1637"/>
      <c r="B207" s="1664"/>
      <c r="C207" s="1639"/>
      <c r="D207" s="214" t="s">
        <v>155</v>
      </c>
      <c r="E207" s="1634"/>
      <c r="F207" s="1639"/>
      <c r="G207" s="118"/>
      <c r="H207" s="1199"/>
      <c r="I207" s="1200"/>
      <c r="J207" s="1201"/>
      <c r="K207" s="1199"/>
      <c r="L207" s="1200"/>
      <c r="M207" s="1202"/>
      <c r="N207" s="1199"/>
      <c r="O207" s="1200"/>
      <c r="P207" s="1202"/>
      <c r="Q207" s="38" t="s">
        <v>151</v>
      </c>
      <c r="R207" s="240">
        <v>21</v>
      </c>
      <c r="S207" s="267">
        <v>21</v>
      </c>
      <c r="T207" s="267">
        <v>21</v>
      </c>
      <c r="U207" s="552"/>
    </row>
    <row r="208" spans="1:21" ht="22.5" customHeight="1" x14ac:dyDescent="0.2">
      <c r="A208" s="1637"/>
      <c r="B208" s="1664"/>
      <c r="C208" s="1639"/>
      <c r="D208" s="2199" t="s">
        <v>156</v>
      </c>
      <c r="E208" s="1634"/>
      <c r="F208" s="1639"/>
      <c r="G208" s="404" t="s">
        <v>25</v>
      </c>
      <c r="H208" s="404"/>
      <c r="I208" s="405">
        <v>31.2</v>
      </c>
      <c r="J208" s="528">
        <f>+I208</f>
        <v>31.2</v>
      </c>
      <c r="K208" s="404"/>
      <c r="L208" s="405">
        <v>93.4</v>
      </c>
      <c r="M208" s="1071">
        <f>+L208</f>
        <v>93.4</v>
      </c>
      <c r="N208" s="404"/>
      <c r="O208" s="405">
        <v>93.4</v>
      </c>
      <c r="P208" s="1071">
        <f>+O208</f>
        <v>93.4</v>
      </c>
      <c r="Q208" s="2284" t="s">
        <v>206</v>
      </c>
      <c r="R208" s="1203">
        <v>18</v>
      </c>
      <c r="S208" s="1067">
        <v>18</v>
      </c>
      <c r="T208" s="1193" t="s">
        <v>366</v>
      </c>
      <c r="U208" s="2480" t="s">
        <v>423</v>
      </c>
    </row>
    <row r="209" spans="1:21" ht="67.5" customHeight="1" x14ac:dyDescent="0.2">
      <c r="A209" s="1637"/>
      <c r="B209" s="1664"/>
      <c r="C209" s="1639"/>
      <c r="D209" s="2200"/>
      <c r="E209" s="1634"/>
      <c r="F209" s="1639"/>
      <c r="G209" s="72"/>
      <c r="H209" s="72"/>
      <c r="I209" s="36"/>
      <c r="J209" s="140"/>
      <c r="K209" s="72"/>
      <c r="L209" s="36"/>
      <c r="M209" s="97"/>
      <c r="N209" s="72"/>
      <c r="O209" s="36"/>
      <c r="P209" s="97"/>
      <c r="Q209" s="2037"/>
      <c r="R209" s="237"/>
      <c r="S209" s="41"/>
      <c r="T209" s="41"/>
      <c r="U209" s="2485"/>
    </row>
    <row r="210" spans="1:21" ht="18" customHeight="1" x14ac:dyDescent="0.2">
      <c r="A210" s="2031"/>
      <c r="B210" s="2039"/>
      <c r="C210" s="2033"/>
      <c r="D210" s="1996" t="s">
        <v>42</v>
      </c>
      <c r="E210" s="2022"/>
      <c r="F210" s="2263"/>
      <c r="G210" s="69"/>
      <c r="H210" s="69"/>
      <c r="I210" s="177"/>
      <c r="J210" s="52"/>
      <c r="K210" s="69"/>
      <c r="L210" s="177"/>
      <c r="M210" s="96"/>
      <c r="N210" s="69"/>
      <c r="O210" s="177"/>
      <c r="P210" s="96"/>
      <c r="Q210" s="2185" t="s">
        <v>54</v>
      </c>
      <c r="R210" s="2202">
        <v>7</v>
      </c>
      <c r="S210" s="2202">
        <v>7</v>
      </c>
      <c r="T210" s="2202">
        <v>7</v>
      </c>
      <c r="U210" s="2481"/>
    </row>
    <row r="211" spans="1:21" ht="15" customHeight="1" x14ac:dyDescent="0.2">
      <c r="A211" s="2031"/>
      <c r="B211" s="2039"/>
      <c r="C211" s="2033"/>
      <c r="D211" s="2029"/>
      <c r="E211" s="2022"/>
      <c r="F211" s="2263"/>
      <c r="G211" s="72"/>
      <c r="H211" s="72"/>
      <c r="I211" s="36"/>
      <c r="J211" s="140"/>
      <c r="K211" s="72"/>
      <c r="L211" s="36"/>
      <c r="M211" s="97"/>
      <c r="N211" s="72"/>
      <c r="O211" s="36"/>
      <c r="P211" s="97"/>
      <c r="Q211" s="2186"/>
      <c r="R211" s="2203"/>
      <c r="S211" s="2203"/>
      <c r="T211" s="2203"/>
      <c r="U211" s="2482"/>
    </row>
    <row r="212" spans="1:21" ht="15" customHeight="1" x14ac:dyDescent="0.2">
      <c r="A212" s="2031"/>
      <c r="B212" s="2039"/>
      <c r="C212" s="2033"/>
      <c r="D212" s="1996" t="s">
        <v>295</v>
      </c>
      <c r="E212" s="2122"/>
      <c r="F212" s="2263"/>
      <c r="G212" s="73"/>
      <c r="H212" s="73"/>
      <c r="I212" s="42"/>
      <c r="J212" s="530"/>
      <c r="K212" s="73"/>
      <c r="L212" s="42"/>
      <c r="M212" s="1198"/>
      <c r="N212" s="73"/>
      <c r="O212" s="42"/>
      <c r="P212" s="530"/>
      <c r="Q212" s="1652" t="s">
        <v>174</v>
      </c>
      <c r="R212" s="961"/>
      <c r="S212" s="1709"/>
      <c r="T212" s="1709"/>
      <c r="U212" s="1714"/>
    </row>
    <row r="213" spans="1:21" ht="15" customHeight="1" x14ac:dyDescent="0.2">
      <c r="A213" s="2031"/>
      <c r="B213" s="2039"/>
      <c r="C213" s="2033"/>
      <c r="D213" s="2028"/>
      <c r="E213" s="2122"/>
      <c r="F213" s="2263"/>
      <c r="G213" s="69"/>
      <c r="H213" s="69"/>
      <c r="I213" s="177"/>
      <c r="J213" s="52"/>
      <c r="K213" s="69"/>
      <c r="L213" s="177"/>
      <c r="M213" s="96"/>
      <c r="N213" s="69"/>
      <c r="O213" s="177"/>
      <c r="P213" s="52"/>
      <c r="Q213" s="1651" t="s">
        <v>318</v>
      </c>
      <c r="R213" s="232">
        <v>1</v>
      </c>
      <c r="S213" s="1710">
        <v>1</v>
      </c>
      <c r="T213" s="1710">
        <v>1</v>
      </c>
      <c r="U213" s="1715"/>
    </row>
    <row r="214" spans="1:21" ht="25.5" customHeight="1" x14ac:dyDescent="0.2">
      <c r="A214" s="2031"/>
      <c r="B214" s="2039"/>
      <c r="C214" s="2033"/>
      <c r="D214" s="2028"/>
      <c r="E214" s="2122"/>
      <c r="F214" s="2263"/>
      <c r="G214" s="69"/>
      <c r="H214" s="69"/>
      <c r="I214" s="177"/>
      <c r="J214" s="52"/>
      <c r="K214" s="69"/>
      <c r="L214" s="177"/>
      <c r="M214" s="85"/>
      <c r="N214" s="69"/>
      <c r="O214" s="177"/>
      <c r="P214" s="52"/>
      <c r="Q214" s="1651" t="s">
        <v>317</v>
      </c>
      <c r="R214" s="232">
        <v>1</v>
      </c>
      <c r="S214" s="1710">
        <v>1</v>
      </c>
      <c r="T214" s="1710">
        <v>1</v>
      </c>
      <c r="U214" s="1715"/>
    </row>
    <row r="215" spans="1:21" ht="12.75" customHeight="1" x14ac:dyDescent="0.2">
      <c r="A215" s="1637"/>
      <c r="B215" s="1664"/>
      <c r="C215" s="1639"/>
      <c r="D215" s="1649"/>
      <c r="E215" s="1631"/>
      <c r="F215" s="1629"/>
      <c r="G215" s="69"/>
      <c r="H215" s="69"/>
      <c r="I215" s="177"/>
      <c r="J215" s="52"/>
      <c r="K215" s="85"/>
      <c r="L215" s="177"/>
      <c r="M215" s="85"/>
      <c r="N215" s="69"/>
      <c r="O215" s="177"/>
      <c r="P215" s="52"/>
      <c r="Q215" s="1651" t="s">
        <v>249</v>
      </c>
      <c r="R215" s="232">
        <v>1</v>
      </c>
      <c r="S215" s="1710">
        <v>1</v>
      </c>
      <c r="T215" s="1710"/>
      <c r="U215" s="1715"/>
    </row>
    <row r="216" spans="1:21" ht="15" customHeight="1" x14ac:dyDescent="0.2">
      <c r="A216" s="1637"/>
      <c r="B216" s="1664"/>
      <c r="C216" s="1639"/>
      <c r="D216" s="1649"/>
      <c r="E216" s="1634"/>
      <c r="F216" s="1629"/>
      <c r="G216" s="69"/>
      <c r="H216" s="69"/>
      <c r="I216" s="177"/>
      <c r="J216" s="52"/>
      <c r="K216" s="85"/>
      <c r="L216" s="177"/>
      <c r="M216" s="85"/>
      <c r="N216" s="69"/>
      <c r="O216" s="177"/>
      <c r="P216" s="52"/>
      <c r="Q216" s="1651" t="s">
        <v>248</v>
      </c>
      <c r="R216" s="232">
        <v>1</v>
      </c>
      <c r="S216" s="1710">
        <v>1</v>
      </c>
      <c r="T216" s="1710">
        <v>1</v>
      </c>
      <c r="U216" s="1964"/>
    </row>
    <row r="217" spans="1:21" ht="153" customHeight="1" x14ac:dyDescent="0.2">
      <c r="A217" s="1939"/>
      <c r="B217" s="1940"/>
      <c r="C217" s="1941"/>
      <c r="D217" s="1948"/>
      <c r="E217" s="1947"/>
      <c r="F217" s="1936"/>
      <c r="G217" s="69"/>
      <c r="H217" s="69"/>
      <c r="I217" s="177"/>
      <c r="J217" s="52"/>
      <c r="K217" s="85"/>
      <c r="L217" s="177"/>
      <c r="M217" s="85"/>
      <c r="N217" s="69"/>
      <c r="O217" s="177"/>
      <c r="P217" s="52"/>
      <c r="Q217" s="1957" t="s">
        <v>424</v>
      </c>
      <c r="R217" s="1952">
        <v>1</v>
      </c>
      <c r="S217" s="1953">
        <v>1</v>
      </c>
      <c r="T217" s="1953">
        <v>1</v>
      </c>
      <c r="U217" s="1973" t="s">
        <v>425</v>
      </c>
    </row>
    <row r="218" spans="1:21" ht="22.5" customHeight="1" x14ac:dyDescent="0.2">
      <c r="A218" s="2031"/>
      <c r="B218" s="2039"/>
      <c r="C218" s="2033"/>
      <c r="D218" s="1996" t="s">
        <v>126</v>
      </c>
      <c r="E218" s="2011" t="s">
        <v>302</v>
      </c>
      <c r="F218" s="2263"/>
      <c r="G218" s="73"/>
      <c r="H218" s="73"/>
      <c r="I218" s="42"/>
      <c r="J218" s="158"/>
      <c r="K218" s="99"/>
      <c r="L218" s="42"/>
      <c r="M218" s="99"/>
      <c r="N218" s="73"/>
      <c r="O218" s="42"/>
      <c r="P218" s="158"/>
      <c r="Q218" s="1702" t="s">
        <v>250</v>
      </c>
      <c r="R218" s="651">
        <v>205</v>
      </c>
      <c r="S218" s="511"/>
      <c r="T218" s="511"/>
      <c r="U218" s="993"/>
    </row>
    <row r="219" spans="1:21" ht="26.25" customHeight="1" x14ac:dyDescent="0.2">
      <c r="A219" s="2031"/>
      <c r="B219" s="2039"/>
      <c r="C219" s="2033"/>
      <c r="D219" s="2029"/>
      <c r="E219" s="2023"/>
      <c r="F219" s="2263"/>
      <c r="G219" s="72"/>
      <c r="H219" s="72"/>
      <c r="I219" s="36"/>
      <c r="J219" s="140"/>
      <c r="K219" s="72"/>
      <c r="L219" s="36"/>
      <c r="M219" s="124"/>
      <c r="N219" s="72"/>
      <c r="O219" s="36"/>
      <c r="P219" s="140"/>
      <c r="Q219" s="1653" t="s">
        <v>251</v>
      </c>
      <c r="R219" s="883">
        <f>65+18</f>
        <v>83</v>
      </c>
      <c r="S219" s="884">
        <v>100</v>
      </c>
      <c r="T219" s="512"/>
      <c r="U219" s="527"/>
    </row>
    <row r="220" spans="1:21" ht="19.5" customHeight="1" x14ac:dyDescent="0.2">
      <c r="A220" s="1703"/>
      <c r="B220" s="1664"/>
      <c r="C220" s="172"/>
      <c r="D220" s="1996" t="s">
        <v>190</v>
      </c>
      <c r="E220" s="1670"/>
      <c r="F220" s="1629"/>
      <c r="G220" s="54"/>
      <c r="H220" s="69"/>
      <c r="I220" s="177"/>
      <c r="J220" s="52"/>
      <c r="K220" s="69"/>
      <c r="L220" s="177"/>
      <c r="M220" s="85"/>
      <c r="N220" s="69"/>
      <c r="O220" s="177"/>
      <c r="P220" s="52"/>
      <c r="Q220" s="1659" t="s">
        <v>191</v>
      </c>
      <c r="R220" s="199">
        <v>1</v>
      </c>
      <c r="S220" s="332"/>
      <c r="T220" s="569"/>
      <c r="U220" s="1697"/>
    </row>
    <row r="221" spans="1:21" ht="15" customHeight="1" x14ac:dyDescent="0.2">
      <c r="A221" s="1703"/>
      <c r="B221" s="1664"/>
      <c r="C221" s="172"/>
      <c r="D221" s="2028"/>
      <c r="E221" s="1670"/>
      <c r="F221" s="1629"/>
      <c r="G221" s="791"/>
      <c r="H221" s="72"/>
      <c r="I221" s="36"/>
      <c r="J221" s="140"/>
      <c r="K221" s="72"/>
      <c r="L221" s="36"/>
      <c r="M221" s="97"/>
      <c r="N221" s="72"/>
      <c r="O221" s="36"/>
      <c r="P221" s="97"/>
      <c r="Q221" s="1659"/>
      <c r="R221" s="248"/>
      <c r="S221" s="232"/>
      <c r="T221" s="1710"/>
      <c r="U221" s="1715"/>
    </row>
    <row r="222" spans="1:21" ht="16.5" customHeight="1" thickBot="1" x14ac:dyDescent="0.25">
      <c r="A222" s="58"/>
      <c r="B222" s="1646"/>
      <c r="C222" s="81"/>
      <c r="D222" s="181"/>
      <c r="E222" s="592"/>
      <c r="F222" s="81"/>
      <c r="G222" s="75" t="s">
        <v>6</v>
      </c>
      <c r="H222" s="143">
        <f t="shared" ref="H222:P222" si="12">SUM(H192:H221)</f>
        <v>5841.1</v>
      </c>
      <c r="I222" s="145">
        <f t="shared" si="12"/>
        <v>5986.1</v>
      </c>
      <c r="J222" s="145">
        <f t="shared" si="12"/>
        <v>145</v>
      </c>
      <c r="K222" s="143">
        <f t="shared" si="12"/>
        <v>5449.7</v>
      </c>
      <c r="L222" s="145">
        <f t="shared" si="12"/>
        <v>5737.1</v>
      </c>
      <c r="M222" s="169">
        <f t="shared" si="12"/>
        <v>287.39999999999998</v>
      </c>
      <c r="N222" s="143">
        <f t="shared" si="12"/>
        <v>5357.4</v>
      </c>
      <c r="O222" s="145">
        <f t="shared" si="12"/>
        <v>5545.8</v>
      </c>
      <c r="P222" s="169">
        <f t="shared" si="12"/>
        <v>287.39999999999998</v>
      </c>
      <c r="Q222" s="572"/>
      <c r="R222" s="149"/>
      <c r="S222" s="485"/>
      <c r="T222" s="148"/>
      <c r="U222" s="34"/>
    </row>
    <row r="223" spans="1:21" ht="27.75" customHeight="1" x14ac:dyDescent="0.2">
      <c r="A223" s="1698" t="s">
        <v>5</v>
      </c>
      <c r="B223" s="1699" t="s">
        <v>7</v>
      </c>
      <c r="C223" s="1647" t="s">
        <v>7</v>
      </c>
      <c r="D223" s="731" t="s">
        <v>270</v>
      </c>
      <c r="E223" s="722"/>
      <c r="F223" s="725"/>
      <c r="G223" s="60"/>
      <c r="H223" s="66"/>
      <c r="I223" s="151"/>
      <c r="J223" s="979"/>
      <c r="K223" s="726"/>
      <c r="L223" s="982"/>
      <c r="M223" s="726"/>
      <c r="N223" s="60"/>
      <c r="O223" s="982"/>
      <c r="P223" s="983"/>
      <c r="Q223" s="727"/>
      <c r="R223" s="728"/>
      <c r="S223" s="729"/>
      <c r="T223" s="729"/>
      <c r="U223" s="262"/>
    </row>
    <row r="224" spans="1:21" ht="14.25" customHeight="1" x14ac:dyDescent="0.2">
      <c r="A224" s="1703"/>
      <c r="B224" s="1664"/>
      <c r="C224" s="172"/>
      <c r="D224" s="1996" t="s">
        <v>119</v>
      </c>
      <c r="E224" s="2011" t="s">
        <v>228</v>
      </c>
      <c r="F224" s="1635">
        <v>6</v>
      </c>
      <c r="G224" s="73" t="s">
        <v>68</v>
      </c>
      <c r="H224" s="73">
        <f>33.4+48</f>
        <v>81.400000000000006</v>
      </c>
      <c r="I224" s="42">
        <f>33.4+48</f>
        <v>81.400000000000006</v>
      </c>
      <c r="J224" s="158"/>
      <c r="K224" s="73">
        <v>80</v>
      </c>
      <c r="L224" s="42">
        <v>80</v>
      </c>
      <c r="M224" s="158"/>
      <c r="N224" s="73"/>
      <c r="O224" s="42"/>
      <c r="P224" s="158"/>
      <c r="Q224" s="1651" t="s">
        <v>193</v>
      </c>
      <c r="R224" s="1713">
        <v>8</v>
      </c>
      <c r="S224" s="1713">
        <v>5</v>
      </c>
      <c r="T224" s="1709"/>
      <c r="U224" s="1715"/>
    </row>
    <row r="225" spans="1:22" ht="13.5" customHeight="1" x14ac:dyDescent="0.2">
      <c r="A225" s="1703"/>
      <c r="B225" s="1664"/>
      <c r="C225" s="172"/>
      <c r="D225" s="2028"/>
      <c r="E225" s="2022"/>
      <c r="F225" s="1635"/>
      <c r="G225" s="69" t="s">
        <v>75</v>
      </c>
      <c r="H225" s="69">
        <v>6.8</v>
      </c>
      <c r="I225" s="177">
        <v>6.8</v>
      </c>
      <c r="J225" s="52"/>
      <c r="K225" s="69"/>
      <c r="L225" s="177"/>
      <c r="M225" s="52"/>
      <c r="N225" s="69"/>
      <c r="O225" s="177"/>
      <c r="P225" s="52"/>
      <c r="Q225" s="1029"/>
      <c r="R225" s="525"/>
      <c r="S225" s="525"/>
      <c r="T225" s="267"/>
      <c r="U225" s="1715"/>
    </row>
    <row r="226" spans="1:22" ht="30" customHeight="1" x14ac:dyDescent="0.2">
      <c r="A226" s="1703"/>
      <c r="B226" s="1664"/>
      <c r="C226" s="172"/>
      <c r="D226" s="2184"/>
      <c r="E226" s="92"/>
      <c r="F226" s="1104"/>
      <c r="G226" s="72"/>
      <c r="H226" s="72"/>
      <c r="I226" s="36"/>
      <c r="J226" s="140"/>
      <c r="K226" s="72"/>
      <c r="L226" s="36"/>
      <c r="M226" s="140"/>
      <c r="N226" s="72"/>
      <c r="O226" s="36"/>
      <c r="P226" s="140"/>
      <c r="Q226" s="167" t="s">
        <v>120</v>
      </c>
      <c r="R226" s="19">
        <v>8</v>
      </c>
      <c r="S226" s="233">
        <v>5</v>
      </c>
      <c r="T226" s="41"/>
      <c r="U226" s="1715"/>
    </row>
    <row r="227" spans="1:22" ht="16.5" customHeight="1" x14ac:dyDescent="0.2">
      <c r="A227" s="249"/>
      <c r="B227" s="1662"/>
      <c r="C227" s="1635"/>
      <c r="D227" s="1996" t="s">
        <v>271</v>
      </c>
      <c r="E227" s="1631" t="s">
        <v>47</v>
      </c>
      <c r="F227" s="1629" t="s">
        <v>43</v>
      </c>
      <c r="G227" s="449" t="s">
        <v>68</v>
      </c>
      <c r="H227" s="69">
        <v>462.4</v>
      </c>
      <c r="I227" s="177">
        <v>462.4</v>
      </c>
      <c r="J227" s="52"/>
      <c r="K227" s="85">
        <v>160</v>
      </c>
      <c r="L227" s="177">
        <v>160</v>
      </c>
      <c r="M227" s="85"/>
      <c r="N227" s="69">
        <v>354.4</v>
      </c>
      <c r="O227" s="177">
        <v>354.4</v>
      </c>
      <c r="P227" s="52"/>
      <c r="Q227" s="1029" t="s">
        <v>243</v>
      </c>
      <c r="R227" s="610" t="s">
        <v>242</v>
      </c>
      <c r="S227" s="497"/>
      <c r="T227" s="497"/>
      <c r="U227" s="262"/>
    </row>
    <row r="228" spans="1:22" ht="15" customHeight="1" x14ac:dyDescent="0.2">
      <c r="A228" s="249"/>
      <c r="B228" s="1662"/>
      <c r="C228" s="1635"/>
      <c r="D228" s="2068"/>
      <c r="E228" s="1631"/>
      <c r="F228" s="1629"/>
      <c r="G228" s="449" t="s">
        <v>60</v>
      </c>
      <c r="H228" s="69">
        <v>0.4</v>
      </c>
      <c r="I228" s="177">
        <v>0.4</v>
      </c>
      <c r="J228" s="52"/>
      <c r="K228" s="85"/>
      <c r="L228" s="177"/>
      <c r="M228" s="85"/>
      <c r="N228" s="69"/>
      <c r="O228" s="177"/>
      <c r="P228" s="52"/>
      <c r="Q228" s="1622" t="s">
        <v>207</v>
      </c>
      <c r="R228" s="379" t="s">
        <v>55</v>
      </c>
      <c r="S228" s="159"/>
      <c r="T228" s="159"/>
      <c r="U228" s="262"/>
    </row>
    <row r="229" spans="1:22" ht="15.75" customHeight="1" x14ac:dyDescent="0.2">
      <c r="A229" s="249"/>
      <c r="B229" s="1662"/>
      <c r="C229" s="1635"/>
      <c r="D229" s="2068"/>
      <c r="E229" s="1631"/>
      <c r="F229" s="1629"/>
      <c r="G229" s="449"/>
      <c r="H229" s="69"/>
      <c r="I229" s="177"/>
      <c r="J229" s="52"/>
      <c r="K229" s="85"/>
      <c r="L229" s="177"/>
      <c r="M229" s="85"/>
      <c r="N229" s="69"/>
      <c r="O229" s="177"/>
      <c r="P229" s="52"/>
      <c r="Q229" s="1621" t="s">
        <v>244</v>
      </c>
      <c r="R229" s="379"/>
      <c r="S229" s="159"/>
      <c r="T229" s="159" t="s">
        <v>182</v>
      </c>
      <c r="U229" s="262"/>
    </row>
    <row r="230" spans="1:22" ht="40.5" customHeight="1" x14ac:dyDescent="0.2">
      <c r="A230" s="249"/>
      <c r="B230" s="1662"/>
      <c r="C230" s="1635"/>
      <c r="D230" s="1626"/>
      <c r="E230" s="1631"/>
      <c r="F230" s="1633"/>
      <c r="G230" s="61"/>
      <c r="H230" s="72"/>
      <c r="I230" s="36"/>
      <c r="J230" s="140"/>
      <c r="K230" s="124"/>
      <c r="L230" s="36"/>
      <c r="M230" s="124"/>
      <c r="N230" s="72"/>
      <c r="O230" s="36"/>
      <c r="P230" s="140"/>
      <c r="Q230" s="1665" t="s">
        <v>309</v>
      </c>
      <c r="R230" s="744"/>
      <c r="S230" s="338" t="s">
        <v>55</v>
      </c>
      <c r="T230" s="338"/>
      <c r="U230" s="262"/>
    </row>
    <row r="231" spans="1:22" ht="15.75" customHeight="1" thickBot="1" x14ac:dyDescent="0.25">
      <c r="A231" s="58"/>
      <c r="B231" s="1646"/>
      <c r="C231" s="81"/>
      <c r="D231" s="181"/>
      <c r="E231" s="592"/>
      <c r="F231" s="81"/>
      <c r="G231" s="75" t="s">
        <v>6</v>
      </c>
      <c r="H231" s="143">
        <f>SUM(H224:H230)</f>
        <v>551</v>
      </c>
      <c r="I231" s="145">
        <f>SUM(I224:I230)</f>
        <v>551</v>
      </c>
      <c r="J231" s="1122"/>
      <c r="K231" s="143">
        <f t="shared" ref="K231:P231" si="13">SUM(K224:K230)</f>
        <v>240</v>
      </c>
      <c r="L231" s="145">
        <f t="shared" si="13"/>
        <v>240</v>
      </c>
      <c r="M231" s="169">
        <f t="shared" si="13"/>
        <v>0</v>
      </c>
      <c r="N231" s="143">
        <f t="shared" si="13"/>
        <v>354.4</v>
      </c>
      <c r="O231" s="145">
        <f t="shared" si="13"/>
        <v>354.4</v>
      </c>
      <c r="P231" s="169">
        <f t="shared" si="13"/>
        <v>0</v>
      </c>
      <c r="Q231" s="1622"/>
      <c r="R231" s="177"/>
      <c r="S231" s="85"/>
      <c r="T231" s="33"/>
      <c r="U231" s="34"/>
    </row>
    <row r="232" spans="1:22" ht="14.25" customHeight="1" x14ac:dyDescent="0.2">
      <c r="A232" s="2337" t="s">
        <v>5</v>
      </c>
      <c r="B232" s="2332" t="s">
        <v>7</v>
      </c>
      <c r="C232" s="2108" t="s">
        <v>28</v>
      </c>
      <c r="D232" s="2350" t="s">
        <v>118</v>
      </c>
      <c r="E232" s="590" t="s">
        <v>47</v>
      </c>
      <c r="F232" s="2378">
        <v>5</v>
      </c>
      <c r="G232" s="54" t="s">
        <v>60</v>
      </c>
      <c r="H232" s="69">
        <v>113</v>
      </c>
      <c r="I232" s="405">
        <f>344.9+113</f>
        <v>457.9</v>
      </c>
      <c r="J232" s="528">
        <f>I232-H232</f>
        <v>344.9</v>
      </c>
      <c r="K232" s="85"/>
      <c r="L232" s="177"/>
      <c r="M232" s="85"/>
      <c r="N232" s="170"/>
      <c r="O232" s="144"/>
      <c r="P232" s="265"/>
      <c r="Q232" s="2380" t="s">
        <v>208</v>
      </c>
      <c r="R232" s="1192">
        <v>18</v>
      </c>
      <c r="S232" s="1191" t="s">
        <v>364</v>
      </c>
      <c r="T232" s="455"/>
      <c r="U232" s="2459" t="s">
        <v>426</v>
      </c>
    </row>
    <row r="233" spans="1:22" ht="14.25" customHeight="1" x14ac:dyDescent="0.2">
      <c r="A233" s="2062"/>
      <c r="B233" s="2171"/>
      <c r="C233" s="2058"/>
      <c r="D233" s="2028"/>
      <c r="E233" s="591" t="s">
        <v>229</v>
      </c>
      <c r="F233" s="2100"/>
      <c r="G233" s="54" t="s">
        <v>25</v>
      </c>
      <c r="H233" s="69"/>
      <c r="I233" s="405">
        <v>294.60000000000002</v>
      </c>
      <c r="J233" s="528">
        <f>I233-H233</f>
        <v>294.60000000000002</v>
      </c>
      <c r="K233" s="85">
        <v>639.5</v>
      </c>
      <c r="L233" s="405">
        <v>0</v>
      </c>
      <c r="M233" s="1042">
        <f>L233-K233</f>
        <v>-639.5</v>
      </c>
      <c r="N233" s="69"/>
      <c r="O233" s="177"/>
      <c r="P233" s="52"/>
      <c r="Q233" s="2006"/>
      <c r="R233" s="1713"/>
      <c r="S233" s="232"/>
      <c r="T233" s="1710"/>
      <c r="U233" s="2412"/>
    </row>
    <row r="234" spans="1:22" ht="107.25" customHeight="1" x14ac:dyDescent="0.2">
      <c r="A234" s="2062"/>
      <c r="B234" s="2171"/>
      <c r="C234" s="2058"/>
      <c r="D234" s="2028"/>
      <c r="E234" s="591"/>
      <c r="F234" s="2100"/>
      <c r="G234" s="54" t="s">
        <v>222</v>
      </c>
      <c r="H234" s="69">
        <v>4264.5</v>
      </c>
      <c r="I234" s="177">
        <v>4264.5</v>
      </c>
      <c r="J234" s="52"/>
      <c r="K234" s="85"/>
      <c r="L234" s="177"/>
      <c r="M234" s="85"/>
      <c r="N234" s="69"/>
      <c r="O234" s="177"/>
      <c r="P234" s="52"/>
      <c r="Q234" s="2381"/>
      <c r="R234" s="1713"/>
      <c r="S234" s="232"/>
      <c r="T234" s="1710"/>
      <c r="U234" s="2412"/>
    </row>
    <row r="235" spans="1:22" ht="16.5" customHeight="1" thickBot="1" x14ac:dyDescent="0.25">
      <c r="A235" s="2063"/>
      <c r="B235" s="2333"/>
      <c r="C235" s="2059"/>
      <c r="D235" s="181"/>
      <c r="E235" s="592"/>
      <c r="F235" s="2379"/>
      <c r="G235" s="75" t="s">
        <v>6</v>
      </c>
      <c r="H235" s="143">
        <f t="shared" ref="H235:P235" si="14">SUM(H232:H234)</f>
        <v>4377.5</v>
      </c>
      <c r="I235" s="145">
        <f>SUM(I232:I234)</f>
        <v>5017</v>
      </c>
      <c r="J235" s="145">
        <f>SUM(J232:J234)</f>
        <v>639.5</v>
      </c>
      <c r="K235" s="209">
        <f>SUM(K232:K234)</f>
        <v>639.5</v>
      </c>
      <c r="L235" s="145">
        <f t="shared" si="14"/>
        <v>0</v>
      </c>
      <c r="M235" s="209">
        <f t="shared" si="14"/>
        <v>-639.5</v>
      </c>
      <c r="N235" s="143">
        <f t="shared" si="14"/>
        <v>0</v>
      </c>
      <c r="O235" s="145">
        <f t="shared" si="14"/>
        <v>0</v>
      </c>
      <c r="P235" s="169">
        <f t="shared" si="14"/>
        <v>0</v>
      </c>
      <c r="Q235" s="1064"/>
      <c r="R235" s="149"/>
      <c r="S235" s="485"/>
      <c r="T235" s="148"/>
      <c r="U235" s="2416"/>
    </row>
    <row r="236" spans="1:22" s="5" customFormat="1" ht="14.25" customHeight="1" x14ac:dyDescent="0.25">
      <c r="A236" s="2337" t="s">
        <v>5</v>
      </c>
      <c r="B236" s="2332" t="s">
        <v>5</v>
      </c>
      <c r="C236" s="2108" t="s">
        <v>33</v>
      </c>
      <c r="D236" s="2371" t="s">
        <v>432</v>
      </c>
      <c r="E236" s="591" t="s">
        <v>229</v>
      </c>
      <c r="F236" s="1800" t="s">
        <v>55</v>
      </c>
      <c r="G236" s="1791" t="s">
        <v>60</v>
      </c>
      <c r="H236" s="170"/>
      <c r="I236" s="1792">
        <v>665</v>
      </c>
      <c r="J236" s="1795">
        <v>665</v>
      </c>
      <c r="K236" s="171"/>
      <c r="L236" s="1792"/>
      <c r="M236" s="1795"/>
      <c r="N236" s="171"/>
      <c r="O236" s="1792"/>
      <c r="P236" s="1795"/>
      <c r="Q236" s="2374" t="s">
        <v>407</v>
      </c>
      <c r="R236" s="1192">
        <v>100</v>
      </c>
      <c r="S236" s="2385"/>
      <c r="T236" s="2388"/>
      <c r="U236" s="2459" t="s">
        <v>405</v>
      </c>
      <c r="V236" s="1799"/>
    </row>
    <row r="237" spans="1:22" s="5" customFormat="1" ht="93" customHeight="1" x14ac:dyDescent="0.2">
      <c r="A237" s="2062"/>
      <c r="B237" s="2171"/>
      <c r="C237" s="2058"/>
      <c r="D237" s="2372"/>
      <c r="E237" s="1801"/>
      <c r="F237" s="1802"/>
      <c r="G237" s="1793"/>
      <c r="H237" s="72"/>
      <c r="I237" s="36"/>
      <c r="J237" s="140"/>
      <c r="K237" s="72"/>
      <c r="L237" s="36"/>
      <c r="M237" s="140"/>
      <c r="N237" s="72"/>
      <c r="O237" s="36"/>
      <c r="P237" s="140"/>
      <c r="Q237" s="2375"/>
      <c r="R237" s="1797"/>
      <c r="S237" s="2386"/>
      <c r="T237" s="2389"/>
      <c r="U237" s="2383"/>
    </row>
    <row r="238" spans="1:22" s="5" customFormat="1" ht="15.75" customHeight="1" thickBot="1" x14ac:dyDescent="0.25">
      <c r="A238" s="2063"/>
      <c r="B238" s="2333"/>
      <c r="C238" s="2059"/>
      <c r="D238" s="2373"/>
      <c r="E238" s="1803"/>
      <c r="F238" s="1804"/>
      <c r="G238" s="1794" t="s">
        <v>6</v>
      </c>
      <c r="H238" s="165">
        <f t="shared" ref="H238:P238" si="15">SUM(H236:H237)</f>
        <v>0</v>
      </c>
      <c r="I238" s="503">
        <f t="shared" si="15"/>
        <v>665</v>
      </c>
      <c r="J238" s="266">
        <f t="shared" si="15"/>
        <v>665</v>
      </c>
      <c r="K238" s="165">
        <f t="shared" si="15"/>
        <v>0</v>
      </c>
      <c r="L238" s="503">
        <f t="shared" si="15"/>
        <v>0</v>
      </c>
      <c r="M238" s="266">
        <f t="shared" si="15"/>
        <v>0</v>
      </c>
      <c r="N238" s="165">
        <f t="shared" si="15"/>
        <v>0</v>
      </c>
      <c r="O238" s="503">
        <f t="shared" si="15"/>
        <v>0</v>
      </c>
      <c r="P238" s="266">
        <f t="shared" si="15"/>
        <v>0</v>
      </c>
      <c r="Q238" s="2376"/>
      <c r="R238" s="1798"/>
      <c r="S238" s="2387"/>
      <c r="T238" s="2390"/>
      <c r="U238" s="2471"/>
    </row>
    <row r="239" spans="1:22" ht="14.25" customHeight="1" thickBot="1" x14ac:dyDescent="0.25">
      <c r="A239" s="76" t="s">
        <v>5</v>
      </c>
      <c r="B239" s="207" t="s">
        <v>7</v>
      </c>
      <c r="C239" s="2188" t="s">
        <v>8</v>
      </c>
      <c r="D239" s="2160"/>
      <c r="E239" s="2160"/>
      <c r="F239" s="2160"/>
      <c r="G239" s="2161"/>
      <c r="H239" s="261">
        <f>H235+H231+H222</f>
        <v>10769.6</v>
      </c>
      <c r="I239" s="261">
        <f>I235+I231+I222+I238</f>
        <v>12219.1</v>
      </c>
      <c r="J239" s="261">
        <f t="shared" ref="J239:P239" si="16">J235+J231+J222+J238</f>
        <v>1449.5</v>
      </c>
      <c r="K239" s="261">
        <f t="shared" si="16"/>
        <v>6329.2</v>
      </c>
      <c r="L239" s="261">
        <f t="shared" si="16"/>
        <v>5977.1</v>
      </c>
      <c r="M239" s="261">
        <f t="shared" si="16"/>
        <v>-352.1</v>
      </c>
      <c r="N239" s="261">
        <f t="shared" si="16"/>
        <v>5711.8</v>
      </c>
      <c r="O239" s="261">
        <f t="shared" si="16"/>
        <v>5900.2</v>
      </c>
      <c r="P239" s="261">
        <f t="shared" si="16"/>
        <v>287.39999999999998</v>
      </c>
      <c r="Q239" s="2382"/>
      <c r="R239" s="2162"/>
      <c r="S239" s="2162"/>
      <c r="T239" s="2162"/>
      <c r="U239" s="2163"/>
    </row>
    <row r="240" spans="1:22" ht="18" customHeight="1" thickBot="1" x14ac:dyDescent="0.25">
      <c r="A240" s="64" t="s">
        <v>5</v>
      </c>
      <c r="B240" s="207" t="s">
        <v>28</v>
      </c>
      <c r="C240" s="2164" t="s">
        <v>110</v>
      </c>
      <c r="D240" s="2165"/>
      <c r="E240" s="2165"/>
      <c r="F240" s="2165"/>
      <c r="G240" s="2165"/>
      <c r="H240" s="2165"/>
      <c r="I240" s="2165"/>
      <c r="J240" s="2165"/>
      <c r="K240" s="2165"/>
      <c r="L240" s="2165"/>
      <c r="M240" s="2165"/>
      <c r="N240" s="2165"/>
      <c r="O240" s="2165"/>
      <c r="P240" s="2165"/>
      <c r="Q240" s="2165"/>
      <c r="R240" s="2165"/>
      <c r="S240" s="2165"/>
      <c r="T240" s="2165"/>
      <c r="U240" s="2166"/>
    </row>
    <row r="241" spans="1:21" ht="14.1" customHeight="1" x14ac:dyDescent="0.2">
      <c r="A241" s="1644" t="s">
        <v>5</v>
      </c>
      <c r="B241" s="206" t="s">
        <v>28</v>
      </c>
      <c r="C241" s="967" t="s">
        <v>5</v>
      </c>
      <c r="D241" s="2196" t="s">
        <v>107</v>
      </c>
      <c r="E241" s="591" t="s">
        <v>229</v>
      </c>
      <c r="F241" s="304" t="s">
        <v>37</v>
      </c>
      <c r="G241" s="147" t="s">
        <v>25</v>
      </c>
      <c r="H241" s="170">
        <v>116.5</v>
      </c>
      <c r="I241" s="144">
        <f>76.5+40</f>
        <v>116.5</v>
      </c>
      <c r="J241" s="515"/>
      <c r="K241" s="170"/>
      <c r="L241" s="144"/>
      <c r="M241" s="515"/>
      <c r="N241" s="170"/>
      <c r="O241" s="144"/>
      <c r="P241" s="515"/>
      <c r="Q241" s="257"/>
      <c r="R241" s="175"/>
      <c r="S241" s="175"/>
      <c r="T241" s="175"/>
      <c r="U241" s="176"/>
    </row>
    <row r="242" spans="1:21" ht="14.1" customHeight="1" x14ac:dyDescent="0.2">
      <c r="A242" s="1637"/>
      <c r="B242" s="1664"/>
      <c r="C242" s="1639"/>
      <c r="D242" s="2197"/>
      <c r="E242" s="369"/>
      <c r="F242" s="1629"/>
      <c r="G242" s="54" t="s">
        <v>60</v>
      </c>
      <c r="H242" s="69">
        <v>31.9</v>
      </c>
      <c r="I242" s="177">
        <v>31.9</v>
      </c>
      <c r="J242" s="96"/>
      <c r="K242" s="69"/>
      <c r="L242" s="177"/>
      <c r="M242" s="85"/>
      <c r="N242" s="69"/>
      <c r="O242" s="177"/>
      <c r="P242" s="85"/>
      <c r="Q242" s="1651"/>
      <c r="R242" s="33"/>
      <c r="S242" s="33"/>
      <c r="T242" s="33"/>
      <c r="U242" s="34"/>
    </row>
    <row r="243" spans="1:21" ht="14.1" customHeight="1" x14ac:dyDescent="0.2">
      <c r="A243" s="1637"/>
      <c r="B243" s="1664"/>
      <c r="C243" s="1639"/>
      <c r="D243" s="2197"/>
      <c r="E243" s="369"/>
      <c r="F243" s="1629"/>
      <c r="G243" s="54" t="s">
        <v>68</v>
      </c>
      <c r="H243" s="69">
        <v>821.1</v>
      </c>
      <c r="I243" s="177">
        <v>821.1</v>
      </c>
      <c r="J243" s="96"/>
      <c r="K243" s="69">
        <v>777.8</v>
      </c>
      <c r="L243" s="177">
        <v>777.8</v>
      </c>
      <c r="M243" s="96"/>
      <c r="N243" s="69">
        <v>787.8</v>
      </c>
      <c r="O243" s="177">
        <v>787.8</v>
      </c>
      <c r="P243" s="96"/>
      <c r="Q243" s="1651"/>
      <c r="R243" s="33"/>
      <c r="S243" s="33"/>
      <c r="T243" s="33"/>
      <c r="U243" s="34"/>
    </row>
    <row r="244" spans="1:21" ht="14.1" customHeight="1" x14ac:dyDescent="0.2">
      <c r="A244" s="1637"/>
      <c r="B244" s="1664"/>
      <c r="C244" s="1639"/>
      <c r="D244" s="2197"/>
      <c r="E244" s="369"/>
      <c r="F244" s="1629"/>
      <c r="G244" s="54" t="s">
        <v>75</v>
      </c>
      <c r="H244" s="69">
        <f>36.6+1.4</f>
        <v>38</v>
      </c>
      <c r="I244" s="177">
        <f>36.6+1.4</f>
        <v>38</v>
      </c>
      <c r="J244" s="96"/>
      <c r="K244" s="69"/>
      <c r="L244" s="177"/>
      <c r="M244" s="85"/>
      <c r="N244" s="69"/>
      <c r="O244" s="177"/>
      <c r="P244" s="85"/>
      <c r="Q244" s="1651"/>
      <c r="R244" s="33"/>
      <c r="S244" s="33"/>
      <c r="T244" s="33"/>
      <c r="U244" s="34"/>
    </row>
    <row r="245" spans="1:21" ht="14.1" customHeight="1" x14ac:dyDescent="0.2">
      <c r="A245" s="1637"/>
      <c r="B245" s="1664"/>
      <c r="C245" s="1639"/>
      <c r="D245" s="2198"/>
      <c r="E245" s="369"/>
      <c r="F245" s="1629"/>
      <c r="G245" s="791" t="s">
        <v>99</v>
      </c>
      <c r="H245" s="72">
        <v>219</v>
      </c>
      <c r="I245" s="36">
        <f>344-125</f>
        <v>219</v>
      </c>
      <c r="J245" s="97"/>
      <c r="K245" s="72">
        <v>409</v>
      </c>
      <c r="L245" s="36">
        <f>240+169</f>
        <v>409</v>
      </c>
      <c r="M245" s="97"/>
      <c r="N245" s="72">
        <v>240</v>
      </c>
      <c r="O245" s="36">
        <v>240</v>
      </c>
      <c r="P245" s="97"/>
      <c r="Q245" s="1651"/>
      <c r="R245" s="33"/>
      <c r="S245" s="33"/>
      <c r="T245" s="33"/>
      <c r="U245" s="34"/>
    </row>
    <row r="246" spans="1:21" ht="25.5" customHeight="1" x14ac:dyDescent="0.2">
      <c r="A246" s="1637"/>
      <c r="B246" s="1664"/>
      <c r="C246" s="1639"/>
      <c r="D246" s="1625" t="s">
        <v>105</v>
      </c>
      <c r="E246" s="2042" t="s">
        <v>76</v>
      </c>
      <c r="F246" s="1633"/>
      <c r="G246" s="54" t="s">
        <v>75</v>
      </c>
      <c r="H246" s="69"/>
      <c r="I246" s="405">
        <v>-4.7</v>
      </c>
      <c r="J246" s="1071">
        <f>I246</f>
        <v>-4.7</v>
      </c>
      <c r="K246" s="69"/>
      <c r="L246" s="405"/>
      <c r="M246" s="528"/>
      <c r="N246" s="69"/>
      <c r="O246" s="177"/>
      <c r="P246" s="52"/>
      <c r="Q246" s="1704" t="s">
        <v>111</v>
      </c>
      <c r="R246" s="42">
        <v>14.5</v>
      </c>
      <c r="S246" s="1073">
        <v>14.5</v>
      </c>
      <c r="T246" s="1073">
        <v>14.5</v>
      </c>
      <c r="U246" s="2463" t="s">
        <v>427</v>
      </c>
    </row>
    <row r="247" spans="1:21" ht="15" customHeight="1" x14ac:dyDescent="0.2">
      <c r="A247" s="1637"/>
      <c r="B247" s="1664"/>
      <c r="C247" s="1639"/>
      <c r="D247" s="1627"/>
      <c r="E247" s="2215"/>
      <c r="F247" s="1629"/>
      <c r="G247" s="54" t="s">
        <v>60</v>
      </c>
      <c r="H247" s="69"/>
      <c r="I247" s="405">
        <v>-31.9</v>
      </c>
      <c r="J247" s="1071">
        <f>I247</f>
        <v>-31.9</v>
      </c>
      <c r="K247" s="69"/>
      <c r="L247" s="177"/>
      <c r="M247" s="52"/>
      <c r="N247" s="69"/>
      <c r="O247" s="177"/>
      <c r="P247" s="52"/>
      <c r="Q247" s="901" t="s">
        <v>38</v>
      </c>
      <c r="R247" s="22">
        <f>66+5</f>
        <v>71</v>
      </c>
      <c r="S247" s="134">
        <v>71</v>
      </c>
      <c r="T247" s="134">
        <v>71</v>
      </c>
      <c r="U247" s="2412"/>
    </row>
    <row r="248" spans="1:21" ht="15.75" customHeight="1" x14ac:dyDescent="0.2">
      <c r="A248" s="1637"/>
      <c r="B248" s="1664"/>
      <c r="C248" s="1639"/>
      <c r="D248" s="1627"/>
      <c r="E248" s="2216"/>
      <c r="F248" s="1629"/>
      <c r="G248" s="54"/>
      <c r="H248" s="69"/>
      <c r="I248" s="177"/>
      <c r="J248" s="96"/>
      <c r="K248" s="69"/>
      <c r="L248" s="177"/>
      <c r="M248" s="52"/>
      <c r="N248" s="69"/>
      <c r="O248" s="177"/>
      <c r="P248" s="52"/>
      <c r="Q248" s="1668" t="s">
        <v>294</v>
      </c>
      <c r="R248" s="22">
        <v>100</v>
      </c>
      <c r="S248" s="679"/>
      <c r="T248" s="679"/>
      <c r="U248" s="2412"/>
    </row>
    <row r="249" spans="1:21" ht="27" customHeight="1" x14ac:dyDescent="0.2">
      <c r="A249" s="1637"/>
      <c r="B249" s="1664"/>
      <c r="C249" s="1639"/>
      <c r="D249" s="1627"/>
      <c r="E249" s="1670"/>
      <c r="F249" s="1629"/>
      <c r="G249" s="54"/>
      <c r="H249" s="69"/>
      <c r="I249" s="405"/>
      <c r="J249" s="1071"/>
      <c r="K249" s="69"/>
      <c r="L249" s="177"/>
      <c r="M249" s="52"/>
      <c r="N249" s="69"/>
      <c r="O249" s="177"/>
      <c r="P249" s="52"/>
      <c r="Q249" s="1668" t="s">
        <v>319</v>
      </c>
      <c r="R249" s="1134" t="s">
        <v>182</v>
      </c>
      <c r="S249" s="1710">
        <v>100</v>
      </c>
      <c r="T249" s="33"/>
      <c r="U249" s="2412"/>
    </row>
    <row r="250" spans="1:21" ht="27" customHeight="1" x14ac:dyDescent="0.2">
      <c r="A250" s="1637"/>
      <c r="B250" s="1664"/>
      <c r="C250" s="1639"/>
      <c r="D250" s="1627"/>
      <c r="E250" s="1670"/>
      <c r="F250" s="1629"/>
      <c r="G250" s="54"/>
      <c r="H250" s="69"/>
      <c r="I250" s="177"/>
      <c r="J250" s="96"/>
      <c r="K250" s="69"/>
      <c r="L250" s="177"/>
      <c r="M250" s="52"/>
      <c r="N250" s="69"/>
      <c r="O250" s="177"/>
      <c r="P250" s="52"/>
      <c r="Q250" s="901" t="s">
        <v>320</v>
      </c>
      <c r="R250" s="22">
        <v>1</v>
      </c>
      <c r="S250" s="657"/>
      <c r="T250" s="657"/>
      <c r="U250" s="440"/>
    </row>
    <row r="251" spans="1:21" ht="19.5" customHeight="1" x14ac:dyDescent="0.2">
      <c r="A251" s="1637"/>
      <c r="B251" s="1664"/>
      <c r="C251" s="1639"/>
      <c r="D251" s="1627"/>
      <c r="E251" s="1670"/>
      <c r="F251" s="1629"/>
      <c r="G251" s="54"/>
      <c r="H251" s="970"/>
      <c r="I251" s="583"/>
      <c r="J251" s="984"/>
      <c r="K251" s="970"/>
      <c r="L251" s="583"/>
      <c r="M251" s="783"/>
      <c r="N251" s="970"/>
      <c r="O251" s="583"/>
      <c r="P251" s="783"/>
      <c r="Q251" s="2464" t="s">
        <v>351</v>
      </c>
      <c r="R251" s="1713">
        <v>5</v>
      </c>
      <c r="S251" s="513">
        <v>3</v>
      </c>
      <c r="T251" s="513"/>
      <c r="U251" s="2383"/>
    </row>
    <row r="252" spans="1:21" ht="48" customHeight="1" x14ac:dyDescent="0.2">
      <c r="A252" s="1637"/>
      <c r="B252" s="1664"/>
      <c r="C252" s="1639"/>
      <c r="D252" s="1627"/>
      <c r="E252" s="1670"/>
      <c r="F252" s="1629"/>
      <c r="G252" s="791"/>
      <c r="H252" s="971"/>
      <c r="I252" s="988"/>
      <c r="J252" s="985"/>
      <c r="K252" s="971"/>
      <c r="L252" s="988"/>
      <c r="M252" s="989"/>
      <c r="N252" s="971"/>
      <c r="O252" s="988"/>
      <c r="P252" s="989"/>
      <c r="Q252" s="2377"/>
      <c r="R252" s="525"/>
      <c r="S252" s="573"/>
      <c r="T252" s="573"/>
      <c r="U252" s="2384"/>
    </row>
    <row r="253" spans="1:21" ht="14.25" customHeight="1" x14ac:dyDescent="0.2">
      <c r="A253" s="1637"/>
      <c r="B253" s="1664"/>
      <c r="C253" s="1639"/>
      <c r="D253" s="1625" t="s">
        <v>64</v>
      </c>
      <c r="E253" s="247"/>
      <c r="F253" s="1639"/>
      <c r="G253" s="54"/>
      <c r="H253" s="73"/>
      <c r="I253" s="42"/>
      <c r="J253" s="98"/>
      <c r="K253" s="73"/>
      <c r="L253" s="42"/>
      <c r="M253" s="158"/>
      <c r="N253" s="73"/>
      <c r="O253" s="42"/>
      <c r="P253" s="158"/>
      <c r="Q253" s="1671" t="s">
        <v>81</v>
      </c>
      <c r="R253" s="1712">
        <v>1</v>
      </c>
      <c r="S253" s="961">
        <v>1</v>
      </c>
      <c r="T253" s="1709">
        <v>1</v>
      </c>
      <c r="U253" s="1715"/>
    </row>
    <row r="254" spans="1:21" ht="6.75" customHeight="1" x14ac:dyDescent="0.2">
      <c r="A254" s="1637"/>
      <c r="B254" s="1664"/>
      <c r="C254" s="1639"/>
      <c r="D254" s="1628"/>
      <c r="E254" s="112"/>
      <c r="F254" s="1639"/>
      <c r="G254" s="791"/>
      <c r="H254" s="72"/>
      <c r="I254" s="36"/>
      <c r="J254" s="97"/>
      <c r="K254" s="72"/>
      <c r="L254" s="36"/>
      <c r="M254" s="124"/>
      <c r="N254" s="72"/>
      <c r="O254" s="36"/>
      <c r="P254" s="124"/>
      <c r="Q254" s="167"/>
      <c r="R254" s="19"/>
      <c r="S254" s="233"/>
      <c r="T254" s="41"/>
      <c r="U254" s="1715"/>
    </row>
    <row r="255" spans="1:21" ht="13.5" customHeight="1" x14ac:dyDescent="0.2">
      <c r="A255" s="1637"/>
      <c r="B255" s="1664"/>
      <c r="C255" s="1639"/>
      <c r="D255" s="2046" t="s">
        <v>113</v>
      </c>
      <c r="E255" s="575"/>
      <c r="F255" s="348"/>
      <c r="G255" s="790"/>
      <c r="H255" s="73"/>
      <c r="I255" s="42"/>
      <c r="J255" s="98"/>
      <c r="K255" s="73"/>
      <c r="L255" s="42"/>
      <c r="M255" s="98"/>
      <c r="N255" s="73"/>
      <c r="O255" s="42"/>
      <c r="P255" s="98"/>
      <c r="Q255" s="2054" t="s">
        <v>321</v>
      </c>
      <c r="R255" s="1712">
        <v>14</v>
      </c>
      <c r="S255" s="1709">
        <v>14</v>
      </c>
      <c r="T255" s="1709">
        <v>14</v>
      </c>
      <c r="U255" s="1715"/>
    </row>
    <row r="256" spans="1:21" ht="15.75" customHeight="1" x14ac:dyDescent="0.2">
      <c r="A256" s="1637"/>
      <c r="B256" s="1664"/>
      <c r="C256" s="1639"/>
      <c r="D256" s="2214"/>
      <c r="E256" s="451"/>
      <c r="F256" s="348"/>
      <c r="G256" s="791"/>
      <c r="H256" s="72"/>
      <c r="I256" s="36"/>
      <c r="J256" s="124"/>
      <c r="K256" s="72"/>
      <c r="L256" s="36"/>
      <c r="M256" s="124"/>
      <c r="N256" s="72"/>
      <c r="O256" s="36"/>
      <c r="P256" s="124"/>
      <c r="Q256" s="2217"/>
      <c r="R256" s="19"/>
      <c r="S256" s="233"/>
      <c r="T256" s="41"/>
      <c r="U256" s="1715"/>
    </row>
    <row r="257" spans="1:21" ht="29.25" customHeight="1" x14ac:dyDescent="0.2">
      <c r="A257" s="1637"/>
      <c r="B257" s="1664"/>
      <c r="C257" s="1639"/>
      <c r="D257" s="458" t="s">
        <v>106</v>
      </c>
      <c r="E257" s="902"/>
      <c r="F257" s="1634"/>
      <c r="G257" s="791"/>
      <c r="H257" s="560"/>
      <c r="I257" s="398"/>
      <c r="J257" s="488"/>
      <c r="K257" s="560"/>
      <c r="L257" s="398"/>
      <c r="M257" s="488"/>
      <c r="N257" s="560"/>
      <c r="O257" s="398"/>
      <c r="P257" s="488"/>
      <c r="Q257" s="167" t="s">
        <v>133</v>
      </c>
      <c r="R257" s="46">
        <v>172</v>
      </c>
      <c r="S257" s="46">
        <v>174</v>
      </c>
      <c r="T257" s="46">
        <v>175</v>
      </c>
      <c r="U257" s="976"/>
    </row>
    <row r="258" spans="1:21" ht="14.25" customHeight="1" x14ac:dyDescent="0.2">
      <c r="A258" s="1703"/>
      <c r="B258" s="1664"/>
      <c r="C258" s="172"/>
      <c r="D258" s="1996" t="s">
        <v>148</v>
      </c>
      <c r="E258" s="1624" t="s">
        <v>47</v>
      </c>
      <c r="F258" s="1642"/>
      <c r="G258" s="54"/>
      <c r="H258" s="69"/>
      <c r="I258" s="177"/>
      <c r="J258" s="85"/>
      <c r="K258" s="69"/>
      <c r="L258" s="177"/>
      <c r="M258" s="85"/>
      <c r="N258" s="69"/>
      <c r="O258" s="177"/>
      <c r="P258" s="85"/>
      <c r="Q258" s="2054" t="s">
        <v>130</v>
      </c>
      <c r="R258" s="350">
        <v>15</v>
      </c>
      <c r="S258" s="360"/>
      <c r="T258" s="155"/>
      <c r="U258" s="166"/>
    </row>
    <row r="259" spans="1:21" ht="14.25" customHeight="1" x14ac:dyDescent="0.2">
      <c r="A259" s="1703"/>
      <c r="B259" s="1664"/>
      <c r="C259" s="79"/>
      <c r="D259" s="2028"/>
      <c r="E259" s="905"/>
      <c r="F259" s="1633"/>
      <c r="G259" s="791"/>
      <c r="H259" s="72"/>
      <c r="I259" s="36"/>
      <c r="J259" s="97"/>
      <c r="K259" s="72"/>
      <c r="L259" s="36"/>
      <c r="M259" s="97"/>
      <c r="N259" s="72"/>
      <c r="O259" s="36"/>
      <c r="P259" s="97"/>
      <c r="Q259" s="2176"/>
      <c r="R259" s="350"/>
      <c r="S259" s="360"/>
      <c r="T259" s="155"/>
      <c r="U259" s="166"/>
    </row>
    <row r="260" spans="1:21" ht="16.5" customHeight="1" thickBot="1" x14ac:dyDescent="0.25">
      <c r="A260" s="1703"/>
      <c r="B260" s="1664"/>
      <c r="C260" s="86"/>
      <c r="D260" s="181"/>
      <c r="E260" s="904"/>
      <c r="F260" s="74"/>
      <c r="G260" s="111" t="s">
        <v>6</v>
      </c>
      <c r="H260" s="165">
        <f t="shared" ref="H260:P260" si="17">SUM(H241:H259)</f>
        <v>1226.5</v>
      </c>
      <c r="I260" s="503">
        <f t="shared" si="17"/>
        <v>1189.9000000000001</v>
      </c>
      <c r="J260" s="476">
        <f t="shared" si="17"/>
        <v>-36.6</v>
      </c>
      <c r="K260" s="165">
        <f t="shared" si="17"/>
        <v>1186.8</v>
      </c>
      <c r="L260" s="503">
        <f t="shared" si="17"/>
        <v>1186.8</v>
      </c>
      <c r="M260" s="476">
        <f t="shared" si="17"/>
        <v>0</v>
      </c>
      <c r="N260" s="165">
        <f t="shared" si="17"/>
        <v>1027.8</v>
      </c>
      <c r="O260" s="503">
        <f t="shared" si="17"/>
        <v>1027.8</v>
      </c>
      <c r="P260" s="476">
        <f t="shared" si="17"/>
        <v>0</v>
      </c>
      <c r="Q260" s="390"/>
      <c r="R260" s="149"/>
      <c r="S260" s="485"/>
      <c r="T260" s="148"/>
      <c r="U260" s="34"/>
    </row>
    <row r="261" spans="1:21" ht="13.5" customHeight="1" x14ac:dyDescent="0.2">
      <c r="A261" s="2104" t="s">
        <v>5</v>
      </c>
      <c r="B261" s="2106" t="s">
        <v>28</v>
      </c>
      <c r="C261" s="2108" t="s">
        <v>7</v>
      </c>
      <c r="D261" s="2350" t="s">
        <v>297</v>
      </c>
      <c r="E261" s="2112" t="s">
        <v>229</v>
      </c>
      <c r="F261" s="2399" t="s">
        <v>55</v>
      </c>
      <c r="G261" s="82" t="s">
        <v>25</v>
      </c>
      <c r="H261" s="170">
        <v>136.80000000000001</v>
      </c>
      <c r="I261" s="144">
        <v>136.80000000000001</v>
      </c>
      <c r="J261" s="265"/>
      <c r="K261" s="170">
        <v>146.69999999999999</v>
      </c>
      <c r="L261" s="144">
        <v>146.69999999999999</v>
      </c>
      <c r="M261" s="171"/>
      <c r="N261" s="170">
        <v>146.69999999999999</v>
      </c>
      <c r="O261" s="144">
        <v>146.69999999999999</v>
      </c>
      <c r="P261" s="171"/>
      <c r="Q261" s="1659" t="s">
        <v>67</v>
      </c>
      <c r="R261" s="199">
        <v>18</v>
      </c>
      <c r="S261" s="332">
        <v>18</v>
      </c>
      <c r="T261" s="569">
        <v>18</v>
      </c>
      <c r="U261" s="1697"/>
    </row>
    <row r="262" spans="1:21" ht="12.75" customHeight="1" x14ac:dyDescent="0.2">
      <c r="A262" s="2031"/>
      <c r="B262" s="2039"/>
      <c r="C262" s="2058"/>
      <c r="D262" s="2028"/>
      <c r="E262" s="2113"/>
      <c r="F262" s="2263"/>
      <c r="G262" s="61"/>
      <c r="H262" s="120"/>
      <c r="I262" s="131"/>
      <c r="J262" s="292"/>
      <c r="K262" s="120"/>
      <c r="L262" s="131"/>
      <c r="M262" s="101"/>
      <c r="N262" s="120"/>
      <c r="O262" s="131"/>
      <c r="P262" s="292"/>
      <c r="Q262" s="1659" t="s">
        <v>82</v>
      </c>
      <c r="R262" s="1713">
        <v>7</v>
      </c>
      <c r="S262" s="232">
        <v>7</v>
      </c>
      <c r="T262" s="1710">
        <v>7</v>
      </c>
      <c r="U262" s="1715"/>
    </row>
    <row r="263" spans="1:21" ht="16.5" customHeight="1" thickBot="1" x14ac:dyDescent="0.25">
      <c r="A263" s="2105"/>
      <c r="B263" s="2107"/>
      <c r="C263" s="2059"/>
      <c r="D263" s="2351"/>
      <c r="E263" s="2114"/>
      <c r="F263" s="2400"/>
      <c r="G263" s="111" t="s">
        <v>6</v>
      </c>
      <c r="H263" s="165">
        <f t="shared" ref="H263:P263" si="18">SUM(H261:H262)</f>
        <v>136.80000000000001</v>
      </c>
      <c r="I263" s="503">
        <f t="shared" si="18"/>
        <v>136.80000000000001</v>
      </c>
      <c r="J263" s="476">
        <f t="shared" si="18"/>
        <v>0</v>
      </c>
      <c r="K263" s="165">
        <f t="shared" si="18"/>
        <v>146.69999999999999</v>
      </c>
      <c r="L263" s="503">
        <f t="shared" si="18"/>
        <v>146.69999999999999</v>
      </c>
      <c r="M263" s="146">
        <f t="shared" si="18"/>
        <v>0</v>
      </c>
      <c r="N263" s="165">
        <f t="shared" si="18"/>
        <v>146.69999999999999</v>
      </c>
      <c r="O263" s="503">
        <f t="shared" si="18"/>
        <v>146.69999999999999</v>
      </c>
      <c r="P263" s="146">
        <f t="shared" si="18"/>
        <v>0</v>
      </c>
      <c r="Q263" s="390"/>
      <c r="R263" s="149"/>
      <c r="S263" s="485"/>
      <c r="T263" s="148"/>
      <c r="U263" s="34"/>
    </row>
    <row r="264" spans="1:21" ht="12" customHeight="1" x14ac:dyDescent="0.2">
      <c r="A264" s="1698" t="s">
        <v>5</v>
      </c>
      <c r="B264" s="443" t="s">
        <v>28</v>
      </c>
      <c r="C264" s="1647" t="s">
        <v>28</v>
      </c>
      <c r="D264" s="2179" t="s">
        <v>165</v>
      </c>
      <c r="E264" s="2181" t="s">
        <v>228</v>
      </c>
      <c r="F264" s="439">
        <v>5</v>
      </c>
      <c r="G264" s="147" t="s">
        <v>25</v>
      </c>
      <c r="H264" s="170">
        <v>263.89999999999998</v>
      </c>
      <c r="I264" s="144">
        <v>263.89999999999998</v>
      </c>
      <c r="J264" s="265"/>
      <c r="K264" s="170">
        <v>59.1</v>
      </c>
      <c r="L264" s="144">
        <f>55.6+3.5</f>
        <v>59.1</v>
      </c>
      <c r="M264" s="265"/>
      <c r="N264" s="170">
        <v>5</v>
      </c>
      <c r="O264" s="144">
        <v>5</v>
      </c>
      <c r="P264" s="265"/>
      <c r="Q264" s="447"/>
      <c r="R264" s="144"/>
      <c r="S264" s="171"/>
      <c r="T264" s="175"/>
      <c r="U264" s="34"/>
    </row>
    <row r="265" spans="1:21" ht="11.25" customHeight="1" x14ac:dyDescent="0.2">
      <c r="A265" s="1641"/>
      <c r="B265" s="1657"/>
      <c r="C265" s="1648"/>
      <c r="D265" s="2180"/>
      <c r="E265" s="2182"/>
      <c r="F265" s="1629"/>
      <c r="G265" s="54" t="s">
        <v>60</v>
      </c>
      <c r="H265" s="69">
        <v>289.60000000000002</v>
      </c>
      <c r="I265" s="177">
        <v>289.60000000000002</v>
      </c>
      <c r="J265" s="52"/>
      <c r="K265" s="69"/>
      <c r="L265" s="177"/>
      <c r="M265" s="52"/>
      <c r="N265" s="69"/>
      <c r="O265" s="177"/>
      <c r="P265" s="52"/>
      <c r="Q265" s="1660"/>
      <c r="R265" s="177"/>
      <c r="S265" s="85"/>
      <c r="T265" s="33"/>
      <c r="U265" s="34"/>
    </row>
    <row r="266" spans="1:21" ht="11.25" customHeight="1" x14ac:dyDescent="0.2">
      <c r="A266" s="1641"/>
      <c r="B266" s="1657"/>
      <c r="C266" s="1648"/>
      <c r="D266" s="2180"/>
      <c r="E266" s="2182"/>
      <c r="F266" s="1629"/>
      <c r="G266" s="54" t="s">
        <v>48</v>
      </c>
      <c r="H266" s="69"/>
      <c r="I266" s="177"/>
      <c r="J266" s="52"/>
      <c r="K266" s="69">
        <v>1500</v>
      </c>
      <c r="L266" s="177">
        <v>1500</v>
      </c>
      <c r="M266" s="85"/>
      <c r="N266" s="69">
        <v>1000</v>
      </c>
      <c r="O266" s="177">
        <v>1000</v>
      </c>
      <c r="P266" s="52"/>
      <c r="Q266" s="1660"/>
      <c r="R266" s="177"/>
      <c r="S266" s="85"/>
      <c r="T266" s="33"/>
      <c r="U266" s="34"/>
    </row>
    <row r="267" spans="1:21" ht="12.75" customHeight="1" x14ac:dyDescent="0.2">
      <c r="A267" s="1641"/>
      <c r="B267" s="1657"/>
      <c r="C267" s="1648"/>
      <c r="D267" s="2180"/>
      <c r="E267" s="2182"/>
      <c r="F267" s="1629"/>
      <c r="G267" s="54" t="s">
        <v>222</v>
      </c>
      <c r="H267" s="69">
        <v>83.3</v>
      </c>
      <c r="I267" s="177">
        <v>83.3</v>
      </c>
      <c r="J267" s="52"/>
      <c r="K267" s="69"/>
      <c r="L267" s="177"/>
      <c r="M267" s="85"/>
      <c r="N267" s="69"/>
      <c r="O267" s="177"/>
      <c r="P267" s="52"/>
      <c r="Q267" s="1660"/>
      <c r="R267" s="177"/>
      <c r="S267" s="85"/>
      <c r="T267" s="33"/>
      <c r="U267" s="34"/>
    </row>
    <row r="268" spans="1:21" ht="13.5" customHeight="1" x14ac:dyDescent="0.2">
      <c r="A268" s="1641"/>
      <c r="B268" s="1657"/>
      <c r="C268" s="1648"/>
      <c r="D268" s="2068"/>
      <c r="E268" s="2183"/>
      <c r="F268" s="1104"/>
      <c r="G268" s="791" t="s">
        <v>44</v>
      </c>
      <c r="H268" s="72">
        <v>919.1</v>
      </c>
      <c r="I268" s="36">
        <v>919.1</v>
      </c>
      <c r="J268" s="140"/>
      <c r="K268" s="72">
        <v>442</v>
      </c>
      <c r="L268" s="36">
        <v>442</v>
      </c>
      <c r="M268" s="140"/>
      <c r="N268" s="72">
        <v>126.2</v>
      </c>
      <c r="O268" s="36">
        <v>126.2</v>
      </c>
      <c r="P268" s="140"/>
      <c r="Q268" s="1660"/>
      <c r="R268" s="177"/>
      <c r="S268" s="85"/>
      <c r="T268" s="33"/>
      <c r="U268" s="34"/>
    </row>
    <row r="269" spans="1:21" ht="14.1" customHeight="1" x14ac:dyDescent="0.2">
      <c r="A269" s="1641"/>
      <c r="B269" s="1657"/>
      <c r="C269" s="1648"/>
      <c r="D269" s="753"/>
      <c r="E269" s="907"/>
      <c r="F269" s="1632" t="s">
        <v>37</v>
      </c>
      <c r="G269" s="790" t="s">
        <v>68</v>
      </c>
      <c r="H269" s="73">
        <v>12</v>
      </c>
      <c r="I269" s="42">
        <v>12</v>
      </c>
      <c r="J269" s="158"/>
      <c r="K269" s="73">
        <v>6</v>
      </c>
      <c r="L269" s="42">
        <v>6</v>
      </c>
      <c r="M269" s="99"/>
      <c r="N269" s="73">
        <v>6</v>
      </c>
      <c r="O269" s="42">
        <v>6</v>
      </c>
      <c r="P269" s="158"/>
      <c r="Q269" s="1660"/>
      <c r="R269" s="177"/>
      <c r="S269" s="85"/>
      <c r="T269" s="33"/>
      <c r="U269" s="34"/>
    </row>
    <row r="270" spans="1:21" ht="14.1" customHeight="1" x14ac:dyDescent="0.2">
      <c r="A270" s="1641"/>
      <c r="B270" s="1657"/>
      <c r="C270" s="1648"/>
      <c r="D270" s="753"/>
      <c r="E270" s="1661"/>
      <c r="F270" s="1104"/>
      <c r="G270" s="791" t="s">
        <v>75</v>
      </c>
      <c r="H270" s="72">
        <v>24.2</v>
      </c>
      <c r="I270" s="36">
        <v>24.2</v>
      </c>
      <c r="J270" s="140"/>
      <c r="K270" s="365"/>
      <c r="L270" s="964"/>
      <c r="M270" s="178"/>
      <c r="N270" s="365"/>
      <c r="O270" s="964"/>
      <c r="P270" s="990"/>
      <c r="Q270" s="1708"/>
      <c r="R270" s="36"/>
      <c r="S270" s="124"/>
      <c r="T270" s="35"/>
      <c r="U270" s="34"/>
    </row>
    <row r="271" spans="1:21" ht="24.75" customHeight="1" x14ac:dyDescent="0.2">
      <c r="A271" s="2062"/>
      <c r="B271" s="2171"/>
      <c r="C271" s="2058"/>
      <c r="D271" s="1996" t="s">
        <v>322</v>
      </c>
      <c r="E271" s="2042" t="s">
        <v>232</v>
      </c>
      <c r="F271" s="1635">
        <v>5</v>
      </c>
      <c r="G271" s="790"/>
      <c r="H271" s="73"/>
      <c r="I271" s="42"/>
      <c r="J271" s="158"/>
      <c r="K271" s="73"/>
      <c r="L271" s="42"/>
      <c r="M271" s="99"/>
      <c r="N271" s="73"/>
      <c r="O271" s="42"/>
      <c r="P271" s="158"/>
      <c r="Q271" s="1702" t="s">
        <v>125</v>
      </c>
      <c r="R271" s="1666"/>
      <c r="S271" s="486"/>
      <c r="T271" s="1667">
        <v>100</v>
      </c>
      <c r="U271" s="1715"/>
    </row>
    <row r="272" spans="1:21" ht="24.75" customHeight="1" x14ac:dyDescent="0.2">
      <c r="A272" s="2062"/>
      <c r="B272" s="2171"/>
      <c r="C272" s="2058"/>
      <c r="D272" s="1998"/>
      <c r="E272" s="2118"/>
      <c r="F272" s="1629"/>
      <c r="G272" s="791"/>
      <c r="H272" s="72"/>
      <c r="I272" s="36"/>
      <c r="J272" s="140"/>
      <c r="K272" s="72"/>
      <c r="L272" s="36"/>
      <c r="M272" s="124"/>
      <c r="N272" s="72"/>
      <c r="O272" s="36"/>
      <c r="P272" s="140"/>
      <c r="Q272" s="909" t="s">
        <v>215</v>
      </c>
      <c r="R272" s="402">
        <v>1</v>
      </c>
      <c r="S272" s="681"/>
      <c r="T272" s="402"/>
      <c r="U272" s="1697"/>
    </row>
    <row r="273" spans="1:21" ht="15.75" customHeight="1" x14ac:dyDescent="0.2">
      <c r="A273" s="2062"/>
      <c r="B273" s="2171"/>
      <c r="C273" s="2058"/>
      <c r="D273" s="1996" t="s">
        <v>185</v>
      </c>
      <c r="E273" s="2042" t="s">
        <v>230</v>
      </c>
      <c r="F273" s="1648"/>
      <c r="G273" s="54"/>
      <c r="H273" s="69"/>
      <c r="I273" s="177"/>
      <c r="J273" s="52"/>
      <c r="K273" s="69"/>
      <c r="L273" s="177"/>
      <c r="M273" s="85"/>
      <c r="N273" s="69"/>
      <c r="O273" s="177"/>
      <c r="P273" s="52"/>
      <c r="Q273" s="908" t="s">
        <v>157</v>
      </c>
      <c r="R273" s="267">
        <v>1</v>
      </c>
      <c r="S273" s="1710"/>
      <c r="T273" s="1710"/>
      <c r="U273" s="1715"/>
    </row>
    <row r="274" spans="1:21" ht="20.25" customHeight="1" x14ac:dyDescent="0.2">
      <c r="A274" s="2062"/>
      <c r="B274" s="2171"/>
      <c r="C274" s="2058"/>
      <c r="D274" s="1997"/>
      <c r="E274" s="2397"/>
      <c r="F274" s="1639"/>
      <c r="G274" s="54"/>
      <c r="H274" s="69"/>
      <c r="I274" s="177"/>
      <c r="J274" s="52"/>
      <c r="K274" s="69"/>
      <c r="L274" s="177"/>
      <c r="M274" s="85"/>
      <c r="N274" s="69"/>
      <c r="O274" s="177"/>
      <c r="P274" s="52"/>
      <c r="Q274" s="2167" t="s">
        <v>186</v>
      </c>
      <c r="R274" s="384"/>
      <c r="S274" s="383"/>
      <c r="T274" s="384">
        <v>1</v>
      </c>
      <c r="U274" s="1715"/>
    </row>
    <row r="275" spans="1:21" ht="19.5" customHeight="1" x14ac:dyDescent="0.2">
      <c r="A275" s="249"/>
      <c r="B275" s="1657"/>
      <c r="C275" s="911"/>
      <c r="D275" s="1998"/>
      <c r="E275" s="2398"/>
      <c r="F275" s="1639"/>
      <c r="G275" s="54"/>
      <c r="H275" s="69"/>
      <c r="I275" s="177"/>
      <c r="J275" s="52"/>
      <c r="K275" s="69"/>
      <c r="L275" s="177"/>
      <c r="M275" s="85"/>
      <c r="N275" s="69"/>
      <c r="O275" s="177"/>
      <c r="P275" s="52"/>
      <c r="Q275" s="2377"/>
      <c r="R275" s="41"/>
      <c r="S275" s="19"/>
      <c r="T275" s="267"/>
      <c r="U275" s="1715"/>
    </row>
    <row r="276" spans="1:21" ht="14.25" customHeight="1" x14ac:dyDescent="0.2">
      <c r="A276" s="2031"/>
      <c r="B276" s="2039"/>
      <c r="C276" s="2058"/>
      <c r="D276" s="1996" t="s">
        <v>153</v>
      </c>
      <c r="E276" s="2042" t="s">
        <v>121</v>
      </c>
      <c r="F276" s="2100"/>
      <c r="G276" s="156"/>
      <c r="H276" s="73"/>
      <c r="I276" s="42"/>
      <c r="J276" s="158"/>
      <c r="K276" s="73"/>
      <c r="L276" s="42"/>
      <c r="M276" s="99"/>
      <c r="N276" s="73"/>
      <c r="O276" s="42"/>
      <c r="P276" s="158"/>
      <c r="Q276" s="1696" t="s">
        <v>187</v>
      </c>
      <c r="R276" s="294">
        <v>6</v>
      </c>
      <c r="S276" s="569"/>
      <c r="T276" s="1667"/>
      <c r="U276" s="1697"/>
    </row>
    <row r="277" spans="1:21" ht="7.5" customHeight="1" x14ac:dyDescent="0.2">
      <c r="A277" s="2031"/>
      <c r="B277" s="2039"/>
      <c r="C277" s="2058"/>
      <c r="D277" s="1997"/>
      <c r="E277" s="2169"/>
      <c r="F277" s="2100"/>
      <c r="G277" s="54"/>
      <c r="H277" s="69"/>
      <c r="I277" s="177"/>
      <c r="J277" s="52"/>
      <c r="K277" s="69"/>
      <c r="L277" s="177"/>
      <c r="M277" s="85"/>
      <c r="N277" s="69"/>
      <c r="O277" s="177"/>
      <c r="P277" s="52"/>
      <c r="Q277" s="1696"/>
      <c r="R277" s="294"/>
      <c r="S277" s="1710"/>
      <c r="T277" s="1710"/>
      <c r="U277" s="1715"/>
    </row>
    <row r="278" spans="1:21" ht="9.75" customHeight="1" x14ac:dyDescent="0.2">
      <c r="A278" s="2031"/>
      <c r="B278" s="2039"/>
      <c r="C278" s="2058"/>
      <c r="D278" s="1998"/>
      <c r="E278" s="2170"/>
      <c r="F278" s="2100"/>
      <c r="G278" s="61"/>
      <c r="H278" s="72"/>
      <c r="I278" s="36"/>
      <c r="J278" s="140"/>
      <c r="K278" s="72"/>
      <c r="L278" s="36"/>
      <c r="M278" s="124"/>
      <c r="N278" s="120"/>
      <c r="O278" s="131"/>
      <c r="P278" s="292"/>
      <c r="Q278" s="18"/>
      <c r="R278" s="46"/>
      <c r="S278" s="41"/>
      <c r="T278" s="41"/>
      <c r="U278" s="1715"/>
    </row>
    <row r="279" spans="1:21" ht="18" customHeight="1" x14ac:dyDescent="0.2">
      <c r="A279" s="2031"/>
      <c r="B279" s="2039"/>
      <c r="C279" s="2058"/>
      <c r="D279" s="1996" t="s">
        <v>352</v>
      </c>
      <c r="E279" s="2042" t="s">
        <v>121</v>
      </c>
      <c r="F279" s="2100" t="s">
        <v>43</v>
      </c>
      <c r="G279" s="790" t="s">
        <v>25</v>
      </c>
      <c r="H279" s="73"/>
      <c r="I279" s="529">
        <v>2.8</v>
      </c>
      <c r="J279" s="530">
        <f>I279</f>
        <v>2.8</v>
      </c>
      <c r="K279" s="73"/>
      <c r="L279" s="529">
        <v>0.8</v>
      </c>
      <c r="M279" s="1056">
        <f>L279</f>
        <v>0.8</v>
      </c>
      <c r="N279" s="73"/>
      <c r="O279" s="42"/>
      <c r="P279" s="158"/>
      <c r="Q279" s="1775" t="s">
        <v>413</v>
      </c>
      <c r="R279" s="294"/>
      <c r="S279" s="1774" t="s">
        <v>55</v>
      </c>
      <c r="T279" s="1667">
        <v>1</v>
      </c>
      <c r="U279" s="2408" t="s">
        <v>428</v>
      </c>
    </row>
    <row r="280" spans="1:21" ht="12.75" customHeight="1" x14ac:dyDescent="0.2">
      <c r="A280" s="2031"/>
      <c r="B280" s="2039"/>
      <c r="C280" s="2058"/>
      <c r="D280" s="1997"/>
      <c r="E280" s="2115"/>
      <c r="F280" s="2100"/>
      <c r="G280" s="54"/>
      <c r="H280" s="69"/>
      <c r="I280" s="177"/>
      <c r="J280" s="52"/>
      <c r="K280" s="69"/>
      <c r="L280" s="177"/>
      <c r="M280" s="85"/>
      <c r="N280" s="69"/>
      <c r="O280" s="177"/>
      <c r="P280" s="52"/>
      <c r="Q280" s="1178" t="s">
        <v>353</v>
      </c>
      <c r="R280" s="1179"/>
      <c r="S280" s="1772"/>
      <c r="T280" s="1773" t="s">
        <v>360</v>
      </c>
      <c r="U280" s="2406"/>
    </row>
    <row r="281" spans="1:21" ht="79.5" customHeight="1" x14ac:dyDescent="0.2">
      <c r="A281" s="2031"/>
      <c r="B281" s="2039"/>
      <c r="C281" s="2058"/>
      <c r="D281" s="1998"/>
      <c r="E281" s="2116"/>
      <c r="F281" s="2100"/>
      <c r="G281" s="791"/>
      <c r="H281" s="72"/>
      <c r="I281" s="36"/>
      <c r="J281" s="140"/>
      <c r="K281" s="72"/>
      <c r="L281" s="36"/>
      <c r="M281" s="124"/>
      <c r="N281" s="72"/>
      <c r="O281" s="36"/>
      <c r="P281" s="140"/>
      <c r="Q281" s="18"/>
      <c r="R281" s="46"/>
      <c r="S281" s="41"/>
      <c r="T281" s="41"/>
      <c r="U281" s="2409"/>
    </row>
    <row r="282" spans="1:21" ht="18" customHeight="1" x14ac:dyDescent="0.2">
      <c r="A282" s="2031"/>
      <c r="B282" s="2039"/>
      <c r="C282" s="2058"/>
      <c r="D282" s="1996" t="s">
        <v>358</v>
      </c>
      <c r="E282" s="2042" t="s">
        <v>121</v>
      </c>
      <c r="F282" s="2100"/>
      <c r="G282" s="790"/>
      <c r="H282" s="73"/>
      <c r="I282" s="42"/>
      <c r="J282" s="158"/>
      <c r="K282" s="73"/>
      <c r="L282" s="42"/>
      <c r="M282" s="99"/>
      <c r="N282" s="73"/>
      <c r="O282" s="42"/>
      <c r="P282" s="158"/>
      <c r="Q282" s="1696" t="s">
        <v>359</v>
      </c>
      <c r="R282" s="294"/>
      <c r="S282" s="569"/>
      <c r="T282" s="400" t="s">
        <v>357</v>
      </c>
      <c r="U282" s="2383"/>
    </row>
    <row r="283" spans="1:21" ht="18.75" customHeight="1" x14ac:dyDescent="0.2">
      <c r="A283" s="2031"/>
      <c r="B283" s="2039"/>
      <c r="C283" s="2058"/>
      <c r="D283" s="1997"/>
      <c r="E283" s="2115"/>
      <c r="F283" s="2100"/>
      <c r="G283" s="54"/>
      <c r="H283" s="69"/>
      <c r="I283" s="177"/>
      <c r="J283" s="52"/>
      <c r="K283" s="69"/>
      <c r="L283" s="177"/>
      <c r="M283" s="85"/>
      <c r="N283" s="69"/>
      <c r="O283" s="177"/>
      <c r="P283" s="52"/>
      <c r="Q283" s="1696"/>
      <c r="R283" s="294"/>
      <c r="S283" s="1710"/>
      <c r="T283" s="1710"/>
      <c r="U283" s="2406"/>
    </row>
    <row r="284" spans="1:21" ht="12" customHeight="1" x14ac:dyDescent="0.2">
      <c r="A284" s="2031"/>
      <c r="B284" s="2039"/>
      <c r="C284" s="2058"/>
      <c r="D284" s="1998"/>
      <c r="E284" s="2116"/>
      <c r="F284" s="2405"/>
      <c r="G284" s="791"/>
      <c r="H284" s="72"/>
      <c r="I284" s="36"/>
      <c r="J284" s="140"/>
      <c r="K284" s="72"/>
      <c r="L284" s="36"/>
      <c r="M284" s="124"/>
      <c r="N284" s="72"/>
      <c r="O284" s="36"/>
      <c r="P284" s="140"/>
      <c r="Q284" s="18"/>
      <c r="R284" s="46"/>
      <c r="S284" s="41"/>
      <c r="T284" s="41"/>
      <c r="U284" s="2406"/>
    </row>
    <row r="285" spans="1:21" ht="39" customHeight="1" x14ac:dyDescent="0.2">
      <c r="A285" s="1637"/>
      <c r="B285" s="1638"/>
      <c r="C285" s="1639"/>
      <c r="D285" s="1658" t="s">
        <v>323</v>
      </c>
      <c r="E285" s="475" t="s">
        <v>161</v>
      </c>
      <c r="F285" s="1632" t="s">
        <v>37</v>
      </c>
      <c r="G285" s="367"/>
      <c r="H285" s="245"/>
      <c r="I285" s="938"/>
      <c r="J285" s="986"/>
      <c r="K285" s="462"/>
      <c r="L285" s="463"/>
      <c r="M285" s="660"/>
      <c r="N285" s="462"/>
      <c r="O285" s="463"/>
      <c r="P285" s="523"/>
      <c r="Q285" s="59" t="s">
        <v>83</v>
      </c>
      <c r="R285" s="456">
        <v>1</v>
      </c>
      <c r="S285" s="456"/>
      <c r="T285" s="456"/>
      <c r="U285" s="1697"/>
    </row>
    <row r="286" spans="1:21" ht="15.75" customHeight="1" x14ac:dyDescent="0.2">
      <c r="A286" s="2031"/>
      <c r="B286" s="2039"/>
      <c r="C286" s="2058"/>
      <c r="D286" s="1996" t="s">
        <v>210</v>
      </c>
      <c r="E286" s="2042" t="s">
        <v>121</v>
      </c>
      <c r="F286" s="2100"/>
      <c r="G286" s="790"/>
      <c r="H286" s="73"/>
      <c r="I286" s="42"/>
      <c r="J286" s="158"/>
      <c r="K286" s="73"/>
      <c r="L286" s="42"/>
      <c r="M286" s="99"/>
      <c r="N286" s="73"/>
      <c r="O286" s="42"/>
      <c r="P286" s="158"/>
      <c r="Q286" s="1999" t="s">
        <v>225</v>
      </c>
      <c r="R286" s="968">
        <v>11</v>
      </c>
      <c r="S286" s="1709">
        <v>12</v>
      </c>
      <c r="T286" s="1709">
        <v>14</v>
      </c>
      <c r="U286" s="2383"/>
    </row>
    <row r="287" spans="1:21" ht="11.25" customHeight="1" x14ac:dyDescent="0.2">
      <c r="A287" s="2031"/>
      <c r="B287" s="2039"/>
      <c r="C287" s="2058"/>
      <c r="D287" s="2028"/>
      <c r="E287" s="2043"/>
      <c r="F287" s="2100"/>
      <c r="G287" s="54"/>
      <c r="H287" s="255"/>
      <c r="I287" s="291"/>
      <c r="J287" s="256"/>
      <c r="K287" s="69"/>
      <c r="L287" s="177"/>
      <c r="M287" s="85"/>
      <c r="N287" s="69"/>
      <c r="O287" s="177"/>
      <c r="P287" s="52"/>
      <c r="Q287" s="2417"/>
      <c r="R287" s="294"/>
      <c r="S287" s="1710"/>
      <c r="T287" s="1710"/>
      <c r="U287" s="2412"/>
    </row>
    <row r="288" spans="1:21" ht="12" customHeight="1" x14ac:dyDescent="0.2">
      <c r="A288" s="2031"/>
      <c r="B288" s="2039"/>
      <c r="C288" s="2058"/>
      <c r="D288" s="1997"/>
      <c r="E288" s="2169"/>
      <c r="F288" s="2100"/>
      <c r="G288" s="791"/>
      <c r="H288" s="72"/>
      <c r="I288" s="36"/>
      <c r="J288" s="140"/>
      <c r="K288" s="72"/>
      <c r="L288" s="36"/>
      <c r="M288" s="124"/>
      <c r="N288" s="72"/>
      <c r="O288" s="36"/>
      <c r="P288" s="140"/>
      <c r="Q288" s="1178"/>
      <c r="R288" s="1179"/>
      <c r="S288" s="1710"/>
      <c r="T288" s="1710"/>
      <c r="U288" s="2412"/>
    </row>
    <row r="289" spans="1:21" ht="16.5" customHeight="1" thickBot="1" x14ac:dyDescent="0.25">
      <c r="A289" s="1703"/>
      <c r="B289" s="1638"/>
      <c r="C289" s="911"/>
      <c r="D289" s="912"/>
      <c r="E289" s="913"/>
      <c r="F289" s="911"/>
      <c r="G289" s="111" t="s">
        <v>6</v>
      </c>
      <c r="H289" s="165">
        <f t="shared" ref="H289:P289" si="19">SUM(H264:H288)</f>
        <v>1592.1</v>
      </c>
      <c r="I289" s="503">
        <f>SUM(I264:I288)</f>
        <v>1594.9</v>
      </c>
      <c r="J289" s="476">
        <f t="shared" si="19"/>
        <v>2.8</v>
      </c>
      <c r="K289" s="165">
        <f>SUM(K264:K288)</f>
        <v>2007.1</v>
      </c>
      <c r="L289" s="503">
        <f>SUM(L264:L288)</f>
        <v>2007.9</v>
      </c>
      <c r="M289" s="476">
        <f t="shared" si="19"/>
        <v>0.8</v>
      </c>
      <c r="N289" s="165">
        <f t="shared" si="19"/>
        <v>1137.2</v>
      </c>
      <c r="O289" s="503">
        <f t="shared" si="19"/>
        <v>1137.2</v>
      </c>
      <c r="P289" s="476">
        <f t="shared" si="19"/>
        <v>0</v>
      </c>
      <c r="Q289" s="390"/>
      <c r="R289" s="149"/>
      <c r="S289" s="485"/>
      <c r="T289" s="148"/>
      <c r="U289" s="2416"/>
    </row>
    <row r="290" spans="1:21" ht="14.25" customHeight="1" thickBot="1" x14ac:dyDescent="0.25">
      <c r="A290" s="76" t="s">
        <v>5</v>
      </c>
      <c r="B290" s="65" t="s">
        <v>28</v>
      </c>
      <c r="C290" s="2188" t="s">
        <v>8</v>
      </c>
      <c r="D290" s="2160"/>
      <c r="E290" s="2160"/>
      <c r="F290" s="2160"/>
      <c r="G290" s="2161"/>
      <c r="H290" s="514">
        <f t="shared" ref="H290:P290" si="20">H289+H263+H260</f>
        <v>2955.4</v>
      </c>
      <c r="I290" s="1646">
        <f t="shared" si="20"/>
        <v>2921.6</v>
      </c>
      <c r="J290" s="987">
        <f t="shared" si="20"/>
        <v>-33.799999999999997</v>
      </c>
      <c r="K290" s="514">
        <f t="shared" si="20"/>
        <v>3340.6</v>
      </c>
      <c r="L290" s="1646">
        <f t="shared" si="20"/>
        <v>3341.4</v>
      </c>
      <c r="M290" s="987">
        <f t="shared" si="20"/>
        <v>0.8</v>
      </c>
      <c r="N290" s="514">
        <f t="shared" si="20"/>
        <v>2311.6999999999998</v>
      </c>
      <c r="O290" s="1646">
        <f t="shared" si="20"/>
        <v>2311.6999999999998</v>
      </c>
      <c r="P290" s="987">
        <f t="shared" si="20"/>
        <v>0</v>
      </c>
      <c r="Q290" s="2410"/>
      <c r="R290" s="2162"/>
      <c r="S290" s="2162"/>
      <c r="T290" s="2162"/>
      <c r="U290" s="2163"/>
    </row>
    <row r="291" spans="1:21" ht="14.25" customHeight="1" thickBot="1" x14ac:dyDescent="0.25">
      <c r="A291" s="64" t="s">
        <v>5</v>
      </c>
      <c r="B291" s="65" t="s">
        <v>33</v>
      </c>
      <c r="C291" s="2164" t="s">
        <v>164</v>
      </c>
      <c r="D291" s="2165"/>
      <c r="E291" s="2165"/>
      <c r="F291" s="2165"/>
      <c r="G291" s="2165"/>
      <c r="H291" s="2165"/>
      <c r="I291" s="2165"/>
      <c r="J291" s="2165"/>
      <c r="K291" s="2165"/>
      <c r="L291" s="2165"/>
      <c r="M291" s="2165"/>
      <c r="N291" s="2165"/>
      <c r="O291" s="2165"/>
      <c r="P291" s="2165"/>
      <c r="Q291" s="2165"/>
      <c r="R291" s="2165"/>
      <c r="S291" s="2165"/>
      <c r="T291" s="2165"/>
      <c r="U291" s="2166"/>
    </row>
    <row r="292" spans="1:21" ht="12" customHeight="1" x14ac:dyDescent="0.2">
      <c r="A292" s="1644" t="s">
        <v>5</v>
      </c>
      <c r="B292" s="1645" t="s">
        <v>33</v>
      </c>
      <c r="C292" s="196" t="s">
        <v>5</v>
      </c>
      <c r="D292" s="2196" t="s">
        <v>104</v>
      </c>
      <c r="E292" s="268"/>
      <c r="F292" s="1647">
        <v>6</v>
      </c>
      <c r="G292" s="147" t="s">
        <v>25</v>
      </c>
      <c r="H292" s="170">
        <f>1730.7-40</f>
        <v>1690.7</v>
      </c>
      <c r="I292" s="144">
        <f>1730.7-40</f>
        <v>1690.7</v>
      </c>
      <c r="J292" s="265"/>
      <c r="K292" s="170">
        <v>1816.4</v>
      </c>
      <c r="L292" s="144">
        <v>1816.4</v>
      </c>
      <c r="M292" s="265"/>
      <c r="N292" s="170">
        <v>1822.7</v>
      </c>
      <c r="O292" s="144">
        <v>1822.7</v>
      </c>
      <c r="P292" s="265"/>
      <c r="Q292" s="508"/>
      <c r="R292" s="144"/>
      <c r="S292" s="171"/>
      <c r="T292" s="175"/>
      <c r="U292" s="176"/>
    </row>
    <row r="293" spans="1:21" ht="12" customHeight="1" x14ac:dyDescent="0.2">
      <c r="A293" s="1637"/>
      <c r="B293" s="1638"/>
      <c r="C293" s="172"/>
      <c r="D293" s="2197"/>
      <c r="E293" s="1640"/>
      <c r="F293" s="1635"/>
      <c r="G293" s="54" t="s">
        <v>60</v>
      </c>
      <c r="H293" s="69">
        <v>134.9</v>
      </c>
      <c r="I293" s="177">
        <v>134.9</v>
      </c>
      <c r="J293" s="52"/>
      <c r="K293" s="69"/>
      <c r="L293" s="177"/>
      <c r="M293" s="52"/>
      <c r="N293" s="69"/>
      <c r="O293" s="177"/>
      <c r="P293" s="52"/>
      <c r="Q293" s="1620"/>
      <c r="R293" s="177"/>
      <c r="S293" s="85"/>
      <c r="T293" s="33"/>
      <c r="U293" s="34"/>
    </row>
    <row r="294" spans="1:21" ht="12" customHeight="1" x14ac:dyDescent="0.2">
      <c r="A294" s="1637"/>
      <c r="B294" s="1638"/>
      <c r="C294" s="172"/>
      <c r="D294" s="2197"/>
      <c r="E294" s="1640"/>
      <c r="F294" s="1635"/>
      <c r="G294" s="54" t="s">
        <v>68</v>
      </c>
      <c r="H294" s="69">
        <f>268-48-30+5</f>
        <v>195</v>
      </c>
      <c r="I294" s="177">
        <f>268-48-30+5</f>
        <v>195</v>
      </c>
      <c r="J294" s="52"/>
      <c r="K294" s="69">
        <f>447-30+34.1</f>
        <v>451.1</v>
      </c>
      <c r="L294" s="177">
        <f>447-30+34.1</f>
        <v>451.1</v>
      </c>
      <c r="M294" s="52"/>
      <c r="N294" s="69">
        <f>417+98.4</f>
        <v>515.4</v>
      </c>
      <c r="O294" s="177">
        <f>417+98.4</f>
        <v>515.4</v>
      </c>
      <c r="P294" s="52"/>
      <c r="Q294" s="1620"/>
      <c r="R294" s="177"/>
      <c r="S294" s="85"/>
      <c r="T294" s="33"/>
      <c r="U294" s="34"/>
    </row>
    <row r="295" spans="1:21" ht="14.1" customHeight="1" x14ac:dyDescent="0.2">
      <c r="A295" s="1637"/>
      <c r="B295" s="1638"/>
      <c r="C295" s="172"/>
      <c r="D295" s="2197"/>
      <c r="E295" s="1640"/>
      <c r="F295" s="1635"/>
      <c r="G295" s="54" t="s">
        <v>75</v>
      </c>
      <c r="H295" s="69">
        <f>270+17.9</f>
        <v>287.89999999999998</v>
      </c>
      <c r="I295" s="177">
        <f>270+17.9</f>
        <v>287.89999999999998</v>
      </c>
      <c r="J295" s="52"/>
      <c r="K295" s="69"/>
      <c r="L295" s="177"/>
      <c r="M295" s="52"/>
      <c r="N295" s="69"/>
      <c r="O295" s="177"/>
      <c r="P295" s="52"/>
      <c r="Q295" s="1620"/>
      <c r="R295" s="177"/>
      <c r="S295" s="85"/>
      <c r="T295" s="33"/>
      <c r="U295" s="34"/>
    </row>
    <row r="296" spans="1:21" ht="14.1" customHeight="1" x14ac:dyDescent="0.2">
      <c r="A296" s="1637"/>
      <c r="B296" s="1638"/>
      <c r="C296" s="80"/>
      <c r="D296" s="2198"/>
      <c r="E296" s="1640"/>
      <c r="F296" s="1635"/>
      <c r="G296" s="791" t="s">
        <v>99</v>
      </c>
      <c r="H296" s="72">
        <v>1729.3</v>
      </c>
      <c r="I296" s="36">
        <v>1729.3</v>
      </c>
      <c r="J296" s="140"/>
      <c r="K296" s="72">
        <v>1538.3</v>
      </c>
      <c r="L296" s="36">
        <v>1538.3</v>
      </c>
      <c r="M296" s="140"/>
      <c r="N296" s="72">
        <v>1600.3</v>
      </c>
      <c r="O296" s="36">
        <v>1600.3</v>
      </c>
      <c r="P296" s="140"/>
      <c r="Q296" s="1620"/>
      <c r="R296" s="177"/>
      <c r="S296" s="85"/>
      <c r="T296" s="33"/>
      <c r="U296" s="34"/>
    </row>
    <row r="297" spans="1:21" ht="15.75" customHeight="1" x14ac:dyDescent="0.2">
      <c r="A297" s="1637"/>
      <c r="B297" s="1638"/>
      <c r="C297" s="935"/>
      <c r="D297" s="330" t="s">
        <v>101</v>
      </c>
      <c r="E297" s="936"/>
      <c r="F297" s="937"/>
      <c r="G297" s="367"/>
      <c r="H297" s="245"/>
      <c r="I297" s="938"/>
      <c r="J297" s="986"/>
      <c r="K297" s="245"/>
      <c r="L297" s="938"/>
      <c r="M297" s="986"/>
      <c r="N297" s="245"/>
      <c r="O297" s="938"/>
      <c r="P297" s="986"/>
      <c r="Q297" s="183"/>
      <c r="R297" s="938"/>
      <c r="S297" s="939"/>
      <c r="T297" s="998"/>
      <c r="U297" s="34"/>
    </row>
    <row r="298" spans="1:21" ht="14.25" customHeight="1" x14ac:dyDescent="0.2">
      <c r="A298" s="1637"/>
      <c r="B298" s="1638"/>
      <c r="C298" s="2102" t="s">
        <v>168</v>
      </c>
      <c r="D298" s="1649" t="s">
        <v>256</v>
      </c>
      <c r="E298" s="1640"/>
      <c r="F298" s="1635"/>
      <c r="G298" s="54"/>
      <c r="H298" s="69"/>
      <c r="I298" s="177"/>
      <c r="J298" s="52"/>
      <c r="K298" s="69"/>
      <c r="L298" s="177"/>
      <c r="M298" s="52"/>
      <c r="N298" s="69"/>
      <c r="O298" s="177"/>
      <c r="P298" s="52"/>
      <c r="Q298" s="1651" t="s">
        <v>66</v>
      </c>
      <c r="R298" s="177">
        <v>5.9</v>
      </c>
      <c r="S298" s="85"/>
      <c r="T298" s="33"/>
      <c r="U298" s="34"/>
    </row>
    <row r="299" spans="1:21" ht="13.5" customHeight="1" x14ac:dyDescent="0.2">
      <c r="A299" s="1637"/>
      <c r="B299" s="1638"/>
      <c r="C299" s="2101"/>
      <c r="D299" s="180" t="s">
        <v>170</v>
      </c>
      <c r="E299" s="1640"/>
      <c r="F299" s="1635"/>
      <c r="G299" s="54"/>
      <c r="H299" s="69"/>
      <c r="I299" s="177"/>
      <c r="J299" s="52"/>
      <c r="K299" s="69"/>
      <c r="L299" s="177"/>
      <c r="M299" s="52"/>
      <c r="N299" s="69"/>
      <c r="O299" s="177"/>
      <c r="P299" s="52"/>
      <c r="Q299" s="1651"/>
      <c r="R299" s="177"/>
      <c r="S299" s="85"/>
      <c r="T299" s="33"/>
      <c r="U299" s="34"/>
    </row>
    <row r="300" spans="1:21" ht="14.25" customHeight="1" x14ac:dyDescent="0.2">
      <c r="A300" s="1637"/>
      <c r="B300" s="1638"/>
      <c r="C300" s="2101"/>
      <c r="D300" s="180" t="s">
        <v>167</v>
      </c>
      <c r="E300" s="1640"/>
      <c r="F300" s="1635"/>
      <c r="G300" s="54"/>
      <c r="H300" s="69"/>
      <c r="I300" s="177"/>
      <c r="J300" s="52"/>
      <c r="K300" s="69"/>
      <c r="L300" s="177"/>
      <c r="M300" s="52"/>
      <c r="N300" s="69"/>
      <c r="O300" s="177"/>
      <c r="P300" s="52"/>
      <c r="Q300" s="1651"/>
      <c r="R300" s="177"/>
      <c r="S300" s="85"/>
      <c r="T300" s="33"/>
      <c r="U300" s="34"/>
    </row>
    <row r="301" spans="1:21" ht="14.25" customHeight="1" x14ac:dyDescent="0.2">
      <c r="A301" s="1637"/>
      <c r="B301" s="1638"/>
      <c r="C301" s="2101"/>
      <c r="D301" s="1649" t="s">
        <v>172</v>
      </c>
      <c r="E301" s="1640"/>
      <c r="F301" s="1635"/>
      <c r="G301" s="54"/>
      <c r="H301" s="69"/>
      <c r="I301" s="177"/>
      <c r="J301" s="52"/>
      <c r="K301" s="69"/>
      <c r="L301" s="177"/>
      <c r="M301" s="52"/>
      <c r="N301" s="69"/>
      <c r="O301" s="177"/>
      <c r="P301" s="52"/>
      <c r="Q301" s="1651"/>
      <c r="R301" s="177"/>
      <c r="S301" s="85"/>
      <c r="T301" s="33"/>
      <c r="U301" s="34"/>
    </row>
    <row r="302" spans="1:21" ht="29.25" customHeight="1" x14ac:dyDescent="0.2">
      <c r="A302" s="1637"/>
      <c r="B302" s="1638"/>
      <c r="C302" s="2101"/>
      <c r="D302" s="180" t="s">
        <v>324</v>
      </c>
      <c r="E302" s="1640"/>
      <c r="F302" s="1635"/>
      <c r="G302" s="54"/>
      <c r="H302" s="69"/>
      <c r="I302" s="177"/>
      <c r="J302" s="52"/>
      <c r="K302" s="69"/>
      <c r="L302" s="177"/>
      <c r="M302" s="52"/>
      <c r="N302" s="69"/>
      <c r="O302" s="177"/>
      <c r="P302" s="52"/>
      <c r="Q302" s="1651"/>
      <c r="R302" s="177"/>
      <c r="S302" s="85"/>
      <c r="T302" s="33"/>
      <c r="U302" s="34"/>
    </row>
    <row r="303" spans="1:21" ht="26.25" customHeight="1" x14ac:dyDescent="0.2">
      <c r="A303" s="1637"/>
      <c r="B303" s="1638"/>
      <c r="C303" s="2101"/>
      <c r="D303" s="915" t="s">
        <v>325</v>
      </c>
      <c r="E303" s="1640"/>
      <c r="F303" s="1635"/>
      <c r="G303" s="54"/>
      <c r="H303" s="69"/>
      <c r="I303" s="177"/>
      <c r="J303" s="52"/>
      <c r="K303" s="69"/>
      <c r="L303" s="177"/>
      <c r="M303" s="52"/>
      <c r="N303" s="69"/>
      <c r="O303" s="177"/>
      <c r="P303" s="52"/>
      <c r="Q303" s="1651"/>
      <c r="R303" s="177"/>
      <c r="S303" s="85"/>
      <c r="T303" s="33"/>
      <c r="U303" s="34"/>
    </row>
    <row r="304" spans="1:21" ht="27" customHeight="1" x14ac:dyDescent="0.2">
      <c r="A304" s="1637"/>
      <c r="B304" s="1638"/>
      <c r="C304" s="2101"/>
      <c r="D304" s="180" t="s">
        <v>327</v>
      </c>
      <c r="E304" s="1640"/>
      <c r="F304" s="1635"/>
      <c r="G304" s="54"/>
      <c r="H304" s="69"/>
      <c r="I304" s="177"/>
      <c r="J304" s="52"/>
      <c r="K304" s="69"/>
      <c r="L304" s="177"/>
      <c r="M304" s="52"/>
      <c r="N304" s="69"/>
      <c r="O304" s="177"/>
      <c r="P304" s="52"/>
      <c r="Q304" s="1651"/>
      <c r="R304" s="177"/>
      <c r="S304" s="85"/>
      <c r="T304" s="33"/>
      <c r="U304" s="34"/>
    </row>
    <row r="305" spans="1:21" ht="18.75" customHeight="1" x14ac:dyDescent="0.2">
      <c r="A305" s="1637"/>
      <c r="B305" s="1638"/>
      <c r="C305" s="1643"/>
      <c r="D305" s="1626" t="s">
        <v>326</v>
      </c>
      <c r="E305" s="1640"/>
      <c r="F305" s="1635"/>
      <c r="G305" s="54"/>
      <c r="H305" s="69"/>
      <c r="I305" s="177"/>
      <c r="J305" s="52"/>
      <c r="K305" s="69"/>
      <c r="L305" s="177"/>
      <c r="M305" s="52"/>
      <c r="N305" s="69"/>
      <c r="O305" s="177"/>
      <c r="P305" s="52"/>
      <c r="Q305" s="1651"/>
      <c r="R305" s="177"/>
      <c r="S305" s="85"/>
      <c r="T305" s="33"/>
      <c r="U305" s="34"/>
    </row>
    <row r="306" spans="1:21" ht="15" customHeight="1" x14ac:dyDescent="0.2">
      <c r="A306" s="1637"/>
      <c r="B306" s="1638"/>
      <c r="C306" s="2102" t="s">
        <v>169</v>
      </c>
      <c r="D306" s="931" t="s">
        <v>171</v>
      </c>
      <c r="E306" s="932"/>
      <c r="F306" s="933"/>
      <c r="G306" s="62"/>
      <c r="H306" s="594"/>
      <c r="I306" s="595"/>
      <c r="J306" s="596"/>
      <c r="K306" s="594"/>
      <c r="L306" s="595"/>
      <c r="M306" s="596"/>
      <c r="N306" s="594"/>
      <c r="O306" s="595"/>
      <c r="P306" s="596"/>
      <c r="Q306" s="1665" t="s">
        <v>66</v>
      </c>
      <c r="R306" s="595"/>
      <c r="S306" s="701">
        <v>7.9</v>
      </c>
      <c r="T306" s="999">
        <v>7.5</v>
      </c>
      <c r="U306" s="34"/>
    </row>
    <row r="307" spans="1:21" ht="16.5" customHeight="1" x14ac:dyDescent="0.2">
      <c r="A307" s="1637"/>
      <c r="B307" s="1638"/>
      <c r="C307" s="2101"/>
      <c r="D307" s="915" t="s">
        <v>166</v>
      </c>
      <c r="E307" s="1640"/>
      <c r="F307" s="1635"/>
      <c r="G307" s="54"/>
      <c r="H307" s="69"/>
      <c r="I307" s="177"/>
      <c r="J307" s="52"/>
      <c r="K307" s="69"/>
      <c r="L307" s="177"/>
      <c r="M307" s="52"/>
      <c r="N307" s="69"/>
      <c r="O307" s="177"/>
      <c r="P307" s="52"/>
      <c r="Q307" s="1651"/>
      <c r="R307" s="177"/>
      <c r="S307" s="85"/>
      <c r="T307" s="33"/>
      <c r="U307" s="34"/>
    </row>
    <row r="308" spans="1:21" ht="15.75" customHeight="1" x14ac:dyDescent="0.2">
      <c r="A308" s="1637"/>
      <c r="B308" s="1638"/>
      <c r="C308" s="2101"/>
      <c r="D308" s="180" t="s">
        <v>173</v>
      </c>
      <c r="E308" s="1640"/>
      <c r="F308" s="1635"/>
      <c r="G308" s="54"/>
      <c r="H308" s="69"/>
      <c r="I308" s="177"/>
      <c r="J308" s="52"/>
      <c r="K308" s="69"/>
      <c r="L308" s="177"/>
      <c r="M308" s="52"/>
      <c r="N308" s="69"/>
      <c r="O308" s="177"/>
      <c r="P308" s="52"/>
      <c r="Q308" s="1651"/>
      <c r="R308" s="177"/>
      <c r="S308" s="85"/>
      <c r="T308" s="33"/>
      <c r="U308" s="34"/>
    </row>
    <row r="309" spans="1:21" ht="15.75" customHeight="1" x14ac:dyDescent="0.2">
      <c r="A309" s="1637"/>
      <c r="B309" s="1638"/>
      <c r="C309" s="2101"/>
      <c r="D309" s="180" t="s">
        <v>261</v>
      </c>
      <c r="E309" s="1640"/>
      <c r="F309" s="1635"/>
      <c r="G309" s="54"/>
      <c r="H309" s="69"/>
      <c r="I309" s="177"/>
      <c r="J309" s="52"/>
      <c r="K309" s="69"/>
      <c r="L309" s="177"/>
      <c r="M309" s="52"/>
      <c r="N309" s="69"/>
      <c r="O309" s="177"/>
      <c r="P309" s="52"/>
      <c r="Q309" s="1651"/>
      <c r="R309" s="177"/>
      <c r="S309" s="85"/>
      <c r="T309" s="33"/>
      <c r="U309" s="34"/>
    </row>
    <row r="310" spans="1:21" ht="14.25" customHeight="1" x14ac:dyDescent="0.2">
      <c r="A310" s="1637"/>
      <c r="B310" s="1638"/>
      <c r="C310" s="2103"/>
      <c r="D310" s="1616" t="s">
        <v>328</v>
      </c>
      <c r="E310" s="1707"/>
      <c r="F310" s="1636"/>
      <c r="G310" s="791"/>
      <c r="H310" s="72"/>
      <c r="I310" s="36"/>
      <c r="J310" s="140"/>
      <c r="K310" s="72"/>
      <c r="L310" s="36"/>
      <c r="M310" s="140"/>
      <c r="N310" s="72"/>
      <c r="O310" s="36"/>
      <c r="P310" s="140"/>
      <c r="Q310" s="1653"/>
      <c r="R310" s="36"/>
      <c r="S310" s="35"/>
      <c r="T310" s="35"/>
      <c r="U310" s="34"/>
    </row>
    <row r="311" spans="1:21" ht="27" customHeight="1" x14ac:dyDescent="0.2">
      <c r="A311" s="1637"/>
      <c r="B311" s="1638"/>
      <c r="C311" s="172"/>
      <c r="D311" s="2002" t="s">
        <v>103</v>
      </c>
      <c r="E311" s="1640"/>
      <c r="F311" s="1629"/>
      <c r="G311" s="54"/>
      <c r="H311" s="33"/>
      <c r="I311" s="405"/>
      <c r="J311" s="1071"/>
      <c r="K311" s="69"/>
      <c r="L311" s="177"/>
      <c r="M311" s="52"/>
      <c r="N311" s="69"/>
      <c r="O311" s="177"/>
      <c r="P311" s="52"/>
      <c r="Q311" s="930" t="s">
        <v>287</v>
      </c>
      <c r="R311" s="1134" t="s">
        <v>354</v>
      </c>
      <c r="S311" s="379" t="s">
        <v>286</v>
      </c>
      <c r="T311" s="159" t="s">
        <v>286</v>
      </c>
      <c r="U311" s="2411"/>
    </row>
    <row r="312" spans="1:21" ht="31.5" customHeight="1" x14ac:dyDescent="0.2">
      <c r="A312" s="1637"/>
      <c r="B312" s="1638"/>
      <c r="C312" s="172"/>
      <c r="D312" s="2040"/>
      <c r="E312" s="1640"/>
      <c r="F312" s="1629"/>
      <c r="G312" s="51"/>
      <c r="H312" s="679"/>
      <c r="I312" s="1144"/>
      <c r="J312" s="1145"/>
      <c r="K312" s="110"/>
      <c r="L312" s="1117"/>
      <c r="M312" s="1118"/>
      <c r="N312" s="110"/>
      <c r="O312" s="1117"/>
      <c r="P312" s="1118"/>
      <c r="Q312" s="71" t="s">
        <v>355</v>
      </c>
      <c r="R312" s="154" t="s">
        <v>356</v>
      </c>
      <c r="S312" s="1143"/>
      <c r="T312" s="154"/>
      <c r="U312" s="2411"/>
    </row>
    <row r="313" spans="1:21" ht="26.25" customHeight="1" x14ac:dyDescent="0.2">
      <c r="A313" s="1637"/>
      <c r="B313" s="1638"/>
      <c r="C313" s="172"/>
      <c r="D313" s="2040"/>
      <c r="E313" s="1640"/>
      <c r="F313" s="1629"/>
      <c r="G313" s="54"/>
      <c r="H313" s="33"/>
      <c r="I313" s="405"/>
      <c r="J313" s="1071"/>
      <c r="K313" s="69"/>
      <c r="L313" s="177"/>
      <c r="M313" s="52"/>
      <c r="N313" s="69"/>
      <c r="O313" s="177"/>
      <c r="P313" s="52"/>
      <c r="Q313" s="1029" t="s">
        <v>40</v>
      </c>
      <c r="R313" s="609" t="s">
        <v>288</v>
      </c>
      <c r="S313" s="1141" t="s">
        <v>288</v>
      </c>
      <c r="T313" s="1142" t="s">
        <v>288</v>
      </c>
      <c r="U313" s="2412"/>
    </row>
    <row r="314" spans="1:21" ht="15" customHeight="1" x14ac:dyDescent="0.2">
      <c r="A314" s="1637"/>
      <c r="B314" s="1638"/>
      <c r="C314" s="172"/>
      <c r="D314" s="2030"/>
      <c r="E314" s="1707"/>
      <c r="F314" s="1629"/>
      <c r="G314" s="61"/>
      <c r="H314" s="72"/>
      <c r="I314" s="36"/>
      <c r="J314" s="140"/>
      <c r="K314" s="72"/>
      <c r="L314" s="36"/>
      <c r="M314" s="140"/>
      <c r="N314" s="72"/>
      <c r="O314" s="36"/>
      <c r="P314" s="140"/>
      <c r="Q314" s="1653" t="s">
        <v>65</v>
      </c>
      <c r="R314" s="812" t="s">
        <v>282</v>
      </c>
      <c r="S314" s="745" t="s">
        <v>282</v>
      </c>
      <c r="T314" s="401" t="s">
        <v>282</v>
      </c>
      <c r="U314" s="2412"/>
    </row>
    <row r="315" spans="1:21" ht="15.75" customHeight="1" x14ac:dyDescent="0.2">
      <c r="A315" s="2031"/>
      <c r="B315" s="2039"/>
      <c r="C315" s="2033"/>
      <c r="D315" s="2002" t="s">
        <v>53</v>
      </c>
      <c r="E315" s="1640"/>
      <c r="F315" s="1629"/>
      <c r="G315" s="54"/>
      <c r="H315" s="69"/>
      <c r="I315" s="177"/>
      <c r="J315" s="52"/>
      <c r="K315" s="69"/>
      <c r="L315" s="177"/>
      <c r="M315" s="52"/>
      <c r="N315" s="69"/>
      <c r="O315" s="177"/>
      <c r="P315" s="52"/>
      <c r="Q315" s="1999" t="s">
        <v>284</v>
      </c>
      <c r="R315" s="271" t="s">
        <v>283</v>
      </c>
      <c r="S315" s="608" t="s">
        <v>283</v>
      </c>
      <c r="T315" s="336" t="s">
        <v>283</v>
      </c>
      <c r="U315" s="262"/>
    </row>
    <row r="316" spans="1:21" ht="18" customHeight="1" x14ac:dyDescent="0.2">
      <c r="A316" s="2031"/>
      <c r="B316" s="2039"/>
      <c r="C316" s="2033"/>
      <c r="D316" s="2030"/>
      <c r="E316" s="1707"/>
      <c r="F316" s="1629"/>
      <c r="G316" s="581"/>
      <c r="H316" s="1007"/>
      <c r="I316" s="1008"/>
      <c r="J316" s="1004"/>
      <c r="K316" s="1007"/>
      <c r="L316" s="1008"/>
      <c r="M316" s="1004"/>
      <c r="N316" s="72"/>
      <c r="O316" s="36"/>
      <c r="P316" s="140"/>
      <c r="Q316" s="2159"/>
      <c r="R316" s="36"/>
      <c r="S316" s="124"/>
      <c r="T316" s="35"/>
      <c r="U316" s="34"/>
    </row>
    <row r="317" spans="1:21" ht="15.75" customHeight="1" x14ac:dyDescent="0.2">
      <c r="A317" s="2031"/>
      <c r="B317" s="2039"/>
      <c r="C317" s="2033"/>
      <c r="D317" s="1996" t="s">
        <v>269</v>
      </c>
      <c r="E317" s="2042"/>
      <c r="F317" s="2263"/>
      <c r="G317" s="54"/>
      <c r="H317" s="69"/>
      <c r="I317" s="405"/>
      <c r="J317" s="528"/>
      <c r="K317" s="69"/>
      <c r="L317" s="177"/>
      <c r="M317" s="52"/>
      <c r="N317" s="69"/>
      <c r="O317" s="177"/>
      <c r="P317" s="52"/>
      <c r="Q317" s="1029" t="s">
        <v>289</v>
      </c>
      <c r="R317" s="1180" t="s">
        <v>363</v>
      </c>
      <c r="S317" s="497" t="s">
        <v>293</v>
      </c>
      <c r="T317" s="497" t="s">
        <v>293</v>
      </c>
      <c r="U317" s="2411"/>
    </row>
    <row r="318" spans="1:21" ht="18" customHeight="1" x14ac:dyDescent="0.2">
      <c r="A318" s="2031"/>
      <c r="B318" s="2039"/>
      <c r="C318" s="2033"/>
      <c r="D318" s="2068"/>
      <c r="E318" s="2043"/>
      <c r="F318" s="2263"/>
      <c r="G318" s="54"/>
      <c r="H318" s="69"/>
      <c r="I318" s="177"/>
      <c r="J318" s="52"/>
      <c r="K318" s="69"/>
      <c r="L318" s="177"/>
      <c r="M318" s="52"/>
      <c r="N318" s="69"/>
      <c r="O318" s="177"/>
      <c r="P318" s="52"/>
      <c r="Q318" s="1651" t="s">
        <v>285</v>
      </c>
      <c r="R318" s="1134" t="s">
        <v>362</v>
      </c>
      <c r="S318" s="31" t="s">
        <v>306</v>
      </c>
      <c r="T318" s="159" t="s">
        <v>306</v>
      </c>
      <c r="U318" s="2412"/>
    </row>
    <row r="319" spans="1:21" ht="18" customHeight="1" x14ac:dyDescent="0.2">
      <c r="A319" s="2031"/>
      <c r="B319" s="2039"/>
      <c r="C319" s="2033"/>
      <c r="D319" s="753"/>
      <c r="E319" s="2043"/>
      <c r="F319" s="2263"/>
      <c r="G319" s="54"/>
      <c r="H319" s="69"/>
      <c r="I319" s="177"/>
      <c r="J319" s="52"/>
      <c r="K319" s="69"/>
      <c r="L319" s="177"/>
      <c r="M319" s="52"/>
      <c r="N319" s="69"/>
      <c r="O319" s="177"/>
      <c r="P319" s="52"/>
      <c r="Q319" s="2048" t="s">
        <v>329</v>
      </c>
      <c r="R319" s="1181"/>
      <c r="S319" s="744" t="s">
        <v>280</v>
      </c>
      <c r="T319" s="289"/>
      <c r="U319" s="2411"/>
    </row>
    <row r="320" spans="1:21" ht="11.25" customHeight="1" x14ac:dyDescent="0.2">
      <c r="A320" s="2031"/>
      <c r="B320" s="2039"/>
      <c r="C320" s="2033"/>
      <c r="D320" s="753"/>
      <c r="E320" s="2043"/>
      <c r="F320" s="2263"/>
      <c r="G320" s="54"/>
      <c r="H320" s="69"/>
      <c r="I320" s="177"/>
      <c r="J320" s="52"/>
      <c r="K320" s="69"/>
      <c r="L320" s="177"/>
      <c r="M320" s="52"/>
      <c r="N320" s="69"/>
      <c r="O320" s="177"/>
      <c r="P320" s="52"/>
      <c r="Q320" s="2407"/>
      <c r="R320" s="1182"/>
      <c r="S320" s="610"/>
      <c r="T320" s="609"/>
      <c r="U320" s="2412"/>
    </row>
    <row r="321" spans="1:21" ht="38.25" customHeight="1" x14ac:dyDescent="0.2">
      <c r="A321" s="2031"/>
      <c r="B321" s="2039"/>
      <c r="C321" s="2033"/>
      <c r="D321" s="1654"/>
      <c r="E321" s="2043"/>
      <c r="F321" s="2263"/>
      <c r="G321" s="54"/>
      <c r="H321" s="69"/>
      <c r="I321" s="177"/>
      <c r="J321" s="52"/>
      <c r="K321" s="69"/>
      <c r="L321" s="177"/>
      <c r="M321" s="52"/>
      <c r="N321" s="69"/>
      <c r="O321" s="177"/>
      <c r="P321" s="52"/>
      <c r="Q321" s="1029" t="s">
        <v>291</v>
      </c>
      <c r="R321" s="1182"/>
      <c r="S321" s="610" t="s">
        <v>281</v>
      </c>
      <c r="T321" s="609"/>
      <c r="U321" s="2285"/>
    </row>
    <row r="322" spans="1:21" ht="30" customHeight="1" x14ac:dyDescent="0.2">
      <c r="A322" s="1637"/>
      <c r="B322" s="1638"/>
      <c r="C322" s="1629"/>
      <c r="D322" s="1705"/>
      <c r="E322" s="1707"/>
      <c r="F322" s="1629"/>
      <c r="G322" s="791"/>
      <c r="H322" s="72"/>
      <c r="I322" s="36"/>
      <c r="J322" s="140"/>
      <c r="K322" s="72"/>
      <c r="L322" s="36"/>
      <c r="M322" s="140"/>
      <c r="N322" s="72"/>
      <c r="O322" s="36"/>
      <c r="P322" s="140"/>
      <c r="Q322" s="1986" t="s">
        <v>340</v>
      </c>
      <c r="R322" s="1995" t="s">
        <v>55</v>
      </c>
      <c r="S322" s="380"/>
      <c r="T322" s="1995"/>
      <c r="U322" s="1989"/>
    </row>
    <row r="323" spans="1:21" ht="17.25" customHeight="1" x14ac:dyDescent="0.2">
      <c r="A323" s="1637"/>
      <c r="B323" s="1638"/>
      <c r="C323" s="1629"/>
      <c r="D323" s="1996" t="s">
        <v>102</v>
      </c>
      <c r="E323" s="1640"/>
      <c r="F323" s="1629"/>
      <c r="G323" s="54"/>
      <c r="H323" s="69"/>
      <c r="I323" s="177"/>
      <c r="J323" s="52"/>
      <c r="K323" s="69"/>
      <c r="L323" s="177"/>
      <c r="M323" s="52"/>
      <c r="N323" s="69"/>
      <c r="O323" s="177"/>
      <c r="P323" s="52"/>
      <c r="Q323" s="1999" t="s">
        <v>145</v>
      </c>
      <c r="R323" s="1993">
        <v>14</v>
      </c>
      <c r="S323" s="332">
        <v>12</v>
      </c>
      <c r="T323" s="569">
        <v>6</v>
      </c>
      <c r="U323" s="1697"/>
    </row>
    <row r="324" spans="1:21" ht="15" customHeight="1" x14ac:dyDescent="0.2">
      <c r="A324" s="1637"/>
      <c r="B324" s="1638"/>
      <c r="C324" s="1629"/>
      <c r="D324" s="2153"/>
      <c r="E324" s="1707"/>
      <c r="F324" s="1629"/>
      <c r="G324" s="791"/>
      <c r="H324" s="72"/>
      <c r="I324" s="36"/>
      <c r="J324" s="140"/>
      <c r="K324" s="72"/>
      <c r="L324" s="36"/>
      <c r="M324" s="140"/>
      <c r="N324" s="72"/>
      <c r="O324" s="36"/>
      <c r="P324" s="140"/>
      <c r="Q324" s="2001"/>
      <c r="R324" s="19"/>
      <c r="S324" s="233"/>
      <c r="T324" s="41"/>
      <c r="U324" s="1994"/>
    </row>
    <row r="325" spans="1:21" ht="15.75" customHeight="1" x14ac:dyDescent="0.2">
      <c r="A325" s="1703"/>
      <c r="B325" s="1638"/>
      <c r="C325" s="1629"/>
      <c r="D325" s="2002" t="s">
        <v>39</v>
      </c>
      <c r="E325" s="1650"/>
      <c r="F325" s="1629"/>
      <c r="G325" s="54" t="s">
        <v>25</v>
      </c>
      <c r="H325" s="69"/>
      <c r="I325" s="405">
        <v>28.9</v>
      </c>
      <c r="J325" s="528">
        <f>I325</f>
        <v>28.9</v>
      </c>
      <c r="K325" s="69"/>
      <c r="L325" s="177"/>
      <c r="M325" s="52"/>
      <c r="N325" s="69"/>
      <c r="O325" s="177"/>
      <c r="P325" s="52"/>
      <c r="Q325" s="1985" t="s">
        <v>268</v>
      </c>
      <c r="R325" s="1992">
        <v>14</v>
      </c>
      <c r="S325" s="961">
        <v>14</v>
      </c>
      <c r="T325" s="1990">
        <v>14</v>
      </c>
      <c r="U325" s="2408" t="s">
        <v>429</v>
      </c>
    </row>
    <row r="326" spans="1:21" ht="15.75" customHeight="1" x14ac:dyDescent="0.2">
      <c r="A326" s="1783"/>
      <c r="B326" s="1776"/>
      <c r="C326" s="1777"/>
      <c r="D326" s="2040"/>
      <c r="E326" s="1778"/>
      <c r="F326" s="1777"/>
      <c r="G326" s="54" t="s">
        <v>60</v>
      </c>
      <c r="H326" s="69"/>
      <c r="I326" s="405">
        <v>31.9</v>
      </c>
      <c r="J326" s="528">
        <f t="shared" ref="J326:J327" si="21">I326</f>
        <v>31.9</v>
      </c>
      <c r="K326" s="69"/>
      <c r="L326" s="177"/>
      <c r="M326" s="52"/>
      <c r="N326" s="69"/>
      <c r="O326" s="177"/>
      <c r="P326" s="85"/>
      <c r="Q326" s="1987"/>
      <c r="R326" s="1993"/>
      <c r="S326" s="232"/>
      <c r="T326" s="1991"/>
      <c r="U326" s="2383"/>
    </row>
    <row r="327" spans="1:21" ht="15.75" customHeight="1" x14ac:dyDescent="0.2">
      <c r="A327" s="1783"/>
      <c r="B327" s="1776"/>
      <c r="C327" s="1777"/>
      <c r="D327" s="2040"/>
      <c r="E327" s="1778"/>
      <c r="F327" s="1777"/>
      <c r="G327" s="54" t="s">
        <v>75</v>
      </c>
      <c r="H327" s="69"/>
      <c r="I327" s="405">
        <v>4.7</v>
      </c>
      <c r="J327" s="528">
        <f t="shared" si="21"/>
        <v>4.7</v>
      </c>
      <c r="K327" s="69"/>
      <c r="L327" s="177"/>
      <c r="M327" s="52"/>
      <c r="N327" s="69"/>
      <c r="O327" s="177"/>
      <c r="P327" s="85"/>
      <c r="Q327" s="1987"/>
      <c r="R327" s="1993"/>
      <c r="S327" s="232"/>
      <c r="T327" s="1991"/>
      <c r="U327" s="2383"/>
    </row>
    <row r="328" spans="1:21" ht="88.5" customHeight="1" x14ac:dyDescent="0.2">
      <c r="A328" s="1703"/>
      <c r="B328" s="1638"/>
      <c r="C328" s="1629"/>
      <c r="D328" s="2030"/>
      <c r="E328" s="1707"/>
      <c r="F328" s="1629"/>
      <c r="G328" s="791"/>
      <c r="H328" s="72"/>
      <c r="I328" s="36"/>
      <c r="J328" s="140"/>
      <c r="K328" s="72"/>
      <c r="L328" s="36"/>
      <c r="M328" s="140"/>
      <c r="N328" s="72"/>
      <c r="O328" s="36"/>
      <c r="P328" s="124"/>
      <c r="Q328" s="1987"/>
      <c r="R328" s="19"/>
      <c r="S328" s="233"/>
      <c r="T328" s="41"/>
      <c r="U328" s="2383"/>
    </row>
    <row r="329" spans="1:21" ht="15" customHeight="1" x14ac:dyDescent="0.2">
      <c r="A329" s="1703"/>
      <c r="B329" s="1638"/>
      <c r="C329" s="1629"/>
      <c r="D329" s="2002" t="s">
        <v>234</v>
      </c>
      <c r="E329" s="1640"/>
      <c r="F329" s="1629"/>
      <c r="G329" s="788"/>
      <c r="H329" s="73"/>
      <c r="I329" s="42"/>
      <c r="J329" s="158"/>
      <c r="K329" s="73"/>
      <c r="L329" s="42"/>
      <c r="M329" s="158"/>
      <c r="N329" s="73"/>
      <c r="O329" s="42"/>
      <c r="P329" s="158"/>
      <c r="Q329" s="640" t="s">
        <v>92</v>
      </c>
      <c r="R329" s="525">
        <v>1</v>
      </c>
      <c r="S329" s="232"/>
      <c r="T329" s="1991"/>
      <c r="U329" s="2383"/>
    </row>
    <row r="330" spans="1:21" ht="27.75" customHeight="1" x14ac:dyDescent="0.2">
      <c r="A330" s="1703"/>
      <c r="B330" s="1638"/>
      <c r="C330" s="1629"/>
      <c r="D330" s="2030"/>
      <c r="E330" s="1640"/>
      <c r="F330" s="1629"/>
      <c r="G330" s="789"/>
      <c r="H330" s="72"/>
      <c r="I330" s="36"/>
      <c r="J330" s="140"/>
      <c r="K330" s="72"/>
      <c r="L330" s="36"/>
      <c r="M330" s="140"/>
      <c r="N330" s="72"/>
      <c r="O330" s="36"/>
      <c r="P330" s="140"/>
      <c r="Q330" s="359" t="s">
        <v>247</v>
      </c>
      <c r="R330" s="645"/>
      <c r="S330" s="646">
        <v>100</v>
      </c>
      <c r="T330" s="1000"/>
      <c r="U330" s="2383"/>
    </row>
    <row r="331" spans="1:21" ht="14.25" customHeight="1" x14ac:dyDescent="0.2">
      <c r="A331" s="1703"/>
      <c r="B331" s="1638"/>
      <c r="C331" s="1639"/>
      <c r="D331" s="1625" t="s">
        <v>331</v>
      </c>
      <c r="E331" s="113"/>
      <c r="F331" s="1629"/>
      <c r="G331" s="700"/>
      <c r="H331" s="594"/>
      <c r="I331" s="1061"/>
      <c r="J331" s="1062"/>
      <c r="K331" s="701"/>
      <c r="L331" s="1061"/>
      <c r="M331" s="1063"/>
      <c r="N331" s="73"/>
      <c r="O331" s="529"/>
      <c r="P331" s="530"/>
      <c r="Q331" s="1984" t="s">
        <v>46</v>
      </c>
      <c r="R331" s="383">
        <v>3</v>
      </c>
      <c r="S331" s="1183"/>
      <c r="T331" s="1184"/>
      <c r="U331" s="2383"/>
    </row>
    <row r="332" spans="1:21" ht="26.25" customHeight="1" x14ac:dyDescent="0.2">
      <c r="A332" s="1641"/>
      <c r="B332" s="1657"/>
      <c r="C332" s="1648"/>
      <c r="D332" s="703" t="s">
        <v>334</v>
      </c>
      <c r="E332" s="2222"/>
      <c r="F332" s="2100"/>
      <c r="G332" s="696"/>
      <c r="H332" s="255"/>
      <c r="I332" s="291"/>
      <c r="J332" s="256"/>
      <c r="K332" s="85"/>
      <c r="L332" s="177"/>
      <c r="M332" s="85"/>
      <c r="N332" s="69"/>
      <c r="O332" s="177"/>
      <c r="P332" s="52"/>
      <c r="Q332" s="1988" t="s">
        <v>263</v>
      </c>
      <c r="R332" s="1583"/>
      <c r="S332" s="1583">
        <v>50</v>
      </c>
      <c r="T332" s="294">
        <v>100</v>
      </c>
      <c r="U332" s="2383"/>
    </row>
    <row r="333" spans="1:21" ht="12.75" customHeight="1" x14ac:dyDescent="0.2">
      <c r="A333" s="1641"/>
      <c r="B333" s="1657"/>
      <c r="C333" s="1648"/>
      <c r="D333" s="703" t="s">
        <v>332</v>
      </c>
      <c r="E333" s="2222"/>
      <c r="F333" s="2100"/>
      <c r="G333" s="696"/>
      <c r="H333" s="255"/>
      <c r="I333" s="291"/>
      <c r="J333" s="256"/>
      <c r="K333" s="85"/>
      <c r="L333" s="177"/>
      <c r="M333" s="85"/>
      <c r="N333" s="69"/>
      <c r="O333" s="177"/>
      <c r="P333" s="52"/>
      <c r="Q333" s="358"/>
      <c r="R333" s="1583"/>
      <c r="S333" s="1583"/>
      <c r="T333" s="294"/>
      <c r="U333" s="2383"/>
    </row>
    <row r="334" spans="1:21" ht="15.75" customHeight="1" x14ac:dyDescent="0.2">
      <c r="A334" s="1641"/>
      <c r="B334" s="1657"/>
      <c r="C334" s="1648"/>
      <c r="D334" s="1669" t="s">
        <v>333</v>
      </c>
      <c r="E334" s="2404"/>
      <c r="F334" s="2405"/>
      <c r="G334" s="697"/>
      <c r="H334" s="102"/>
      <c r="I334" s="582"/>
      <c r="J334" s="599"/>
      <c r="K334" s="124"/>
      <c r="L334" s="36"/>
      <c r="M334" s="124"/>
      <c r="N334" s="72"/>
      <c r="O334" s="36"/>
      <c r="P334" s="140"/>
      <c r="Q334" s="359"/>
      <c r="R334" s="1583"/>
      <c r="S334" s="294"/>
      <c r="T334" s="294"/>
      <c r="U334" s="2383"/>
    </row>
    <row r="335" spans="1:21" ht="13.5" customHeight="1" x14ac:dyDescent="0.2">
      <c r="A335" s="1703"/>
      <c r="B335" s="1664"/>
      <c r="C335" s="79"/>
      <c r="D335" s="2002" t="s">
        <v>330</v>
      </c>
      <c r="E335" s="756" t="s">
        <v>47</v>
      </c>
      <c r="F335" s="1632"/>
      <c r="G335" s="792"/>
      <c r="H335" s="73"/>
      <c r="I335" s="42"/>
      <c r="J335" s="158"/>
      <c r="K335" s="73"/>
      <c r="L335" s="42"/>
      <c r="M335" s="158"/>
      <c r="N335" s="73"/>
      <c r="O335" s="42"/>
      <c r="P335" s="158"/>
      <c r="Q335" s="640" t="s">
        <v>92</v>
      </c>
      <c r="R335" s="641">
        <v>1</v>
      </c>
      <c r="S335" s="642"/>
      <c r="T335" s="1001"/>
      <c r="U335" s="917"/>
    </row>
    <row r="336" spans="1:21" ht="25.5" customHeight="1" x14ac:dyDescent="0.2">
      <c r="A336" s="1703"/>
      <c r="B336" s="1664"/>
      <c r="C336" s="79"/>
      <c r="D336" s="2040"/>
      <c r="E336" s="258"/>
      <c r="F336" s="1633"/>
      <c r="G336" s="793"/>
      <c r="H336" s="72"/>
      <c r="I336" s="36"/>
      <c r="J336" s="140"/>
      <c r="K336" s="72"/>
      <c r="L336" s="36"/>
      <c r="M336" s="140"/>
      <c r="N336" s="72"/>
      <c r="O336" s="36"/>
      <c r="P336" s="140"/>
      <c r="Q336" s="358" t="s">
        <v>277</v>
      </c>
      <c r="R336" s="916"/>
      <c r="S336" s="383">
        <v>20</v>
      </c>
      <c r="T336" s="1002">
        <v>100</v>
      </c>
      <c r="U336" s="917"/>
    </row>
    <row r="337" spans="1:21" ht="16.5" customHeight="1" thickBot="1" x14ac:dyDescent="0.25">
      <c r="A337" s="58"/>
      <c r="B337" s="1646"/>
      <c r="C337" s="45"/>
      <c r="D337" s="912"/>
      <c r="E337" s="913"/>
      <c r="F337" s="45"/>
      <c r="G337" s="111" t="s">
        <v>6</v>
      </c>
      <c r="H337" s="165">
        <f>SUM(H292:H336)</f>
        <v>4037.8</v>
      </c>
      <c r="I337" s="503">
        <f>SUM(I292:I336)</f>
        <v>4103.3</v>
      </c>
      <c r="J337" s="476">
        <f>SUM(J292:J336)</f>
        <v>65.5</v>
      </c>
      <c r="K337" s="165">
        <f t="shared" ref="K337" si="22">SUM(K292:K336)</f>
        <v>3805.8</v>
      </c>
      <c r="L337" s="503">
        <f>SUM(L292:L336)</f>
        <v>3805.8</v>
      </c>
      <c r="M337" s="476">
        <f t="shared" ref="M337:P337" si="23">SUM(M292:M336)</f>
        <v>0</v>
      </c>
      <c r="N337" s="165">
        <f t="shared" ref="N337:O337" si="24">SUM(N292:N336)</f>
        <v>3938.4</v>
      </c>
      <c r="O337" s="503">
        <f t="shared" si="24"/>
        <v>3938.4</v>
      </c>
      <c r="P337" s="476">
        <f t="shared" si="23"/>
        <v>0</v>
      </c>
      <c r="Q337" s="390"/>
      <c r="R337" s="149"/>
      <c r="S337" s="485"/>
      <c r="T337" s="148"/>
      <c r="U337" s="34"/>
    </row>
    <row r="338" spans="1:21" ht="26.25" customHeight="1" x14ac:dyDescent="0.2">
      <c r="A338" s="1703" t="s">
        <v>5</v>
      </c>
      <c r="B338" s="1638" t="s">
        <v>33</v>
      </c>
      <c r="C338" s="172" t="s">
        <v>7</v>
      </c>
      <c r="D338" s="2418" t="s">
        <v>131</v>
      </c>
      <c r="E338" s="2419" t="s">
        <v>47</v>
      </c>
      <c r="F338" s="2401" t="s">
        <v>43</v>
      </c>
      <c r="G338" s="54" t="s">
        <v>25</v>
      </c>
      <c r="H338" s="69"/>
      <c r="I338" s="177"/>
      <c r="J338" s="52"/>
      <c r="K338" s="69">
        <v>111</v>
      </c>
      <c r="L338" s="177">
        <v>111</v>
      </c>
      <c r="M338" s="52"/>
      <c r="N338" s="69">
        <v>199.3</v>
      </c>
      <c r="O338" s="177">
        <v>199.3</v>
      </c>
      <c r="P338" s="52"/>
      <c r="Q338" s="1029" t="s">
        <v>139</v>
      </c>
      <c r="R338" s="525"/>
      <c r="S338" s="242">
        <v>1</v>
      </c>
      <c r="T338" s="267"/>
      <c r="U338" s="1715"/>
    </row>
    <row r="339" spans="1:21" ht="26.25" customHeight="1" x14ac:dyDescent="0.2">
      <c r="A339" s="1703"/>
      <c r="B339" s="1638"/>
      <c r="C339" s="172"/>
      <c r="D339" s="2040"/>
      <c r="E339" s="2122"/>
      <c r="F339" s="2402"/>
      <c r="G339" s="54" t="s">
        <v>60</v>
      </c>
      <c r="H339" s="69">
        <v>83.9</v>
      </c>
      <c r="I339" s="177">
        <v>83.9</v>
      </c>
      <c r="J339" s="52"/>
      <c r="K339" s="69"/>
      <c r="L339" s="177"/>
      <c r="M339" s="52"/>
      <c r="N339" s="69"/>
      <c r="O339" s="177"/>
      <c r="P339" s="52"/>
      <c r="Q339" s="71" t="s">
        <v>209</v>
      </c>
      <c r="R339" s="22">
        <v>100</v>
      </c>
      <c r="S339" s="241"/>
      <c r="T339" s="134"/>
      <c r="U339" s="1715"/>
    </row>
    <row r="340" spans="1:21" ht="26.25" customHeight="1" x14ac:dyDescent="0.2">
      <c r="A340" s="1703"/>
      <c r="B340" s="1638"/>
      <c r="C340" s="172"/>
      <c r="D340" s="2040"/>
      <c r="E340" s="2122"/>
      <c r="F340" s="2402"/>
      <c r="G340" s="791"/>
      <c r="H340" s="72"/>
      <c r="I340" s="36"/>
      <c r="J340" s="140"/>
      <c r="K340" s="72"/>
      <c r="L340" s="36"/>
      <c r="M340" s="140"/>
      <c r="N340" s="72"/>
      <c r="O340" s="36"/>
      <c r="P340" s="140"/>
      <c r="Q340" s="1711" t="s">
        <v>134</v>
      </c>
      <c r="R340" s="289"/>
      <c r="S340" s="782">
        <v>30</v>
      </c>
      <c r="T340" s="384">
        <v>100</v>
      </c>
      <c r="U340" s="1715"/>
    </row>
    <row r="341" spans="1:21" ht="17.25" customHeight="1" thickBot="1" x14ac:dyDescent="0.25">
      <c r="A341" s="58"/>
      <c r="B341" s="1646"/>
      <c r="C341" s="81"/>
      <c r="D341" s="2121"/>
      <c r="E341" s="2123"/>
      <c r="F341" s="2403"/>
      <c r="G341" s="111" t="s">
        <v>6</v>
      </c>
      <c r="H341" s="165">
        <f>SUM(H338:H339)</f>
        <v>83.9</v>
      </c>
      <c r="I341" s="503">
        <f>SUM(I338:I339)</f>
        <v>83.9</v>
      </c>
      <c r="J341" s="266">
        <f>SUM(J338:J339)</f>
        <v>0</v>
      </c>
      <c r="K341" s="165">
        <f t="shared" ref="K341:L341" si="25">SUM(K338:K339)</f>
        <v>111</v>
      </c>
      <c r="L341" s="503">
        <f t="shared" si="25"/>
        <v>111</v>
      </c>
      <c r="M341" s="266">
        <f t="shared" ref="M341:P341" si="26">SUM(M338:M339)</f>
        <v>0</v>
      </c>
      <c r="N341" s="165">
        <f t="shared" ref="N341:O341" si="27">SUM(N338:N339)</f>
        <v>199.3</v>
      </c>
      <c r="O341" s="503">
        <f t="shared" si="27"/>
        <v>199.3</v>
      </c>
      <c r="P341" s="266">
        <f t="shared" si="26"/>
        <v>0</v>
      </c>
      <c r="Q341" s="831"/>
      <c r="R341" s="160"/>
      <c r="S341" s="490"/>
      <c r="T341" s="1003"/>
      <c r="U341" s="519"/>
    </row>
    <row r="342" spans="1:21" ht="14.25" customHeight="1" thickBot="1" x14ac:dyDescent="0.25">
      <c r="A342" s="58" t="s">
        <v>5</v>
      </c>
      <c r="B342" s="1646" t="s">
        <v>33</v>
      </c>
      <c r="C342" s="2188" t="s">
        <v>8</v>
      </c>
      <c r="D342" s="2160"/>
      <c r="E342" s="2160"/>
      <c r="F342" s="2160"/>
      <c r="G342" s="2161"/>
      <c r="H342" s="514">
        <f>H341+H337</f>
        <v>4121.7</v>
      </c>
      <c r="I342" s="1646">
        <f>I341+I337</f>
        <v>4187.2</v>
      </c>
      <c r="J342" s="1005">
        <f>J341+J337</f>
        <v>65.5</v>
      </c>
      <c r="K342" s="514">
        <f t="shared" ref="K342:L342" si="28">K341+K337</f>
        <v>3916.8</v>
      </c>
      <c r="L342" s="1646">
        <f t="shared" si="28"/>
        <v>3916.8</v>
      </c>
      <c r="M342" s="1005">
        <f t="shared" ref="M342:P342" si="29">M341+M337</f>
        <v>0</v>
      </c>
      <c r="N342" s="261">
        <f t="shared" ref="N342:O342" si="30">N341+N337</f>
        <v>4137.7</v>
      </c>
      <c r="O342" s="65">
        <f t="shared" si="30"/>
        <v>4137.7</v>
      </c>
      <c r="P342" s="975">
        <f t="shared" si="29"/>
        <v>0</v>
      </c>
      <c r="Q342" s="2162"/>
      <c r="R342" s="2162"/>
      <c r="S342" s="2162"/>
      <c r="T342" s="2162"/>
      <c r="U342" s="2163"/>
    </row>
    <row r="343" spans="1:21" ht="14.25" customHeight="1" thickBot="1" x14ac:dyDescent="0.25">
      <c r="A343" s="76" t="s">
        <v>5</v>
      </c>
      <c r="B343" s="2154" t="s">
        <v>9</v>
      </c>
      <c r="C343" s="2155"/>
      <c r="D343" s="2155"/>
      <c r="E343" s="2155"/>
      <c r="F343" s="2155"/>
      <c r="G343" s="2156"/>
      <c r="H343" s="58">
        <f t="shared" ref="H343:P343" si="31">H342+H290+H239+H98</f>
        <v>27486.3</v>
      </c>
      <c r="I343" s="58">
        <f t="shared" si="31"/>
        <v>29161.9</v>
      </c>
      <c r="J343" s="58">
        <f t="shared" si="31"/>
        <v>1675.6</v>
      </c>
      <c r="K343" s="58">
        <f t="shared" si="31"/>
        <v>34570.199999999997</v>
      </c>
      <c r="L343" s="58">
        <f t="shared" si="31"/>
        <v>36788</v>
      </c>
      <c r="M343" s="58">
        <f t="shared" si="31"/>
        <v>2217.8000000000002</v>
      </c>
      <c r="N343" s="58">
        <f t="shared" si="31"/>
        <v>27840.799999999999</v>
      </c>
      <c r="O343" s="58">
        <f t="shared" si="31"/>
        <v>28044.1</v>
      </c>
      <c r="P343" s="115">
        <f t="shared" si="31"/>
        <v>302.3</v>
      </c>
      <c r="Q343" s="2157"/>
      <c r="R343" s="2157"/>
      <c r="S343" s="2157"/>
      <c r="T343" s="2157"/>
      <c r="U343" s="2158"/>
    </row>
    <row r="344" spans="1:21" ht="14.25" customHeight="1" thickBot="1" x14ac:dyDescent="0.25">
      <c r="A344" s="87" t="s">
        <v>35</v>
      </c>
      <c r="B344" s="2097" t="s">
        <v>57</v>
      </c>
      <c r="C344" s="2098"/>
      <c r="D344" s="2098"/>
      <c r="E344" s="2098"/>
      <c r="F344" s="2098"/>
      <c r="G344" s="2099"/>
      <c r="H344" s="517">
        <f t="shared" ref="H344:M344" si="32">SUM(H343)</f>
        <v>27486.3</v>
      </c>
      <c r="I344" s="518">
        <f t="shared" si="32"/>
        <v>29161.9</v>
      </c>
      <c r="J344" s="1006">
        <f t="shared" si="32"/>
        <v>1675.6</v>
      </c>
      <c r="K344" s="517">
        <f t="shared" si="32"/>
        <v>34570.199999999997</v>
      </c>
      <c r="L344" s="518">
        <f t="shared" si="32"/>
        <v>36788</v>
      </c>
      <c r="M344" s="1006">
        <f t="shared" si="32"/>
        <v>2217.8000000000002</v>
      </c>
      <c r="N344" s="517">
        <f t="shared" ref="N344:P344" si="33">SUM(N343)</f>
        <v>27840.799999999999</v>
      </c>
      <c r="O344" s="518">
        <f t="shared" ref="O344" si="34">SUM(O343)</f>
        <v>28044.1</v>
      </c>
      <c r="P344" s="1006">
        <f t="shared" si="33"/>
        <v>302.3</v>
      </c>
      <c r="Q344" s="2119"/>
      <c r="R344" s="2119"/>
      <c r="S344" s="2119"/>
      <c r="T344" s="2119"/>
      <c r="U344" s="2120"/>
    </row>
    <row r="345" spans="1:21" s="5" customFormat="1" ht="8.25" customHeight="1" x14ac:dyDescent="0.2">
      <c r="A345" s="965"/>
      <c r="B345" s="966"/>
      <c r="C345" s="1754"/>
      <c r="D345" s="966"/>
      <c r="E345" s="966"/>
      <c r="F345" s="966"/>
      <c r="G345" s="966"/>
      <c r="H345" s="966"/>
      <c r="I345" s="966"/>
      <c r="J345" s="966"/>
      <c r="K345" s="966"/>
      <c r="L345" s="966"/>
      <c r="M345" s="966"/>
      <c r="N345" s="966"/>
      <c r="O345" s="966"/>
      <c r="P345" s="966"/>
      <c r="Q345" s="588"/>
      <c r="R345" s="588"/>
      <c r="S345" s="588"/>
      <c r="T345" s="588"/>
      <c r="U345" s="588"/>
    </row>
    <row r="346" spans="1:21" s="4" customFormat="1" ht="12" customHeight="1" x14ac:dyDescent="0.2">
      <c r="A346" s="588"/>
      <c r="B346" s="535"/>
      <c r="C346" s="1755"/>
      <c r="D346" s="535"/>
      <c r="E346" s="535"/>
      <c r="F346" s="535"/>
      <c r="G346" s="535"/>
      <c r="H346" s="535"/>
      <c r="I346" s="535"/>
      <c r="J346" s="535"/>
      <c r="K346" s="535"/>
      <c r="L346" s="535"/>
      <c r="M346" s="535"/>
      <c r="N346" s="535"/>
      <c r="O346" s="535"/>
      <c r="P346" s="535"/>
      <c r="Q346" s="535"/>
      <c r="R346" s="588"/>
      <c r="S346" s="588"/>
      <c r="T346" s="588"/>
      <c r="U346" s="588"/>
    </row>
    <row r="347" spans="1:21" s="5" customFormat="1" ht="15" customHeight="1" thickBot="1" x14ac:dyDescent="0.25">
      <c r="A347" s="2090" t="s">
        <v>13</v>
      </c>
      <c r="B347" s="2090"/>
      <c r="C347" s="2090"/>
      <c r="D347" s="2090"/>
      <c r="E347" s="2090"/>
      <c r="F347" s="2090"/>
      <c r="G347" s="2090"/>
      <c r="H347" s="125"/>
      <c r="I347" s="125"/>
      <c r="J347" s="125"/>
      <c r="K347" s="125"/>
      <c r="L347" s="125"/>
      <c r="M347" s="125"/>
      <c r="N347" s="125"/>
      <c r="O347" s="125"/>
      <c r="P347" s="125"/>
      <c r="Q347" s="88"/>
      <c r="R347" s="88"/>
      <c r="S347" s="88"/>
      <c r="T347" s="88"/>
      <c r="U347" s="88"/>
    </row>
    <row r="348" spans="1:21" ht="75.75" customHeight="1" thickBot="1" x14ac:dyDescent="0.25">
      <c r="A348" s="2091" t="s">
        <v>10</v>
      </c>
      <c r="B348" s="2092"/>
      <c r="C348" s="2092"/>
      <c r="D348" s="2092"/>
      <c r="E348" s="2092"/>
      <c r="F348" s="2092"/>
      <c r="G348" s="2093"/>
      <c r="H348" s="994" t="s">
        <v>227</v>
      </c>
      <c r="I348" s="995" t="s">
        <v>337</v>
      </c>
      <c r="J348" s="996" t="s">
        <v>219</v>
      </c>
      <c r="K348" s="997" t="s">
        <v>158</v>
      </c>
      <c r="L348" s="995" t="s">
        <v>220</v>
      </c>
      <c r="M348" s="996" t="s">
        <v>219</v>
      </c>
      <c r="N348" s="997" t="s">
        <v>223</v>
      </c>
      <c r="O348" s="995" t="s">
        <v>336</v>
      </c>
      <c r="P348" s="996" t="s">
        <v>219</v>
      </c>
      <c r="Q348" s="13"/>
      <c r="R348" s="13"/>
      <c r="S348" s="13"/>
      <c r="T348" s="13"/>
      <c r="U348" s="13"/>
    </row>
    <row r="349" spans="1:21" ht="14.25" customHeight="1" x14ac:dyDescent="0.2">
      <c r="A349" s="2094" t="s">
        <v>14</v>
      </c>
      <c r="B349" s="2095"/>
      <c r="C349" s="2095"/>
      <c r="D349" s="2095"/>
      <c r="E349" s="2095"/>
      <c r="F349" s="2095"/>
      <c r="G349" s="2096"/>
      <c r="H349" s="548">
        <f>H350+H358+H359+H360+H357</f>
        <v>24778.400000000001</v>
      </c>
      <c r="I349" s="1019">
        <f>I350+I358+I359+I360+I357</f>
        <v>26454</v>
      </c>
      <c r="J349" s="1011">
        <f t="shared" ref="J349:P349" si="35">J350+J358+J359+J360+J357</f>
        <v>1675.6</v>
      </c>
      <c r="K349" s="548">
        <f t="shared" ref="K349:L349" si="36">K350+K358+K359+K360+K357</f>
        <v>16218.2</v>
      </c>
      <c r="L349" s="1019">
        <f t="shared" si="36"/>
        <v>17557</v>
      </c>
      <c r="M349" s="1011">
        <f t="shared" si="35"/>
        <v>1338.8</v>
      </c>
      <c r="N349" s="548">
        <f t="shared" ref="N349:O349" si="37">N350+N358+N359+N360+N357</f>
        <v>16306.1</v>
      </c>
      <c r="O349" s="1019">
        <f t="shared" si="37"/>
        <v>16365.4</v>
      </c>
      <c r="P349" s="1016">
        <f t="shared" si="35"/>
        <v>158.30000000000001</v>
      </c>
      <c r="Q349" s="13"/>
      <c r="R349" s="13"/>
      <c r="S349" s="13"/>
      <c r="T349" s="13"/>
      <c r="U349" s="13"/>
    </row>
    <row r="350" spans="1:21" ht="14.25" customHeight="1" x14ac:dyDescent="0.2">
      <c r="A350" s="2072" t="s">
        <v>91</v>
      </c>
      <c r="B350" s="2073"/>
      <c r="C350" s="2073"/>
      <c r="D350" s="2073"/>
      <c r="E350" s="2073"/>
      <c r="F350" s="2073"/>
      <c r="G350" s="2074"/>
      <c r="H350" s="549">
        <f>SUM(H351:H356)</f>
        <v>20261.3</v>
      </c>
      <c r="I350" s="520">
        <f>SUM(I351:I356)</f>
        <v>20917</v>
      </c>
      <c r="J350" s="1012">
        <f>SUM(J351:J356)</f>
        <v>655.7</v>
      </c>
      <c r="K350" s="549">
        <f t="shared" ref="K350:L350" si="38">SUM(K351:K356)</f>
        <v>11026.6</v>
      </c>
      <c r="L350" s="520">
        <f t="shared" si="38"/>
        <v>12581.9</v>
      </c>
      <c r="M350" s="1012">
        <f t="shared" ref="M350:P350" si="39">SUM(M351:M356)</f>
        <v>1555.3</v>
      </c>
      <c r="N350" s="549">
        <f t="shared" ref="N350:O350" si="40">SUM(N351:N356)</f>
        <v>11369.4</v>
      </c>
      <c r="O350" s="520">
        <f t="shared" si="40"/>
        <v>11484.2</v>
      </c>
      <c r="P350" s="1017">
        <f t="shared" si="39"/>
        <v>213.8</v>
      </c>
      <c r="Q350" s="13"/>
      <c r="R350" s="13"/>
      <c r="S350" s="13"/>
      <c r="T350" s="13"/>
      <c r="U350" s="13"/>
    </row>
    <row r="351" spans="1:21" ht="14.25" customHeight="1" x14ac:dyDescent="0.2">
      <c r="A351" s="2081" t="s">
        <v>19</v>
      </c>
      <c r="B351" s="2082"/>
      <c r="C351" s="2082"/>
      <c r="D351" s="2082"/>
      <c r="E351" s="2082"/>
      <c r="F351" s="2082"/>
      <c r="G351" s="2083"/>
      <c r="H351" s="36">
        <f>SUMIF(G12:G344,"SB",H12:H344)</f>
        <v>7994.3</v>
      </c>
      <c r="I351" s="36">
        <f>SUMIF(G12:G344,"SB",I12:I344)</f>
        <v>8450</v>
      </c>
      <c r="J351" s="140">
        <f>SUMIF(G12:G344,"SB",J12:J344)</f>
        <v>455.7</v>
      </c>
      <c r="K351" s="72">
        <f>SUMIF(G14:G344,"SB",K14:K344)</f>
        <v>9133.2000000000007</v>
      </c>
      <c r="L351" s="36">
        <f>SUMIF(G14:G344,"SB",L14:L344)</f>
        <v>10688.5</v>
      </c>
      <c r="M351" s="140">
        <f>SUMIF(G14:G344,"SB",M14:M344)</f>
        <v>1555.3</v>
      </c>
      <c r="N351" s="72">
        <f>SUMIF(G14:G344,"SB",N14:N344)</f>
        <v>9598.7999999999993</v>
      </c>
      <c r="O351" s="36">
        <f>SUMIF(G14:G344,"SB",O14:O344)</f>
        <v>9713.6</v>
      </c>
      <c r="P351" s="140">
        <f>SUMIF(G14:G344,"SB",P14:P344)</f>
        <v>213.8</v>
      </c>
      <c r="Q351" s="13"/>
      <c r="R351" s="13"/>
      <c r="S351" s="13"/>
      <c r="T351" s="13"/>
      <c r="U351" s="13"/>
    </row>
    <row r="352" spans="1:21" ht="14.25" customHeight="1" x14ac:dyDescent="0.2">
      <c r="A352" s="2069" t="s">
        <v>20</v>
      </c>
      <c r="B352" s="2070"/>
      <c r="C352" s="2070"/>
      <c r="D352" s="2070"/>
      <c r="E352" s="2070"/>
      <c r="F352" s="2070"/>
      <c r="G352" s="2071"/>
      <c r="H352" s="120">
        <f>SUMIF(G98:G344,"SB(P)",H98:H344)</f>
        <v>0</v>
      </c>
      <c r="I352" s="131">
        <f>SUMIF(G98:G344,"SB(P)",I98:I344)</f>
        <v>0</v>
      </c>
      <c r="J352" s="292">
        <f>SUMIF(G98:G344,"SB(P)",J98:J344)</f>
        <v>0</v>
      </c>
      <c r="K352" s="120">
        <f>SUMIF(G98:G344,"SB(P)",K98:K344)</f>
        <v>0</v>
      </c>
      <c r="L352" s="131">
        <f>SUMIF(G98:G344,"SB(P)",L98:L344)</f>
        <v>0</v>
      </c>
      <c r="M352" s="292">
        <f>SUMIF(G98:G344,"SB(P)",M98:M344)</f>
        <v>0</v>
      </c>
      <c r="N352" s="120">
        <f>SUMIF(G98:G344,"SB(P)",N98:N344)</f>
        <v>0</v>
      </c>
      <c r="O352" s="131">
        <f>SUMIF(G98:G344,"SB(P)",O98:O344)</f>
        <v>0</v>
      </c>
      <c r="P352" s="292">
        <f>SUMIF(G98:G344,"SB(P)",P98:P344)</f>
        <v>0</v>
      </c>
      <c r="Q352" s="13"/>
      <c r="R352" s="13"/>
      <c r="S352" s="13"/>
      <c r="T352" s="13"/>
      <c r="U352" s="13"/>
    </row>
    <row r="353" spans="1:21" ht="14.25" customHeight="1" x14ac:dyDescent="0.2">
      <c r="A353" s="2069" t="s">
        <v>69</v>
      </c>
      <c r="B353" s="2070"/>
      <c r="C353" s="2070"/>
      <c r="D353" s="2070"/>
      <c r="E353" s="2070"/>
      <c r="F353" s="2070"/>
      <c r="G353" s="2071"/>
      <c r="H353" s="72">
        <f>SUMIF(G98:G344,"SB(VR)",H98:H344)</f>
        <v>1770.6</v>
      </c>
      <c r="I353" s="36">
        <f>SUMIF(G98:G344,"SB(VR)",I98:I344)</f>
        <v>1770.6</v>
      </c>
      <c r="J353" s="140">
        <f>SUMIF(G98:G344,"SB(VR)",J98:J344)</f>
        <v>0</v>
      </c>
      <c r="K353" s="72">
        <f>SUMIF(G98:G344,"SB(VR)",K98:K344)</f>
        <v>1770.6</v>
      </c>
      <c r="L353" s="36">
        <f>SUMIF(G98:G344,"SB(VR)",L98:L344)</f>
        <v>1770.6</v>
      </c>
      <c r="M353" s="140">
        <f>SUMIF(G98:G344,"SB(VR)",M98:M344)</f>
        <v>0</v>
      </c>
      <c r="N353" s="72">
        <f>SUMIF(G98:G344,"SB(VR)",N98:N344)</f>
        <v>1770.6</v>
      </c>
      <c r="O353" s="36">
        <f>SUMIF(G98:G344,"SB(VR)",O98:O344)</f>
        <v>1770.6</v>
      </c>
      <c r="P353" s="140">
        <f>SUMIF(G98:G344,"SB(VR)",P98:P344)</f>
        <v>0</v>
      </c>
      <c r="Q353" s="13"/>
      <c r="R353" s="13"/>
      <c r="S353" s="1127"/>
      <c r="T353" s="13"/>
      <c r="U353" s="13"/>
    </row>
    <row r="354" spans="1:21" ht="14.25" customHeight="1" x14ac:dyDescent="0.2">
      <c r="A354" s="2150" t="s">
        <v>216</v>
      </c>
      <c r="B354" s="2151"/>
      <c r="C354" s="2151"/>
      <c r="D354" s="2151"/>
      <c r="E354" s="2151"/>
      <c r="F354" s="2151"/>
      <c r="G354" s="2152"/>
      <c r="H354" s="120">
        <f>SUMIF(G15:G339,"SB(ES)",H15:H339)</f>
        <v>5830</v>
      </c>
      <c r="I354" s="131">
        <f>SUMIF(G15:G339,"SB(ES)",I15:I339)</f>
        <v>5830</v>
      </c>
      <c r="J354" s="292">
        <f>SUMIF(G15:G338,"SB(ES)",J15:J338)</f>
        <v>0</v>
      </c>
      <c r="K354" s="120">
        <f>SUMIF(G15:G339,"SB(ES)",K15:K339)</f>
        <v>122.8</v>
      </c>
      <c r="L354" s="131">
        <f>SUMIF(G15:G339,"SB(ES)",L15:L339)</f>
        <v>122.8</v>
      </c>
      <c r="M354" s="292">
        <f>SUMIF(G15:G339,"SB(ES)",M15:M339)</f>
        <v>0</v>
      </c>
      <c r="N354" s="120">
        <f>SUMIF(G15:G339,"SB(ES)",N15:N339)</f>
        <v>0</v>
      </c>
      <c r="O354" s="131">
        <f>SUMIF(G15:G339,"SB(ES)",O15:O339)</f>
        <v>0</v>
      </c>
      <c r="P354" s="292">
        <f>SUMIF(G15:G338,"SB(ES)",P15:P338)</f>
        <v>0</v>
      </c>
      <c r="Q354" s="13"/>
      <c r="R354" s="13"/>
      <c r="S354" s="13"/>
      <c r="T354" s="13"/>
      <c r="U354" s="13"/>
    </row>
    <row r="355" spans="1:21" ht="14.25" customHeight="1" x14ac:dyDescent="0.2">
      <c r="A355" s="2150" t="s">
        <v>245</v>
      </c>
      <c r="B355" s="2151"/>
      <c r="C355" s="2151"/>
      <c r="D355" s="2151"/>
      <c r="E355" s="2151"/>
      <c r="F355" s="2151"/>
      <c r="G355" s="2152"/>
      <c r="H355" s="120">
        <f>SUMIF(G98:G339,"SB(VB)",H98:H339)</f>
        <v>0</v>
      </c>
      <c r="I355" s="131">
        <f>SUMIF(G98:G339,"SB(VB)",I98:I339)</f>
        <v>0</v>
      </c>
      <c r="J355" s="292">
        <f>SUMIF(G98:G339,"SB(VB)",J98:J339)</f>
        <v>0</v>
      </c>
      <c r="K355" s="120">
        <f>SUMIF(G98:G340,"SB(VB)",K98:K340)</f>
        <v>0</v>
      </c>
      <c r="L355" s="131">
        <f>SUMIF(G98:G340,"SB(VB)",L98:L340)</f>
        <v>0</v>
      </c>
      <c r="M355" s="292">
        <f>SUMIF(G98:G340,"SB(VB)",M98:M340)</f>
        <v>0</v>
      </c>
      <c r="N355" s="120">
        <f>SUMIF(G13:G339,"SB(VB)",N13:N339)</f>
        <v>0</v>
      </c>
      <c r="O355" s="131">
        <f>SUMIF(G13:G339,"SB(VB)",O13:O339)</f>
        <v>0</v>
      </c>
      <c r="P355" s="292">
        <f>SUMIF(G13:G339,"SB(VB)",P13:P339)</f>
        <v>0</v>
      </c>
      <c r="Q355" s="13"/>
      <c r="R355" s="13"/>
      <c r="S355" s="13"/>
      <c r="T355" s="13"/>
      <c r="U355" s="13"/>
    </row>
    <row r="356" spans="1:21" ht="27" customHeight="1" x14ac:dyDescent="0.2">
      <c r="A356" s="2081" t="s">
        <v>300</v>
      </c>
      <c r="B356" s="2082"/>
      <c r="C356" s="2082"/>
      <c r="D356" s="2082"/>
      <c r="E356" s="2082"/>
      <c r="F356" s="2082"/>
      <c r="G356" s="2083"/>
      <c r="H356" s="120">
        <f>SUMIF(G15:G345,"SB(KPP)",H15:H345)</f>
        <v>4666.3999999999996</v>
      </c>
      <c r="I356" s="131">
        <f>SUMIF(G15:G345,"SB(KPP)",I15:I345)</f>
        <v>4866.3999999999996</v>
      </c>
      <c r="J356" s="292">
        <f>I356-H356</f>
        <v>200</v>
      </c>
      <c r="K356" s="120">
        <f>SUMIF(G98:G345,"SB(KP)",K98:K345)</f>
        <v>0</v>
      </c>
      <c r="L356" s="131">
        <f>SUMIF(G98:G345,"SB(KP)",L98:L345)</f>
        <v>0</v>
      </c>
      <c r="M356" s="292">
        <f>SUMIF(G98:G345,"SB(KP)",M98:M345)</f>
        <v>0</v>
      </c>
      <c r="N356" s="120">
        <f>SUMIF(G98:G345,"SB(KP)",N98:N345)</f>
        <v>0</v>
      </c>
      <c r="O356" s="131">
        <f>SUMIF(G98:G345,"SB(KP)",O98:O345)</f>
        <v>0</v>
      </c>
      <c r="P356" s="292">
        <f>SUMIF(G98:G345,"SB(KP)",P98:P345)</f>
        <v>0</v>
      </c>
      <c r="Q356" s="13"/>
      <c r="R356" s="13"/>
      <c r="S356" s="13"/>
      <c r="T356" s="13"/>
      <c r="U356" s="13"/>
    </row>
    <row r="357" spans="1:21" ht="15.75" customHeight="1" x14ac:dyDescent="0.2">
      <c r="A357" s="2084" t="s">
        <v>301</v>
      </c>
      <c r="B357" s="2085"/>
      <c r="C357" s="2085"/>
      <c r="D357" s="2085"/>
      <c r="E357" s="2085"/>
      <c r="F357" s="2085"/>
      <c r="G357" s="2086"/>
      <c r="H357" s="1009">
        <f>SUMIF(G14:G344,"SB(KP)",H14:H344)</f>
        <v>0</v>
      </c>
      <c r="I357" s="1128">
        <f>SUMIF(H14:H344,"SB(KP)",I14:I344)</f>
        <v>0</v>
      </c>
      <c r="J357" s="1020">
        <f>I357-H357</f>
        <v>0</v>
      </c>
      <c r="K357" s="1009">
        <f>SUMIF(G12:G344,"SB(KPP)",K12:K344)</f>
        <v>5191.6000000000004</v>
      </c>
      <c r="L357" s="1020">
        <f>SUMIF(G12:G344,"SB(KPP)",L12:L344)</f>
        <v>4975.1000000000004</v>
      </c>
      <c r="M357" s="1013">
        <f>SUMIF(G12:G344,"SB(KPP)",M12:M344)</f>
        <v>-216.5</v>
      </c>
      <c r="N357" s="1009">
        <f>SUMIF(G14:G344,"SB(KPP)",N14:N344)</f>
        <v>4936.7</v>
      </c>
      <c r="O357" s="1020">
        <f>SUMIF(G14:G344,"SB(KPP)",O14:O344)</f>
        <v>4881.2</v>
      </c>
      <c r="P357" s="1013">
        <f>SUMIF(G14:G344,"SB(KPP)",P14:P344)</f>
        <v>-55.5</v>
      </c>
      <c r="Q357" s="13"/>
      <c r="R357" s="13"/>
      <c r="S357" s="13"/>
      <c r="T357" s="13"/>
      <c r="U357" s="13"/>
    </row>
    <row r="358" spans="1:21" ht="14.25" customHeight="1" x14ac:dyDescent="0.2">
      <c r="A358" s="2087" t="s">
        <v>96</v>
      </c>
      <c r="B358" s="2088"/>
      <c r="C358" s="2088"/>
      <c r="D358" s="2088"/>
      <c r="E358" s="2088"/>
      <c r="F358" s="2088"/>
      <c r="G358" s="2089"/>
      <c r="H358" s="1009">
        <f>SUMIF(G98:G343,"SB(VRL)",H98:H343)</f>
        <v>901</v>
      </c>
      <c r="I358" s="1020">
        <f>SUMIF(G98:G343,"SB(VRL)",I98:I343)</f>
        <v>901</v>
      </c>
      <c r="J358" s="1013">
        <f>SUMIF(G98:G343,"SB(VRL)",J98:J343)</f>
        <v>0</v>
      </c>
      <c r="K358" s="1009">
        <f>SUMIF(G13:G343,"SB(VRL)",K13:K343)</f>
        <v>0</v>
      </c>
      <c r="L358" s="1020">
        <f>SUMIF(G13:G343,"SB(VRL)",L13:L343)</f>
        <v>0</v>
      </c>
      <c r="M358" s="1013">
        <f>SUMIF(G13:G343,"SB(VRL)",M13:M343)</f>
        <v>0</v>
      </c>
      <c r="N358" s="1009">
        <f>SUMIF(G13:G343,"SB(VRL)",N13:N343)</f>
        <v>0</v>
      </c>
      <c r="O358" s="1020">
        <f>SUMIF(G13:G343,"SB(VRL)",O13:O343)</f>
        <v>0</v>
      </c>
      <c r="P358" s="1013">
        <f>SUMIF(G13:G343,"SB(VRL)",P13:P343)</f>
        <v>0</v>
      </c>
      <c r="Q358" s="13"/>
      <c r="R358" s="13"/>
      <c r="S358" s="13"/>
      <c r="T358" s="13"/>
      <c r="U358" s="13"/>
    </row>
    <row r="359" spans="1:21" ht="14.25" customHeight="1" x14ac:dyDescent="0.2">
      <c r="A359" s="2084" t="s">
        <v>97</v>
      </c>
      <c r="B359" s="2088"/>
      <c r="C359" s="2088"/>
      <c r="D359" s="2088"/>
      <c r="E359" s="2088"/>
      <c r="F359" s="2088"/>
      <c r="G359" s="2089"/>
      <c r="H359" s="1009">
        <f>SUMIF(G13:G344,"SB(ŽPL)",H13:H344)</f>
        <v>480.6</v>
      </c>
      <c r="I359" s="1020">
        <f>SUMIF(G13:G344,"SB(ŽPL)",I13:I344)</f>
        <v>480.6</v>
      </c>
      <c r="J359" s="1013">
        <f>SUMIF(G13:G344,"SB(ŽPL)",J13:J344)</f>
        <v>0</v>
      </c>
      <c r="K359" s="1009">
        <f>SUMIF(G98:G344,"SB(ŽPL)",K98:K344)</f>
        <v>0</v>
      </c>
      <c r="L359" s="1128">
        <f>SUMIF(G98:G344,"SB(ŽPL)",L98:L344)</f>
        <v>0</v>
      </c>
      <c r="M359" s="1013">
        <f>SUMIF(G98:G344,"SB(ŽPL)",M98:M344)</f>
        <v>0</v>
      </c>
      <c r="N359" s="1009">
        <f>SUMIF(G98:G344,"SB(ŽPL)",N98:N344)</f>
        <v>0</v>
      </c>
      <c r="O359" s="1020">
        <f>SUMIF(G98:G344,"SB(ŽPL)",O98:O344)</f>
        <v>0</v>
      </c>
      <c r="P359" s="1013">
        <f>SUMIF(G98:G344,"SB(ŽPL)",P98:P344)</f>
        <v>0</v>
      </c>
      <c r="Q359" s="13"/>
      <c r="R359" s="13"/>
      <c r="S359" s="13"/>
      <c r="T359" s="13"/>
      <c r="U359" s="13"/>
    </row>
    <row r="360" spans="1:21" ht="14.25" customHeight="1" x14ac:dyDescent="0.2">
      <c r="A360" s="2141" t="s">
        <v>163</v>
      </c>
      <c r="B360" s="2142"/>
      <c r="C360" s="2142"/>
      <c r="D360" s="2142"/>
      <c r="E360" s="2142"/>
      <c r="F360" s="2142"/>
      <c r="G360" s="2143"/>
      <c r="H360" s="1009">
        <f>SUMIF(G13:G344,"SB(L)",H13:H344)</f>
        <v>3135.5</v>
      </c>
      <c r="I360" s="1020">
        <f>SUMIF(G13:G344,"SB(L)",I13:I344)</f>
        <v>4155.3999999999996</v>
      </c>
      <c r="J360" s="1013">
        <f>SUMIF(G13:G344,"SB(L)",J13:J344)</f>
        <v>1019.9</v>
      </c>
      <c r="K360" s="1009">
        <f>SUMIF(G13:G344,"SB(L)",K13:K344)</f>
        <v>0</v>
      </c>
      <c r="L360" s="1020">
        <f>SUMIF(G13:G344,"SB(L)",L13:L344)</f>
        <v>0</v>
      </c>
      <c r="M360" s="1013">
        <f>SUMIF(G13:G344,"SB(L)",M13:M344)</f>
        <v>0</v>
      </c>
      <c r="N360" s="1009">
        <f>SUMIF(G13:G344,"SB(L)",N13:N344)</f>
        <v>0</v>
      </c>
      <c r="O360" s="1128">
        <f>SUMIF(G13:G344,"SB(L)",O13:O344)</f>
        <v>0</v>
      </c>
      <c r="P360" s="1013">
        <f>SUMIF(G13:G344,"SB(L)",P13:P344)</f>
        <v>0</v>
      </c>
      <c r="Q360" s="13"/>
      <c r="R360" s="13"/>
      <c r="S360" s="13"/>
      <c r="T360" s="13"/>
      <c r="U360" s="13"/>
    </row>
    <row r="361" spans="1:21" ht="14.25" customHeight="1" x14ac:dyDescent="0.2">
      <c r="A361" s="2144" t="s">
        <v>15</v>
      </c>
      <c r="B361" s="2145"/>
      <c r="C361" s="2145"/>
      <c r="D361" s="2145"/>
      <c r="E361" s="2145"/>
      <c r="F361" s="2145"/>
      <c r="G361" s="2146"/>
      <c r="H361" s="584">
        <f t="shared" ref="H361:M361" si="41">H364+H365+H366+H362+H363</f>
        <v>2707.9</v>
      </c>
      <c r="I361" s="585">
        <f t="shared" si="41"/>
        <v>2707.9</v>
      </c>
      <c r="J361" s="586">
        <f t="shared" si="41"/>
        <v>0</v>
      </c>
      <c r="K361" s="584">
        <f t="shared" si="41"/>
        <v>18352</v>
      </c>
      <c r="L361" s="585">
        <f t="shared" si="41"/>
        <v>19231</v>
      </c>
      <c r="M361" s="586">
        <f t="shared" si="41"/>
        <v>879</v>
      </c>
      <c r="N361" s="584">
        <f t="shared" ref="N361:P361" si="42">N364+N365+N366+N362+N363</f>
        <v>11534.7</v>
      </c>
      <c r="O361" s="585">
        <f t="shared" ref="O361" si="43">O364+O365+O366+O362+O363</f>
        <v>11678.7</v>
      </c>
      <c r="P361" s="586">
        <f t="shared" si="42"/>
        <v>144</v>
      </c>
      <c r="Q361" s="13"/>
      <c r="R361" s="13"/>
      <c r="S361" s="13"/>
      <c r="T361" s="13"/>
      <c r="U361" s="13"/>
    </row>
    <row r="362" spans="1:21" ht="14.25" customHeight="1" x14ac:dyDescent="0.2">
      <c r="A362" s="2150" t="s">
        <v>21</v>
      </c>
      <c r="B362" s="2151"/>
      <c r="C362" s="2151"/>
      <c r="D362" s="2151"/>
      <c r="E362" s="2151"/>
      <c r="F362" s="2151"/>
      <c r="G362" s="2152"/>
      <c r="H362" s="120">
        <f>SUMIF(G11:G344,"ES",H11:H344)</f>
        <v>919.1</v>
      </c>
      <c r="I362" s="131">
        <f>SUMIF(G11:G344,"ES",I11:I344)</f>
        <v>919.1</v>
      </c>
      <c r="J362" s="292">
        <f>SUMIF(G11:G344,"ES",J11:J344)</f>
        <v>0</v>
      </c>
      <c r="K362" s="120">
        <f>SUMIF(G11:G344,"ES",K11:K344)</f>
        <v>1717</v>
      </c>
      <c r="L362" s="131">
        <f>SUMIF(G11:G344,"ES",L11:L344)</f>
        <v>2596</v>
      </c>
      <c r="M362" s="292">
        <f>SUMIF(G11:G344,"ES",M11:M344)</f>
        <v>879</v>
      </c>
      <c r="N362" s="120">
        <f>SUMIF(G11:G344,"ES",N11:N344)</f>
        <v>1880.9</v>
      </c>
      <c r="O362" s="131">
        <f>SUMIF(G11:G344,"ES",O11:O344)</f>
        <v>2069.6</v>
      </c>
      <c r="P362" s="292">
        <f>SUMIF(G11:G344,"ES",P11:P344)</f>
        <v>188.7</v>
      </c>
      <c r="Q362" s="13"/>
      <c r="R362" s="13"/>
      <c r="S362" s="13"/>
      <c r="T362" s="13"/>
      <c r="U362" s="13"/>
    </row>
    <row r="363" spans="1:21" ht="14.25" customHeight="1" x14ac:dyDescent="0.2">
      <c r="A363" s="2150" t="s">
        <v>299</v>
      </c>
      <c r="B363" s="2151"/>
      <c r="C363" s="2151"/>
      <c r="D363" s="2151"/>
      <c r="E363" s="2151"/>
      <c r="F363" s="2151"/>
      <c r="G363" s="2152"/>
      <c r="H363" s="550">
        <f>SUMIF(G14:G343,"KPP(VIP)",H14:H343)</f>
        <v>0</v>
      </c>
      <c r="I363" s="1021">
        <f>SUMIF(G14:G343,"KPP(VIP)",I14:I343)</f>
        <v>0</v>
      </c>
      <c r="J363" s="1014">
        <f>SUMIF(G14:G343,"KPP(VIP)",J14:J343)</f>
        <v>0</v>
      </c>
      <c r="K363" s="550">
        <f>SUMIF(G14:G343,"KPP(VIP)",K14:K343)</f>
        <v>10000</v>
      </c>
      <c r="L363" s="1021">
        <f>SUMIF(G14:G343,"KPP(VIP)",L14:L343)</f>
        <v>10000</v>
      </c>
      <c r="M363" s="1014">
        <f>SUMIF(G14:G343,"KPP(VIP)",M14:M343)</f>
        <v>0</v>
      </c>
      <c r="N363" s="550">
        <f>SUMIF(G14:G343,"KPP(VIP)",N14:N343)</f>
        <v>0</v>
      </c>
      <c r="O363" s="1021">
        <f>SUMIF(G14:G343,"KPP(VIP)",O14:O343)</f>
        <v>0</v>
      </c>
      <c r="P363" s="1018">
        <f>SUMIF(G14:G343,"KPP(VIP)",P14:P343)</f>
        <v>0</v>
      </c>
      <c r="Q363" s="13"/>
      <c r="R363" s="13"/>
      <c r="S363" s="13"/>
      <c r="T363" s="13"/>
      <c r="U363" s="13"/>
    </row>
    <row r="364" spans="1:21" ht="14.25" customHeight="1" x14ac:dyDescent="0.2">
      <c r="A364" s="2150" t="s">
        <v>22</v>
      </c>
      <c r="B364" s="2151"/>
      <c r="C364" s="2151"/>
      <c r="D364" s="2151"/>
      <c r="E364" s="2151"/>
      <c r="F364" s="2151"/>
      <c r="G364" s="2152"/>
      <c r="H364" s="120">
        <f>SUMIF(G13:G344,"KVJUD",H13:H344)</f>
        <v>1662.4</v>
      </c>
      <c r="I364" s="131">
        <f>SUMIF(G13:G344,"KVJUD",I13:I344)</f>
        <v>1662.4</v>
      </c>
      <c r="J364" s="292">
        <f>SUMIF(G13:G344,"KVJUD",J13:J344)</f>
        <v>0</v>
      </c>
      <c r="K364" s="120">
        <f>SUMIF(G15:G344,"KVJUD",K15:K344)</f>
        <v>1500</v>
      </c>
      <c r="L364" s="131">
        <f>SUMIF(G15:G344,"KVJUD",L15:L344)</f>
        <v>1500</v>
      </c>
      <c r="M364" s="292">
        <f>SUMIF(G15:G344,"KVJUD",M15:M344)</f>
        <v>0</v>
      </c>
      <c r="N364" s="120">
        <f>SUMIF(G15:G344,"KVJUD",N15:N344)</f>
        <v>1000</v>
      </c>
      <c r="O364" s="131">
        <f>SUMIF(G15:G344,"KVJUD",O15:O344)</f>
        <v>1000</v>
      </c>
      <c r="P364" s="292">
        <f>SUMIF(G15:G344,"KVJUD",P15:P344)</f>
        <v>0</v>
      </c>
      <c r="Q364" s="43"/>
      <c r="R364" s="43"/>
      <c r="S364" s="43"/>
      <c r="T364" s="43"/>
      <c r="U364" s="43"/>
    </row>
    <row r="365" spans="1:21" ht="14.25" customHeight="1" x14ac:dyDescent="0.2">
      <c r="A365" s="2069" t="s">
        <v>23</v>
      </c>
      <c r="B365" s="2070"/>
      <c r="C365" s="2070"/>
      <c r="D365" s="2070"/>
      <c r="E365" s="2070"/>
      <c r="F365" s="2070"/>
      <c r="G365" s="2071"/>
      <c r="H365" s="120">
        <f>SUMIF(G98:G344,"LRVB",H98:H344)</f>
        <v>0</v>
      </c>
      <c r="I365" s="131">
        <f>SUMIF(G98:G344,"LRVB",I98:I344)</f>
        <v>0</v>
      </c>
      <c r="J365" s="292">
        <f>SUMIF(G98:G344,"LRVB",J98:J344)</f>
        <v>0</v>
      </c>
      <c r="K365" s="120">
        <f>SUMIF(G13:G344,"LRVB",K13:K344)</f>
        <v>5000</v>
      </c>
      <c r="L365" s="131">
        <f>SUMIF(G13:G344,"LRVB",L13:L344)</f>
        <v>5000</v>
      </c>
      <c r="M365" s="101">
        <f>SUMIF(G13:G344,"LRVB",M13:M344)</f>
        <v>0</v>
      </c>
      <c r="N365" s="120">
        <f>SUMIF(G13:G344,"LRVB",N13:N344)</f>
        <v>8653.7999999999993</v>
      </c>
      <c r="O365" s="131">
        <f>SUMIF(G13:G344,"LRVB",O13:O344)</f>
        <v>8609.1</v>
      </c>
      <c r="P365" s="292">
        <f>SUMIF(G13:G344,"LRVB",P13:P344)</f>
        <v>-44.7</v>
      </c>
      <c r="Q365" s="43"/>
      <c r="R365" s="43"/>
      <c r="S365" s="43"/>
      <c r="T365" s="43"/>
      <c r="U365" s="43"/>
    </row>
    <row r="366" spans="1:21" ht="14.25" customHeight="1" x14ac:dyDescent="0.2">
      <c r="A366" s="2413" t="s">
        <v>24</v>
      </c>
      <c r="B366" s="2414"/>
      <c r="C366" s="2414"/>
      <c r="D366" s="2414"/>
      <c r="E366" s="2414"/>
      <c r="F366" s="2414"/>
      <c r="G366" s="2415"/>
      <c r="H366" s="120">
        <f>SUMIF(G15:G344,"Kt",H15:H344)</f>
        <v>126.4</v>
      </c>
      <c r="I366" s="131">
        <f>SUMIF(G15:G344,"Kt",I15:I344)</f>
        <v>126.4</v>
      </c>
      <c r="J366" s="292">
        <f>SUMIF(G15:G344,"Kt",J15:J344)</f>
        <v>0</v>
      </c>
      <c r="K366" s="120">
        <f>SUMIF(G15:G344,"Kt",K15:K344)</f>
        <v>135</v>
      </c>
      <c r="L366" s="131">
        <f>SUMIF(G15:G344,"Kt",L15:L344)</f>
        <v>135</v>
      </c>
      <c r="M366" s="292">
        <f>SUMIF(G15:G344,"Kt",M15:M344)</f>
        <v>0</v>
      </c>
      <c r="N366" s="120">
        <f>SUMIF(G15:G344,"Kt",N15:N344)</f>
        <v>0</v>
      </c>
      <c r="O366" s="131">
        <f>SUMIF(G15:G344,"Kt",O15:O344)</f>
        <v>0</v>
      </c>
      <c r="P366" s="292">
        <f>SUMIF(G15:G344,"Kt",P15:P344)</f>
        <v>0</v>
      </c>
      <c r="Q366" s="43"/>
      <c r="R366" s="43"/>
      <c r="S366" s="43"/>
      <c r="T366" s="43"/>
      <c r="U366" s="43"/>
    </row>
    <row r="367" spans="1:21" ht="14.25" customHeight="1" thickBot="1" x14ac:dyDescent="0.25">
      <c r="A367" s="2391" t="s">
        <v>16</v>
      </c>
      <c r="B367" s="2392"/>
      <c r="C367" s="2392"/>
      <c r="D367" s="2392"/>
      <c r="E367" s="2392"/>
      <c r="F367" s="2392"/>
      <c r="G367" s="2393"/>
      <c r="H367" s="1010">
        <f t="shared" ref="H367:P367" si="44">SUM(H349,H361)</f>
        <v>27486.3</v>
      </c>
      <c r="I367" s="1022">
        <f t="shared" si="44"/>
        <v>29161.9</v>
      </c>
      <c r="J367" s="1015">
        <f t="shared" si="44"/>
        <v>1675.6</v>
      </c>
      <c r="K367" s="1010">
        <f t="shared" si="44"/>
        <v>34570.199999999997</v>
      </c>
      <c r="L367" s="1022">
        <f t="shared" si="44"/>
        <v>36788</v>
      </c>
      <c r="M367" s="1015">
        <f t="shared" si="44"/>
        <v>2217.8000000000002</v>
      </c>
      <c r="N367" s="1010">
        <f t="shared" si="44"/>
        <v>27840.799999999999</v>
      </c>
      <c r="O367" s="1022">
        <f t="shared" si="44"/>
        <v>28044.1</v>
      </c>
      <c r="P367" s="1015">
        <f t="shared" si="44"/>
        <v>302.3</v>
      </c>
      <c r="Q367" s="43"/>
      <c r="R367" s="43"/>
      <c r="S367" s="43"/>
      <c r="T367" s="43"/>
      <c r="U367" s="43"/>
    </row>
    <row r="368" spans="1:21" ht="12" customHeight="1" x14ac:dyDescent="0.2">
      <c r="G368" s="521"/>
      <c r="H368" s="522"/>
      <c r="I368" s="522"/>
      <c r="J368" s="522"/>
      <c r="K368" s="522"/>
      <c r="L368" s="522"/>
      <c r="M368" s="522"/>
      <c r="N368" s="522"/>
      <c r="O368" s="522"/>
      <c r="P368" s="522"/>
      <c r="Q368" s="4"/>
    </row>
    <row r="369" spans="1:50" x14ac:dyDescent="0.2">
      <c r="E369" s="2195" t="s">
        <v>311</v>
      </c>
      <c r="F369" s="2195"/>
      <c r="G369" s="2195"/>
      <c r="H369" s="2195"/>
      <c r="I369" s="2195"/>
      <c r="J369" s="2195"/>
      <c r="K369" s="2195"/>
      <c r="L369" s="2195"/>
      <c r="M369" s="2195"/>
      <c r="N369" s="2195"/>
      <c r="O369" s="2195"/>
      <c r="P369" s="2195"/>
      <c r="Q369" s="4"/>
    </row>
    <row r="370" spans="1:50" x14ac:dyDescent="0.2">
      <c r="G370" s="1147"/>
      <c r="H370" s="537"/>
      <c r="I370" s="537"/>
      <c r="J370" s="537"/>
      <c r="K370" s="537"/>
      <c r="L370" s="537"/>
      <c r="M370" s="537"/>
      <c r="N370" s="537"/>
      <c r="O370" s="537"/>
      <c r="P370" s="537"/>
      <c r="Q370" s="4"/>
    </row>
    <row r="371" spans="1:50" x14ac:dyDescent="0.2">
      <c r="A371" s="1"/>
      <c r="B371" s="1"/>
      <c r="C371" s="1756"/>
      <c r="D371" s="1"/>
      <c r="E371" s="1"/>
      <c r="F371" s="1"/>
      <c r="G371" s="1"/>
      <c r="H371" s="43"/>
      <c r="I371" s="43"/>
      <c r="J371" s="43"/>
      <c r="K371" s="43"/>
      <c r="L371" s="43"/>
      <c r="M371" s="43"/>
      <c r="N371" s="43"/>
      <c r="O371" s="43"/>
      <c r="P371" s="43"/>
      <c r="Q371" s="1"/>
      <c r="R371" s="1"/>
      <c r="S371" s="1"/>
      <c r="T371" s="1"/>
      <c r="U371" s="1"/>
    </row>
    <row r="372" spans="1:50" x14ac:dyDescent="0.2">
      <c r="A372" s="1"/>
      <c r="B372" s="1"/>
      <c r="C372" s="1756"/>
      <c r="D372" s="1"/>
      <c r="E372" s="1"/>
      <c r="F372" s="1"/>
      <c r="G372" s="1"/>
      <c r="H372" s="43"/>
      <c r="I372" s="43"/>
      <c r="J372" s="43"/>
      <c r="K372" s="43"/>
      <c r="L372" s="43"/>
      <c r="M372" s="43"/>
      <c r="N372" s="43"/>
      <c r="O372" s="43"/>
      <c r="P372" s="43"/>
      <c r="Q372" s="1"/>
      <c r="R372" s="1"/>
      <c r="S372" s="1"/>
      <c r="T372" s="1"/>
      <c r="U372" s="1"/>
    </row>
    <row r="373" spans="1:50" s="2" customFormat="1" x14ac:dyDescent="0.2">
      <c r="C373" s="1751"/>
      <c r="E373" s="7"/>
      <c r="F373" s="10"/>
      <c r="G373" s="3"/>
      <c r="K373" s="13"/>
      <c r="L373" s="13"/>
      <c r="M373" s="13"/>
      <c r="N373" s="13"/>
      <c r="O373" s="13"/>
      <c r="P373" s="13"/>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row>
    <row r="375" spans="1:50" x14ac:dyDescent="0.2">
      <c r="I375" s="13"/>
      <c r="J375" s="13"/>
      <c r="K375" s="13"/>
    </row>
  </sheetData>
  <mergeCells count="377">
    <mergeCell ref="Q251:Q252"/>
    <mergeCell ref="U232:U235"/>
    <mergeCell ref="Q107:Q108"/>
    <mergeCell ref="Q116:Q117"/>
    <mergeCell ref="Q173:Q174"/>
    <mergeCell ref="Q255:Q256"/>
    <mergeCell ref="Q258:Q259"/>
    <mergeCell ref="Q121:Q122"/>
    <mergeCell ref="U48:U51"/>
    <mergeCell ref="S177:S178"/>
    <mergeCell ref="U236:U238"/>
    <mergeCell ref="U171:U172"/>
    <mergeCell ref="Q186:Q188"/>
    <mergeCell ref="U127:U129"/>
    <mergeCell ref="Q112:Q113"/>
    <mergeCell ref="T210:T211"/>
    <mergeCell ref="U148:U151"/>
    <mergeCell ref="U203:U205"/>
    <mergeCell ref="R210:R211"/>
    <mergeCell ref="S210:S211"/>
    <mergeCell ref="U210:U211"/>
    <mergeCell ref="Q130:Q131"/>
    <mergeCell ref="U130:U134"/>
    <mergeCell ref="U208:U209"/>
    <mergeCell ref="E369:P369"/>
    <mergeCell ref="C14:U14"/>
    <mergeCell ref="D15:D17"/>
    <mergeCell ref="E15:E17"/>
    <mergeCell ref="D29:D31"/>
    <mergeCell ref="E29:E33"/>
    <mergeCell ref="F29:F33"/>
    <mergeCell ref="D34:D36"/>
    <mergeCell ref="E34:E36"/>
    <mergeCell ref="D71:D73"/>
    <mergeCell ref="D197:D198"/>
    <mergeCell ref="D203:D205"/>
    <mergeCell ref="Q203:Q205"/>
    <mergeCell ref="U192:U195"/>
    <mergeCell ref="Q199:Q200"/>
    <mergeCell ref="U199:U200"/>
    <mergeCell ref="D138:D139"/>
    <mergeCell ref="E138:E139"/>
    <mergeCell ref="F138:F139"/>
    <mergeCell ref="D140:D141"/>
    <mergeCell ref="E140:E141"/>
    <mergeCell ref="F140:F141"/>
    <mergeCell ref="D143:D145"/>
    <mergeCell ref="U246:U249"/>
    <mergeCell ref="A4:U4"/>
    <mergeCell ref="A5:U5"/>
    <mergeCell ref="A6:U6"/>
    <mergeCell ref="Q7:U7"/>
    <mergeCell ref="A8:A10"/>
    <mergeCell ref="B8:B10"/>
    <mergeCell ref="C8:C10"/>
    <mergeCell ref="D8:D10"/>
    <mergeCell ref="E8:E10"/>
    <mergeCell ref="Q9:Q10"/>
    <mergeCell ref="Q8:T8"/>
    <mergeCell ref="R9:T9"/>
    <mergeCell ref="O8:O10"/>
    <mergeCell ref="F8:F10"/>
    <mergeCell ref="G8:G10"/>
    <mergeCell ref="J8:J10"/>
    <mergeCell ref="M8:M10"/>
    <mergeCell ref="P8:P10"/>
    <mergeCell ref="A11:U11"/>
    <mergeCell ref="A12:U12"/>
    <mergeCell ref="B13:U13"/>
    <mergeCell ref="C98:G98"/>
    <mergeCell ref="I8:I10"/>
    <mergeCell ref="K8:K10"/>
    <mergeCell ref="L8:L10"/>
    <mergeCell ref="N8:N10"/>
    <mergeCell ref="Q29:Q30"/>
    <mergeCell ref="Q34:Q35"/>
    <mergeCell ref="Q37:Q38"/>
    <mergeCell ref="Q43:Q44"/>
    <mergeCell ref="F34:F36"/>
    <mergeCell ref="D37:D39"/>
    <mergeCell ref="E38:E39"/>
    <mergeCell ref="D40:D42"/>
    <mergeCell ref="F40:F42"/>
    <mergeCell ref="E74:E76"/>
    <mergeCell ref="D77:D78"/>
    <mergeCell ref="E77:E78"/>
    <mergeCell ref="D79:D80"/>
    <mergeCell ref="E79:E80"/>
    <mergeCell ref="D48:D51"/>
    <mergeCell ref="U57:U59"/>
    <mergeCell ref="A135:A137"/>
    <mergeCell ref="B135:B137"/>
    <mergeCell ref="C135:C137"/>
    <mergeCell ref="D135:D137"/>
    <mergeCell ref="F135:F137"/>
    <mergeCell ref="Q135:Q136"/>
    <mergeCell ref="D162:D163"/>
    <mergeCell ref="E162:E163"/>
    <mergeCell ref="F162:F163"/>
    <mergeCell ref="Q162:Q163"/>
    <mergeCell ref="D155:D156"/>
    <mergeCell ref="E158:E161"/>
    <mergeCell ref="F148:F151"/>
    <mergeCell ref="Q148:Q149"/>
    <mergeCell ref="F155:F156"/>
    <mergeCell ref="E168:E170"/>
    <mergeCell ref="A349:G349"/>
    <mergeCell ref="A350:G350"/>
    <mergeCell ref="A351:G351"/>
    <mergeCell ref="D255:D256"/>
    <mergeCell ref="D258:D259"/>
    <mergeCell ref="D264:D268"/>
    <mergeCell ref="E264:E268"/>
    <mergeCell ref="B279:B281"/>
    <mergeCell ref="C279:C281"/>
    <mergeCell ref="D279:D281"/>
    <mergeCell ref="A286:A288"/>
    <mergeCell ref="B286:B288"/>
    <mergeCell ref="D323:D324"/>
    <mergeCell ref="A317:A321"/>
    <mergeCell ref="B317:B321"/>
    <mergeCell ref="A315:A316"/>
    <mergeCell ref="B315:B316"/>
    <mergeCell ref="A236:A238"/>
    <mergeCell ref="B236:B238"/>
    <mergeCell ref="D210:D211"/>
    <mergeCell ref="E210:E211"/>
    <mergeCell ref="F210:F211"/>
    <mergeCell ref="D173:D174"/>
    <mergeCell ref="Q210:Q211"/>
    <mergeCell ref="A352:G352"/>
    <mergeCell ref="Q343:U343"/>
    <mergeCell ref="B344:G344"/>
    <mergeCell ref="Q344:U344"/>
    <mergeCell ref="U331:U334"/>
    <mergeCell ref="U286:U289"/>
    <mergeCell ref="Q315:Q316"/>
    <mergeCell ref="Q286:Q287"/>
    <mergeCell ref="Q323:Q324"/>
    <mergeCell ref="C291:U291"/>
    <mergeCell ref="D292:D296"/>
    <mergeCell ref="C298:C304"/>
    <mergeCell ref="U311:U314"/>
    <mergeCell ref="A279:A281"/>
    <mergeCell ref="B343:G343"/>
    <mergeCell ref="C306:C310"/>
    <mergeCell ref="D311:D314"/>
    <mergeCell ref="A282:A284"/>
    <mergeCell ref="E279:E281"/>
    <mergeCell ref="U319:U321"/>
    <mergeCell ref="D335:D336"/>
    <mergeCell ref="D338:D341"/>
    <mergeCell ref="E338:E341"/>
    <mergeCell ref="A354:G354"/>
    <mergeCell ref="U279:U281"/>
    <mergeCell ref="Q290:U290"/>
    <mergeCell ref="U317:U318"/>
    <mergeCell ref="A363:G363"/>
    <mergeCell ref="A364:G364"/>
    <mergeCell ref="A365:G365"/>
    <mergeCell ref="A366:G366"/>
    <mergeCell ref="A355:G355"/>
    <mergeCell ref="A356:G356"/>
    <mergeCell ref="A357:G357"/>
    <mergeCell ref="A358:G358"/>
    <mergeCell ref="A359:G359"/>
    <mergeCell ref="A360:G360"/>
    <mergeCell ref="A361:G361"/>
    <mergeCell ref="D282:D284"/>
    <mergeCell ref="E282:E284"/>
    <mergeCell ref="F282:F284"/>
    <mergeCell ref="F279:F281"/>
    <mergeCell ref="D325:D328"/>
    <mergeCell ref="U325:U330"/>
    <mergeCell ref="A362:G362"/>
    <mergeCell ref="A347:G347"/>
    <mergeCell ref="A348:G348"/>
    <mergeCell ref="F338:F341"/>
    <mergeCell ref="C342:G342"/>
    <mergeCell ref="D329:D330"/>
    <mergeCell ref="E332:E334"/>
    <mergeCell ref="F332:F334"/>
    <mergeCell ref="U282:U284"/>
    <mergeCell ref="C290:G290"/>
    <mergeCell ref="Q342:U342"/>
    <mergeCell ref="Q319:Q320"/>
    <mergeCell ref="C282:C284"/>
    <mergeCell ref="A353:G353"/>
    <mergeCell ref="U251:U252"/>
    <mergeCell ref="D271:D272"/>
    <mergeCell ref="E271:E272"/>
    <mergeCell ref="S236:S238"/>
    <mergeCell ref="T236:T238"/>
    <mergeCell ref="A367:G367"/>
    <mergeCell ref="H8:H10"/>
    <mergeCell ref="B282:B284"/>
    <mergeCell ref="A276:A278"/>
    <mergeCell ref="B276:B278"/>
    <mergeCell ref="C276:C278"/>
    <mergeCell ref="D276:D278"/>
    <mergeCell ref="E276:E278"/>
    <mergeCell ref="F276:F278"/>
    <mergeCell ref="A273:A274"/>
    <mergeCell ref="B273:B274"/>
    <mergeCell ref="C273:C274"/>
    <mergeCell ref="D273:D275"/>
    <mergeCell ref="E273:E275"/>
    <mergeCell ref="A271:A272"/>
    <mergeCell ref="B271:B272"/>
    <mergeCell ref="C271:C272"/>
    <mergeCell ref="F261:F263"/>
    <mergeCell ref="D220:D221"/>
    <mergeCell ref="D224:D226"/>
    <mergeCell ref="E224:E225"/>
    <mergeCell ref="D236:D238"/>
    <mergeCell ref="Q236:Q238"/>
    <mergeCell ref="C317:C321"/>
    <mergeCell ref="D317:D318"/>
    <mergeCell ref="E317:E321"/>
    <mergeCell ref="F317:F321"/>
    <mergeCell ref="C315:C316"/>
    <mergeCell ref="D315:D316"/>
    <mergeCell ref="C286:C288"/>
    <mergeCell ref="D286:D288"/>
    <mergeCell ref="E286:E288"/>
    <mergeCell ref="F286:F288"/>
    <mergeCell ref="E246:E248"/>
    <mergeCell ref="C236:C238"/>
    <mergeCell ref="Q274:Q275"/>
    <mergeCell ref="F232:F235"/>
    <mergeCell ref="Q232:Q234"/>
    <mergeCell ref="C239:G239"/>
    <mergeCell ref="Q239:U239"/>
    <mergeCell ref="C240:U240"/>
    <mergeCell ref="D241:D245"/>
    <mergeCell ref="D74:D76"/>
    <mergeCell ref="D100:D102"/>
    <mergeCell ref="D94:D96"/>
    <mergeCell ref="D92:D93"/>
    <mergeCell ref="E92:E93"/>
    <mergeCell ref="E48:E50"/>
    <mergeCell ref="U92:U93"/>
    <mergeCell ref="Q77:Q78"/>
    <mergeCell ref="Q82:Q83"/>
    <mergeCell ref="E100:E102"/>
    <mergeCell ref="D81:D83"/>
    <mergeCell ref="E81:E83"/>
    <mergeCell ref="D84:D85"/>
    <mergeCell ref="E63:E65"/>
    <mergeCell ref="Q63:Q64"/>
    <mergeCell ref="D86:D87"/>
    <mergeCell ref="D88:D89"/>
    <mergeCell ref="D90:D91"/>
    <mergeCell ref="E90:E91"/>
    <mergeCell ref="U71:U73"/>
    <mergeCell ref="Q49:Q50"/>
    <mergeCell ref="Q60:Q61"/>
    <mergeCell ref="A110:A113"/>
    <mergeCell ref="B110:B113"/>
    <mergeCell ref="C110:C113"/>
    <mergeCell ref="D110:D113"/>
    <mergeCell ref="F110:F113"/>
    <mergeCell ref="E111:E113"/>
    <mergeCell ref="D107:D109"/>
    <mergeCell ref="A261:A263"/>
    <mergeCell ref="B261:B263"/>
    <mergeCell ref="C261:C263"/>
    <mergeCell ref="D261:D263"/>
    <mergeCell ref="E261:E263"/>
    <mergeCell ref="F152:F154"/>
    <mergeCell ref="D232:D234"/>
    <mergeCell ref="A218:A219"/>
    <mergeCell ref="B218:B219"/>
    <mergeCell ref="C218:C219"/>
    <mergeCell ref="D218:D219"/>
    <mergeCell ref="D121:D123"/>
    <mergeCell ref="F121:F123"/>
    <mergeCell ref="F212:F214"/>
    <mergeCell ref="F218:F219"/>
    <mergeCell ref="F130:F134"/>
    <mergeCell ref="B212:B214"/>
    <mergeCell ref="B232:B235"/>
    <mergeCell ref="E117:E118"/>
    <mergeCell ref="D119:D120"/>
    <mergeCell ref="E218:E219"/>
    <mergeCell ref="A232:A235"/>
    <mergeCell ref="C232:C235"/>
    <mergeCell ref="C212:C214"/>
    <mergeCell ref="D212:D214"/>
    <mergeCell ref="E212:E214"/>
    <mergeCell ref="D227:D229"/>
    <mergeCell ref="D208:D209"/>
    <mergeCell ref="D181:D183"/>
    <mergeCell ref="E181:E183"/>
    <mergeCell ref="A212:A214"/>
    <mergeCell ref="C130:C134"/>
    <mergeCell ref="E143:E147"/>
    <mergeCell ref="E155:E156"/>
    <mergeCell ref="A121:A123"/>
    <mergeCell ref="A148:A151"/>
    <mergeCell ref="B148:B151"/>
    <mergeCell ref="C148:C151"/>
    <mergeCell ref="D148:D149"/>
    <mergeCell ref="E148:E151"/>
    <mergeCell ref="D152:D154"/>
    <mergeCell ref="Q182:Q183"/>
    <mergeCell ref="C190:G190"/>
    <mergeCell ref="S84:S85"/>
    <mergeCell ref="Q94:Q96"/>
    <mergeCell ref="C99:U99"/>
    <mergeCell ref="C164:C166"/>
    <mergeCell ref="D164:D166"/>
    <mergeCell ref="E164:E166"/>
    <mergeCell ref="F164:F166"/>
    <mergeCell ref="Q165:Q166"/>
    <mergeCell ref="E122:E123"/>
    <mergeCell ref="D124:D125"/>
    <mergeCell ref="F124:F125"/>
    <mergeCell ref="C121:C123"/>
    <mergeCell ref="D116:D118"/>
    <mergeCell ref="D127:D129"/>
    <mergeCell ref="E127:E129"/>
    <mergeCell ref="E108:E109"/>
    <mergeCell ref="F114:F115"/>
    <mergeCell ref="D114:D115"/>
    <mergeCell ref="D175:D176"/>
    <mergeCell ref="E175:E176"/>
    <mergeCell ref="D177:D178"/>
    <mergeCell ref="D168:D170"/>
    <mergeCell ref="Q208:Q209"/>
    <mergeCell ref="U15:U24"/>
    <mergeCell ref="U25:U27"/>
    <mergeCell ref="Q68:Q69"/>
    <mergeCell ref="Q52:Q53"/>
    <mergeCell ref="E53:E54"/>
    <mergeCell ref="D55:D56"/>
    <mergeCell ref="U55:U56"/>
    <mergeCell ref="B52:B56"/>
    <mergeCell ref="C52:C56"/>
    <mergeCell ref="C57:C65"/>
    <mergeCell ref="D66:D67"/>
    <mergeCell ref="Q66:Q67"/>
    <mergeCell ref="U66:U67"/>
    <mergeCell ref="D57:D59"/>
    <mergeCell ref="E57:E59"/>
    <mergeCell ref="D60:D62"/>
    <mergeCell ref="E60:E62"/>
    <mergeCell ref="D63:D65"/>
    <mergeCell ref="D68:D70"/>
    <mergeCell ref="F68:F70"/>
    <mergeCell ref="D43:D47"/>
    <mergeCell ref="D52:D54"/>
    <mergeCell ref="U29:U33"/>
    <mergeCell ref="F43:F47"/>
    <mergeCell ref="U37:U39"/>
    <mergeCell ref="U40:U42"/>
    <mergeCell ref="U43:U46"/>
    <mergeCell ref="A210:A211"/>
    <mergeCell ref="B210:B211"/>
    <mergeCell ref="C210:C211"/>
    <mergeCell ref="B130:B134"/>
    <mergeCell ref="D130:D134"/>
    <mergeCell ref="U173:U178"/>
    <mergeCell ref="A164:A166"/>
    <mergeCell ref="B164:B166"/>
    <mergeCell ref="B121:B123"/>
    <mergeCell ref="C191:U191"/>
    <mergeCell ref="E192:E195"/>
    <mergeCell ref="D171:D172"/>
    <mergeCell ref="Q155:Q156"/>
    <mergeCell ref="U155:U157"/>
    <mergeCell ref="D158:D159"/>
    <mergeCell ref="U162:U163"/>
    <mergeCell ref="A114:A115"/>
    <mergeCell ref="B114:B115"/>
    <mergeCell ref="C114:C115"/>
    <mergeCell ref="A130:A134"/>
  </mergeCells>
  <printOptions horizontalCentered="1"/>
  <pageMargins left="0.19685039370078741" right="0.19685039370078741" top="0.59055118110236227" bottom="0.19685039370078741" header="0" footer="0"/>
  <pageSetup paperSize="9" scale="63" orientation="landscape" r:id="rId1"/>
  <headerFooter alignWithMargins="0"/>
  <rowBreaks count="7" manualBreakCount="7">
    <brk id="28" max="20" man="1"/>
    <brk id="98" max="20" man="1"/>
    <brk id="137" max="20" man="1"/>
    <brk id="179" max="20" man="1"/>
    <brk id="207" max="20" man="1"/>
    <brk id="231" max="20" man="1"/>
    <brk id="263"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76"/>
  <sheetViews>
    <sheetView view="pageBreakPreview" topLeftCell="A127" zoomScaleNormal="100" zoomScaleSheetLayoutView="100" workbookViewId="0">
      <selection activeCell="J137" sqref="J137"/>
    </sheetView>
  </sheetViews>
  <sheetFormatPr defaultRowHeight="12.75" x14ac:dyDescent="0.2"/>
  <cols>
    <col min="1" max="3" width="2.7109375" style="2" customWidth="1"/>
    <col min="4" max="4" width="3.140625" style="1238" customWidth="1"/>
    <col min="5" max="5" width="36.28515625" style="2" customWidth="1"/>
    <col min="6" max="6" width="3.28515625" style="7" customWidth="1"/>
    <col min="7" max="7" width="3" style="10" customWidth="1"/>
    <col min="8" max="8" width="10.28515625" style="10" customWidth="1"/>
    <col min="9" max="9" width="8.85546875" style="3" customWidth="1"/>
    <col min="10" max="10" width="8.85546875" style="2" customWidth="1"/>
    <col min="11" max="12" width="9" style="2" customWidth="1"/>
    <col min="13" max="13" width="39.85546875" style="2" customWidth="1"/>
    <col min="14" max="14" width="5.7109375" style="2" customWidth="1"/>
    <col min="15" max="16" width="4.7109375" style="2" customWidth="1"/>
    <col min="17" max="16384" width="9.140625" style="1"/>
  </cols>
  <sheetData>
    <row r="1" spans="1:18" s="127" customFormat="1" ht="15.75" customHeight="1" x14ac:dyDescent="0.25">
      <c r="D1" s="1235"/>
      <c r="M1" s="2546" t="s">
        <v>116</v>
      </c>
      <c r="N1" s="2547"/>
      <c r="O1" s="2547"/>
      <c r="P1" s="2547"/>
    </row>
    <row r="2" spans="1:18" s="32" customFormat="1" ht="15" x14ac:dyDescent="0.2">
      <c r="A2" s="2136" t="s">
        <v>342</v>
      </c>
      <c r="B2" s="2136"/>
      <c r="C2" s="2136"/>
      <c r="D2" s="2136"/>
      <c r="E2" s="2136"/>
      <c r="F2" s="2136"/>
      <c r="G2" s="2136"/>
      <c r="H2" s="2136"/>
      <c r="I2" s="2136"/>
      <c r="J2" s="2136"/>
      <c r="K2" s="2136"/>
      <c r="L2" s="2136"/>
      <c r="M2" s="2136"/>
      <c r="N2" s="2136"/>
      <c r="O2" s="2136"/>
      <c r="P2" s="2136"/>
    </row>
    <row r="3" spans="1:18" ht="15.75" customHeight="1" x14ac:dyDescent="0.2">
      <c r="A3" s="2137" t="s">
        <v>29</v>
      </c>
      <c r="B3" s="2137"/>
      <c r="C3" s="2137"/>
      <c r="D3" s="2137"/>
      <c r="E3" s="2137"/>
      <c r="F3" s="2137"/>
      <c r="G3" s="2137"/>
      <c r="H3" s="2137"/>
      <c r="I3" s="2137"/>
      <c r="J3" s="2137"/>
      <c r="K3" s="2137"/>
      <c r="L3" s="2137"/>
      <c r="M3" s="2137"/>
      <c r="N3" s="2137"/>
      <c r="O3" s="2137"/>
      <c r="P3" s="2137"/>
    </row>
    <row r="4" spans="1:18" ht="15" customHeight="1" x14ac:dyDescent="0.2">
      <c r="A4" s="2138" t="s">
        <v>17</v>
      </c>
      <c r="B4" s="2138"/>
      <c r="C4" s="2138"/>
      <c r="D4" s="2138"/>
      <c r="E4" s="2138"/>
      <c r="F4" s="2138"/>
      <c r="G4" s="2138"/>
      <c r="H4" s="2138"/>
      <c r="I4" s="2138"/>
      <c r="J4" s="2138"/>
      <c r="K4" s="2138"/>
      <c r="L4" s="2138"/>
      <c r="M4" s="2138"/>
      <c r="N4" s="2138"/>
      <c r="O4" s="2138"/>
      <c r="P4" s="2138"/>
    </row>
    <row r="5" spans="1:18" ht="15" customHeight="1" thickBot="1" x14ac:dyDescent="0.25">
      <c r="A5" s="14"/>
      <c r="B5" s="14"/>
      <c r="C5" s="14"/>
      <c r="D5" s="1236"/>
      <c r="E5" s="14"/>
      <c r="F5" s="15"/>
      <c r="G5" s="16"/>
      <c r="H5" s="16"/>
      <c r="I5" s="187"/>
      <c r="J5" s="14"/>
      <c r="K5" s="14"/>
      <c r="L5" s="14"/>
      <c r="M5" s="2139" t="s">
        <v>109</v>
      </c>
      <c r="N5" s="2139"/>
      <c r="O5" s="2139"/>
      <c r="P5" s="2140"/>
    </row>
    <row r="6" spans="1:18" s="32" customFormat="1" ht="30" customHeight="1" x14ac:dyDescent="0.2">
      <c r="A6" s="2254" t="s">
        <v>18</v>
      </c>
      <c r="B6" s="2257" t="s">
        <v>0</v>
      </c>
      <c r="C6" s="2257" t="s">
        <v>1</v>
      </c>
      <c r="D6" s="2548" t="s">
        <v>27</v>
      </c>
      <c r="E6" s="2260" t="s">
        <v>12</v>
      </c>
      <c r="F6" s="2245" t="s">
        <v>2</v>
      </c>
      <c r="G6" s="2248" t="s">
        <v>3</v>
      </c>
      <c r="H6" s="2551" t="s">
        <v>62</v>
      </c>
      <c r="I6" s="2251" t="s">
        <v>4</v>
      </c>
      <c r="J6" s="2232" t="s">
        <v>227</v>
      </c>
      <c r="K6" s="2232" t="s">
        <v>158</v>
      </c>
      <c r="L6" s="2232" t="s">
        <v>223</v>
      </c>
      <c r="M6" s="2235" t="s">
        <v>11</v>
      </c>
      <c r="N6" s="2236"/>
      <c r="O6" s="2236"/>
      <c r="P6" s="2237"/>
    </row>
    <row r="7" spans="1:18" s="32" customFormat="1" ht="18.75" customHeight="1" x14ac:dyDescent="0.2">
      <c r="A7" s="2255"/>
      <c r="B7" s="2258"/>
      <c r="C7" s="2258"/>
      <c r="D7" s="2549"/>
      <c r="E7" s="2261"/>
      <c r="F7" s="2246"/>
      <c r="G7" s="2249"/>
      <c r="H7" s="2552"/>
      <c r="I7" s="2252"/>
      <c r="J7" s="2233"/>
      <c r="K7" s="2233"/>
      <c r="L7" s="2233"/>
      <c r="M7" s="2238" t="s">
        <v>12</v>
      </c>
      <c r="N7" s="2240"/>
      <c r="O7" s="2240"/>
      <c r="P7" s="2241"/>
    </row>
    <row r="8" spans="1:18" s="32" customFormat="1" ht="63" customHeight="1" thickBot="1" x14ac:dyDescent="0.25">
      <c r="A8" s="2256"/>
      <c r="B8" s="2259"/>
      <c r="C8" s="2259"/>
      <c r="D8" s="2550"/>
      <c r="E8" s="2262"/>
      <c r="F8" s="2247"/>
      <c r="G8" s="2250"/>
      <c r="H8" s="2553"/>
      <c r="I8" s="2253"/>
      <c r="J8" s="2234"/>
      <c r="K8" s="2234"/>
      <c r="L8" s="2234"/>
      <c r="M8" s="2239"/>
      <c r="N8" s="128" t="s">
        <v>117</v>
      </c>
      <c r="O8" s="128" t="s">
        <v>159</v>
      </c>
      <c r="P8" s="129" t="s">
        <v>224</v>
      </c>
    </row>
    <row r="9" spans="1:18" s="9" customFormat="1" ht="14.25" customHeight="1" x14ac:dyDescent="0.2">
      <c r="A9" s="2242" t="s">
        <v>61</v>
      </c>
      <c r="B9" s="2243"/>
      <c r="C9" s="2243"/>
      <c r="D9" s="2243"/>
      <c r="E9" s="2243"/>
      <c r="F9" s="2243"/>
      <c r="G9" s="2243"/>
      <c r="H9" s="2243"/>
      <c r="I9" s="2243"/>
      <c r="J9" s="2243"/>
      <c r="K9" s="2243"/>
      <c r="L9" s="2243"/>
      <c r="M9" s="2243"/>
      <c r="N9" s="2243"/>
      <c r="O9" s="2243"/>
      <c r="P9" s="2244"/>
    </row>
    <row r="10" spans="1:18" s="9" customFormat="1" ht="14.25" customHeight="1" x14ac:dyDescent="0.2">
      <c r="A10" s="2223" t="s">
        <v>26</v>
      </c>
      <c r="B10" s="2224"/>
      <c r="C10" s="2224"/>
      <c r="D10" s="2224"/>
      <c r="E10" s="2224"/>
      <c r="F10" s="2224"/>
      <c r="G10" s="2224"/>
      <c r="H10" s="2224"/>
      <c r="I10" s="2224"/>
      <c r="J10" s="2224"/>
      <c r="K10" s="2224"/>
      <c r="L10" s="2224"/>
      <c r="M10" s="2224"/>
      <c r="N10" s="2224"/>
      <c r="O10" s="2224"/>
      <c r="P10" s="2225"/>
    </row>
    <row r="11" spans="1:18" ht="16.5" customHeight="1" x14ac:dyDescent="0.2">
      <c r="A11" s="17" t="s">
        <v>5</v>
      </c>
      <c r="B11" s="2226" t="s">
        <v>30</v>
      </c>
      <c r="C11" s="2227"/>
      <c r="D11" s="2227"/>
      <c r="E11" s="2227"/>
      <c r="F11" s="2227"/>
      <c r="G11" s="2227"/>
      <c r="H11" s="2227"/>
      <c r="I11" s="2227"/>
      <c r="J11" s="2227"/>
      <c r="K11" s="2227"/>
      <c r="L11" s="2227"/>
      <c r="M11" s="2227"/>
      <c r="N11" s="2227"/>
      <c r="O11" s="2227"/>
      <c r="P11" s="2228"/>
    </row>
    <row r="12" spans="1:18" ht="15" customHeight="1" x14ac:dyDescent="0.2">
      <c r="A12" s="186" t="s">
        <v>5</v>
      </c>
      <c r="B12" s="12" t="s">
        <v>5</v>
      </c>
      <c r="C12" s="2229" t="s">
        <v>31</v>
      </c>
      <c r="D12" s="2230"/>
      <c r="E12" s="2230"/>
      <c r="F12" s="2230"/>
      <c r="G12" s="2230"/>
      <c r="H12" s="2230"/>
      <c r="I12" s="2230"/>
      <c r="J12" s="2230"/>
      <c r="K12" s="2230"/>
      <c r="L12" s="2230"/>
      <c r="M12" s="2230"/>
      <c r="N12" s="2230"/>
      <c r="O12" s="2230"/>
      <c r="P12" s="2231"/>
    </row>
    <row r="13" spans="1:18" ht="18" customHeight="1" x14ac:dyDescent="0.2">
      <c r="A13" s="184" t="s">
        <v>5</v>
      </c>
      <c r="B13" s="185" t="s">
        <v>5</v>
      </c>
      <c r="C13" s="273" t="s">
        <v>5</v>
      </c>
      <c r="D13" s="1851"/>
      <c r="E13" s="1234" t="s">
        <v>431</v>
      </c>
      <c r="F13" s="1241" t="s">
        <v>47</v>
      </c>
      <c r="G13" s="1205" t="s">
        <v>43</v>
      </c>
      <c r="H13" s="30"/>
      <c r="I13" s="133"/>
      <c r="J13" s="344"/>
      <c r="K13" s="345"/>
      <c r="L13" s="773"/>
      <c r="M13" s="21"/>
      <c r="N13" s="11"/>
      <c r="O13" s="553"/>
      <c r="P13" s="562"/>
    </row>
    <row r="14" spans="1:18" ht="14.1" customHeight="1" x14ac:dyDescent="0.2">
      <c r="A14" s="2031"/>
      <c r="B14" s="2032"/>
      <c r="C14" s="2500"/>
      <c r="D14" s="2493" t="s">
        <v>5</v>
      </c>
      <c r="E14" s="2002" t="s">
        <v>278</v>
      </c>
      <c r="F14" s="2022"/>
      <c r="G14" s="2033"/>
      <c r="H14" s="2508" t="s">
        <v>71</v>
      </c>
      <c r="I14" s="73" t="s">
        <v>99</v>
      </c>
      <c r="J14" s="1055">
        <f>755.4-236.1-378</f>
        <v>141.30000000000001</v>
      </c>
      <c r="K14" s="1056">
        <f>211.8+236.1</f>
        <v>447.9</v>
      </c>
      <c r="L14" s="790"/>
      <c r="M14" s="1999"/>
      <c r="N14" s="1229"/>
      <c r="O14" s="1229"/>
      <c r="P14" s="1232"/>
      <c r="Q14" s="526"/>
      <c r="R14" s="526"/>
    </row>
    <row r="15" spans="1:18" ht="14.1" customHeight="1" x14ac:dyDescent="0.2">
      <c r="A15" s="2031"/>
      <c r="B15" s="2032"/>
      <c r="C15" s="2500"/>
      <c r="D15" s="2494"/>
      <c r="E15" s="2003"/>
      <c r="F15" s="2022"/>
      <c r="G15" s="2033"/>
      <c r="H15" s="2509"/>
      <c r="I15" s="69" t="s">
        <v>25</v>
      </c>
      <c r="J15" s="55">
        <v>875.5</v>
      </c>
      <c r="K15" s="1741">
        <f>374+1571.4</f>
        <v>1945.4</v>
      </c>
      <c r="L15" s="55"/>
      <c r="M15" s="2004"/>
      <c r="N15" s="1230"/>
      <c r="O15" s="1230"/>
      <c r="P15" s="1233"/>
    </row>
    <row r="16" spans="1:18" ht="14.1" customHeight="1" x14ac:dyDescent="0.2">
      <c r="A16" s="2031"/>
      <c r="B16" s="2032"/>
      <c r="C16" s="2500"/>
      <c r="D16" s="2494"/>
      <c r="E16" s="2507"/>
      <c r="F16" s="2022"/>
      <c r="G16" s="2033"/>
      <c r="H16" s="2509"/>
      <c r="I16" s="69" t="s">
        <v>222</v>
      </c>
      <c r="J16" s="54">
        <v>1482.2</v>
      </c>
      <c r="K16" s="1042">
        <v>122.8</v>
      </c>
      <c r="L16" s="54"/>
      <c r="M16" s="1219"/>
      <c r="N16" s="1230"/>
      <c r="O16" s="1230"/>
      <c r="P16" s="1233"/>
    </row>
    <row r="17" spans="1:16" ht="14.1" customHeight="1" x14ac:dyDescent="0.2">
      <c r="A17" s="2031"/>
      <c r="B17" s="2032"/>
      <c r="C17" s="2500"/>
      <c r="D17" s="2494"/>
      <c r="E17" s="1221"/>
      <c r="F17" s="2022"/>
      <c r="G17" s="2033"/>
      <c r="H17" s="2509"/>
      <c r="I17" s="69" t="s">
        <v>48</v>
      </c>
      <c r="J17" s="54">
        <v>200</v>
      </c>
      <c r="K17" s="85"/>
      <c r="L17" s="54"/>
      <c r="M17" s="1219"/>
      <c r="N17" s="1230"/>
      <c r="O17" s="1230"/>
      <c r="P17" s="1233"/>
    </row>
    <row r="18" spans="1:16" ht="14.1" customHeight="1" x14ac:dyDescent="0.2">
      <c r="A18" s="2031"/>
      <c r="B18" s="2032"/>
      <c r="C18" s="2500"/>
      <c r="D18" s="2494"/>
      <c r="E18" s="1221"/>
      <c r="F18" s="2022"/>
      <c r="G18" s="2033"/>
      <c r="H18" s="2509"/>
      <c r="I18" s="69" t="s">
        <v>45</v>
      </c>
      <c r="J18" s="54">
        <v>104.9</v>
      </c>
      <c r="K18" s="85"/>
      <c r="L18" s="54"/>
      <c r="M18" s="1219"/>
      <c r="N18" s="1590"/>
      <c r="O18" s="1230"/>
      <c r="P18" s="1233"/>
    </row>
    <row r="19" spans="1:16" ht="14.1" customHeight="1" x14ac:dyDescent="0.2">
      <c r="A19" s="2031"/>
      <c r="B19" s="2032"/>
      <c r="C19" s="2500"/>
      <c r="D19" s="2494"/>
      <c r="E19" s="1221"/>
      <c r="F19" s="2022"/>
      <c r="G19" s="2033"/>
      <c r="H19" s="2509"/>
      <c r="I19" s="69" t="s">
        <v>60</v>
      </c>
      <c r="J19" s="54">
        <v>186.9</v>
      </c>
      <c r="K19" s="85"/>
      <c r="L19" s="54"/>
      <c r="M19" s="1219"/>
      <c r="N19" s="1590"/>
      <c r="O19" s="1230"/>
      <c r="P19" s="1233"/>
    </row>
    <row r="20" spans="1:16" ht="25.5" customHeight="1" x14ac:dyDescent="0.2">
      <c r="A20" s="2031"/>
      <c r="B20" s="2032"/>
      <c r="C20" s="2500"/>
      <c r="D20" s="2494"/>
      <c r="E20" s="362" t="s">
        <v>147</v>
      </c>
      <c r="F20" s="2022"/>
      <c r="G20" s="2033"/>
      <c r="H20" s="2509"/>
      <c r="I20" s="110"/>
      <c r="J20" s="51"/>
      <c r="K20" s="152"/>
      <c r="L20" s="51"/>
      <c r="M20" s="71" t="s">
        <v>178</v>
      </c>
      <c r="N20" s="134">
        <v>100</v>
      </c>
      <c r="O20" s="134"/>
      <c r="P20" s="23"/>
    </row>
    <row r="21" spans="1:16" ht="40.5" customHeight="1" x14ac:dyDescent="0.2">
      <c r="A21" s="2031"/>
      <c r="B21" s="2032"/>
      <c r="C21" s="2500"/>
      <c r="D21" s="2494"/>
      <c r="E21" s="1209" t="s">
        <v>122</v>
      </c>
      <c r="F21" s="2022"/>
      <c r="G21" s="2033"/>
      <c r="H21" s="226"/>
      <c r="I21" s="72"/>
      <c r="J21" s="791"/>
      <c r="K21" s="124"/>
      <c r="L21" s="791"/>
      <c r="M21" s="363" t="s">
        <v>179</v>
      </c>
      <c r="N21" s="41">
        <v>80</v>
      </c>
      <c r="O21" s="41">
        <v>100</v>
      </c>
      <c r="P21" s="20"/>
    </row>
    <row r="22" spans="1:16" ht="15" customHeight="1" x14ac:dyDescent="0.2">
      <c r="A22" s="1206"/>
      <c r="B22" s="1217"/>
      <c r="C22" s="1228"/>
      <c r="D22" s="2512" t="s">
        <v>7</v>
      </c>
      <c r="E22" s="2002" t="s">
        <v>59</v>
      </c>
      <c r="F22" s="2455"/>
      <c r="G22" s="2022"/>
      <c r="H22" s="2486" t="s">
        <v>70</v>
      </c>
      <c r="I22" s="790" t="s">
        <v>99</v>
      </c>
      <c r="J22" s="566">
        <v>0</v>
      </c>
      <c r="K22" s="99"/>
      <c r="L22" s="790"/>
      <c r="M22" s="2005" t="s">
        <v>180</v>
      </c>
      <c r="N22" s="1591">
        <v>100</v>
      </c>
      <c r="O22" s="961"/>
      <c r="P22" s="1232"/>
    </row>
    <row r="23" spans="1:16" ht="15" customHeight="1" x14ac:dyDescent="0.2">
      <c r="A23" s="1206"/>
      <c r="B23" s="1217"/>
      <c r="C23" s="1228"/>
      <c r="D23" s="2513"/>
      <c r="E23" s="2040"/>
      <c r="F23" s="2455"/>
      <c r="G23" s="2022"/>
      <c r="H23" s="2511"/>
      <c r="I23" s="54" t="s">
        <v>48</v>
      </c>
      <c r="J23" s="54">
        <v>1300</v>
      </c>
      <c r="K23" s="85"/>
      <c r="L23" s="54"/>
      <c r="M23" s="2006"/>
      <c r="N23" s="1592"/>
      <c r="O23" s="232"/>
      <c r="P23" s="1233"/>
    </row>
    <row r="24" spans="1:16" ht="15" customHeight="1" x14ac:dyDescent="0.2">
      <c r="A24" s="1206"/>
      <c r="B24" s="1217"/>
      <c r="C24" s="1228"/>
      <c r="D24" s="2514"/>
      <c r="E24" s="2030"/>
      <c r="F24" s="2455"/>
      <c r="G24" s="2022"/>
      <c r="H24" s="2511"/>
      <c r="I24" s="791" t="s">
        <v>45</v>
      </c>
      <c r="J24" s="791"/>
      <c r="K24" s="124"/>
      <c r="L24" s="791"/>
      <c r="M24" s="1149"/>
      <c r="N24" s="19"/>
      <c r="O24" s="233"/>
      <c r="P24" s="20"/>
    </row>
    <row r="25" spans="1:16" ht="14.25" customHeight="1" x14ac:dyDescent="0.2">
      <c r="A25" s="1206"/>
      <c r="B25" s="1217"/>
      <c r="C25" s="1228"/>
      <c r="D25" s="271" t="s">
        <v>28</v>
      </c>
      <c r="E25" s="2002" t="s">
        <v>195</v>
      </c>
      <c r="F25" s="1239"/>
      <c r="G25" s="1215"/>
      <c r="H25" s="2511"/>
      <c r="I25" s="69" t="s">
        <v>99</v>
      </c>
      <c r="J25" s="374">
        <f>845.7+10-200+320.6</f>
        <v>976.3</v>
      </c>
      <c r="K25" s="1042">
        <v>200</v>
      </c>
      <c r="L25" s="54"/>
      <c r="M25" s="2000" t="s">
        <v>181</v>
      </c>
      <c r="N25" s="1077">
        <v>80</v>
      </c>
      <c r="O25" s="1126">
        <v>100</v>
      </c>
      <c r="P25" s="1078"/>
    </row>
    <row r="26" spans="1:16" ht="12.75" customHeight="1" x14ac:dyDescent="0.2">
      <c r="A26" s="1206"/>
      <c r="B26" s="1217"/>
      <c r="C26" s="1228"/>
      <c r="D26" s="31"/>
      <c r="E26" s="2040"/>
      <c r="F26" s="2067"/>
      <c r="G26" s="1215"/>
      <c r="H26" s="2511"/>
      <c r="I26" s="472" t="s">
        <v>25</v>
      </c>
      <c r="J26" s="1065">
        <f>472.5-10-320.6</f>
        <v>141.9</v>
      </c>
      <c r="K26" s="85"/>
      <c r="L26" s="54"/>
      <c r="M26" s="2004"/>
      <c r="N26" s="1583"/>
      <c r="O26" s="482"/>
      <c r="P26" s="250"/>
    </row>
    <row r="27" spans="1:16" ht="15" customHeight="1" x14ac:dyDescent="0.2">
      <c r="A27" s="1206"/>
      <c r="B27" s="1217"/>
      <c r="C27" s="1228"/>
      <c r="D27" s="31"/>
      <c r="E27" s="2040"/>
      <c r="F27" s="2067"/>
      <c r="G27" s="1215"/>
      <c r="H27" s="2511"/>
      <c r="I27" s="567"/>
      <c r="J27" s="408"/>
      <c r="K27" s="85"/>
      <c r="L27" s="54"/>
      <c r="M27" s="1219"/>
      <c r="N27" s="1583"/>
      <c r="O27" s="482"/>
      <c r="P27" s="250"/>
    </row>
    <row r="28" spans="1:16" ht="16.5" customHeight="1" x14ac:dyDescent="0.2">
      <c r="A28" s="1206"/>
      <c r="B28" s="1217"/>
      <c r="C28" s="1228"/>
      <c r="D28" s="236"/>
      <c r="E28" s="2030"/>
      <c r="F28" s="2067"/>
      <c r="G28" s="1215"/>
      <c r="H28" s="2511"/>
      <c r="I28" s="409"/>
      <c r="J28" s="407"/>
      <c r="K28" s="124"/>
      <c r="L28" s="791"/>
      <c r="M28" s="1226"/>
      <c r="N28" s="1586"/>
      <c r="O28" s="482"/>
      <c r="P28" s="250"/>
    </row>
    <row r="29" spans="1:16" ht="15.75" customHeight="1" x14ac:dyDescent="0.2">
      <c r="A29" s="2031"/>
      <c r="B29" s="2039"/>
      <c r="C29" s="2500"/>
      <c r="D29" s="2493" t="s">
        <v>33</v>
      </c>
      <c r="E29" s="2002" t="s">
        <v>197</v>
      </c>
      <c r="F29" s="1216"/>
      <c r="G29" s="2024"/>
      <c r="H29" s="606"/>
      <c r="I29" s="73" t="s">
        <v>25</v>
      </c>
      <c r="J29" s="566">
        <f>814.8+100</f>
        <v>914.8</v>
      </c>
      <c r="K29" s="99"/>
      <c r="L29" s="790"/>
      <c r="M29" s="1211" t="s">
        <v>160</v>
      </c>
      <c r="N29" s="360">
        <v>100</v>
      </c>
      <c r="O29" s="498"/>
      <c r="P29" s="361"/>
    </row>
    <row r="30" spans="1:16" ht="15" customHeight="1" x14ac:dyDescent="0.2">
      <c r="A30" s="2031"/>
      <c r="B30" s="2039"/>
      <c r="C30" s="2500"/>
      <c r="D30" s="2494"/>
      <c r="E30" s="2040"/>
      <c r="F30" s="1216"/>
      <c r="G30" s="2024"/>
      <c r="H30" s="606"/>
      <c r="I30" s="69" t="s">
        <v>99</v>
      </c>
      <c r="J30" s="54">
        <v>1100</v>
      </c>
      <c r="K30" s="85"/>
      <c r="L30" s="54"/>
      <c r="M30" s="1211"/>
      <c r="N30" s="360"/>
      <c r="O30" s="155"/>
      <c r="P30" s="166"/>
    </row>
    <row r="31" spans="1:16" ht="15" customHeight="1" x14ac:dyDescent="0.2">
      <c r="A31" s="2031"/>
      <c r="B31" s="2039"/>
      <c r="C31" s="2500"/>
      <c r="D31" s="2494"/>
      <c r="E31" s="2040"/>
      <c r="F31" s="1216"/>
      <c r="G31" s="2024"/>
      <c r="H31" s="606"/>
      <c r="I31" s="69" t="s">
        <v>48</v>
      </c>
      <c r="J31" s="54">
        <v>162.4</v>
      </c>
      <c r="K31" s="85"/>
      <c r="L31" s="54"/>
      <c r="M31" s="1211"/>
      <c r="N31" s="360"/>
      <c r="O31" s="155"/>
      <c r="P31" s="166"/>
    </row>
    <row r="32" spans="1:16" ht="15" customHeight="1" x14ac:dyDescent="0.2">
      <c r="A32" s="2031"/>
      <c r="B32" s="2039"/>
      <c r="C32" s="2500"/>
      <c r="D32" s="2494"/>
      <c r="E32" s="2040"/>
      <c r="F32" s="1216"/>
      <c r="G32" s="2024"/>
      <c r="H32" s="606"/>
      <c r="I32" s="69" t="s">
        <v>98</v>
      </c>
      <c r="J32" s="54">
        <v>151.9</v>
      </c>
      <c r="K32" s="85"/>
      <c r="L32" s="54"/>
      <c r="M32" s="1211"/>
      <c r="N32" s="360"/>
      <c r="O32" s="155"/>
      <c r="P32" s="166"/>
    </row>
    <row r="33" spans="1:16" ht="16.5" customHeight="1" x14ac:dyDescent="0.2">
      <c r="A33" s="2031"/>
      <c r="B33" s="2039"/>
      <c r="C33" s="2500"/>
      <c r="D33" s="2495"/>
      <c r="E33" s="2030"/>
      <c r="F33" s="1240"/>
      <c r="G33" s="2024"/>
      <c r="H33" s="606"/>
      <c r="I33" s="102" t="s">
        <v>60</v>
      </c>
      <c r="J33" s="791">
        <v>100</v>
      </c>
      <c r="K33" s="124"/>
      <c r="L33" s="791"/>
      <c r="M33" s="324"/>
      <c r="N33" s="230"/>
      <c r="O33" s="499"/>
      <c r="P33" s="231"/>
    </row>
    <row r="34" spans="1:16" ht="16.5" customHeight="1" x14ac:dyDescent="0.2">
      <c r="A34" s="2038"/>
      <c r="B34" s="2039"/>
      <c r="C34" s="2500"/>
      <c r="D34" s="31" t="s">
        <v>34</v>
      </c>
      <c r="E34" s="2010" t="s">
        <v>194</v>
      </c>
      <c r="F34" s="1216"/>
      <c r="G34" s="2033"/>
      <c r="H34" s="2487"/>
      <c r="I34" s="73" t="s">
        <v>99</v>
      </c>
      <c r="J34" s="566">
        <f>200+200</f>
        <v>400</v>
      </c>
      <c r="K34" s="99">
        <f>696.4-200</f>
        <v>496.4</v>
      </c>
      <c r="L34" s="790">
        <v>600</v>
      </c>
      <c r="M34" s="2007" t="s">
        <v>175</v>
      </c>
      <c r="N34" s="1605">
        <v>100</v>
      </c>
      <c r="O34" s="774"/>
      <c r="P34" s="775"/>
    </row>
    <row r="35" spans="1:16" ht="23.25" customHeight="1" x14ac:dyDescent="0.2">
      <c r="A35" s="2038"/>
      <c r="B35" s="2039"/>
      <c r="C35" s="2500"/>
      <c r="D35" s="31"/>
      <c r="E35" s="2010"/>
      <c r="F35" s="1216"/>
      <c r="G35" s="2033"/>
      <c r="H35" s="2487"/>
      <c r="I35" s="69" t="s">
        <v>25</v>
      </c>
      <c r="J35" s="54">
        <f>500-143.4</f>
        <v>356.6</v>
      </c>
      <c r="K35" s="85">
        <v>103.6</v>
      </c>
      <c r="L35" s="54">
        <v>200</v>
      </c>
      <c r="M35" s="2433"/>
      <c r="N35" s="474"/>
      <c r="O35" s="478"/>
      <c r="P35" s="589"/>
    </row>
    <row r="36" spans="1:16" ht="28.5" customHeight="1" x14ac:dyDescent="0.2">
      <c r="A36" s="2038"/>
      <c r="B36" s="2039"/>
      <c r="C36" s="2500"/>
      <c r="D36" s="31"/>
      <c r="E36" s="2010"/>
      <c r="F36" s="1216"/>
      <c r="G36" s="2033"/>
      <c r="H36" s="2487"/>
      <c r="I36" s="1"/>
      <c r="J36" s="54"/>
      <c r="K36" s="85"/>
      <c r="L36" s="54"/>
      <c r="M36" s="24" t="s">
        <v>176</v>
      </c>
      <c r="N36" s="1057" t="s">
        <v>400</v>
      </c>
      <c r="O36" s="1058">
        <v>80</v>
      </c>
      <c r="P36" s="1059">
        <v>100</v>
      </c>
    </row>
    <row r="37" spans="1:16" ht="41.25" customHeight="1" x14ac:dyDescent="0.2">
      <c r="A37" s="2038"/>
      <c r="B37" s="2039"/>
      <c r="C37" s="2500"/>
      <c r="D37" s="31"/>
      <c r="E37" s="2010"/>
      <c r="F37" s="1216"/>
      <c r="G37" s="2033"/>
      <c r="H37" s="2487"/>
      <c r="I37" s="1"/>
      <c r="J37" s="54"/>
      <c r="K37" s="85"/>
      <c r="L37" s="54"/>
      <c r="M37" s="818" t="s">
        <v>149</v>
      </c>
      <c r="N37" s="1057" t="s">
        <v>55</v>
      </c>
      <c r="O37" s="1058"/>
      <c r="P37" s="1059"/>
    </row>
    <row r="38" spans="1:16" ht="54" customHeight="1" x14ac:dyDescent="0.2">
      <c r="A38" s="2038"/>
      <c r="B38" s="2039"/>
      <c r="C38" s="2500"/>
      <c r="D38" s="236"/>
      <c r="E38" s="2010"/>
      <c r="F38" s="1216"/>
      <c r="G38" s="2033"/>
      <c r="H38" s="2487"/>
      <c r="I38" s="69"/>
      <c r="J38" s="54"/>
      <c r="K38" s="85"/>
      <c r="L38" s="54"/>
      <c r="M38" s="818" t="s">
        <v>177</v>
      </c>
      <c r="N38" s="1057"/>
      <c r="O38" s="1058"/>
      <c r="P38" s="1059">
        <v>5</v>
      </c>
    </row>
    <row r="39" spans="1:16" ht="14.25" customHeight="1" x14ac:dyDescent="0.2">
      <c r="A39" s="1837"/>
      <c r="B39" s="1842"/>
      <c r="C39" s="1843"/>
      <c r="D39" s="1134" t="s">
        <v>35</v>
      </c>
      <c r="E39" s="2009" t="s">
        <v>127</v>
      </c>
      <c r="F39" s="2363" t="s">
        <v>370</v>
      </c>
      <c r="G39" s="1835"/>
      <c r="H39" s="95"/>
      <c r="I39" s="788" t="s">
        <v>25</v>
      </c>
      <c r="J39" s="566">
        <v>105</v>
      </c>
      <c r="K39" s="99"/>
      <c r="L39" s="790"/>
      <c r="M39" s="963" t="s">
        <v>46</v>
      </c>
      <c r="N39" s="343">
        <v>1</v>
      </c>
      <c r="O39" s="1846"/>
      <c r="P39" s="1848"/>
    </row>
    <row r="40" spans="1:16" ht="13.5" customHeight="1" x14ac:dyDescent="0.2">
      <c r="A40" s="1837"/>
      <c r="B40" s="1842"/>
      <c r="C40" s="1843"/>
      <c r="D40" s="1134"/>
      <c r="E40" s="2010"/>
      <c r="F40" s="2365"/>
      <c r="G40" s="1835"/>
      <c r="H40" s="95"/>
      <c r="I40" s="55" t="s">
        <v>99</v>
      </c>
      <c r="J40" s="54">
        <v>243.1</v>
      </c>
      <c r="K40" s="85"/>
      <c r="L40" s="54">
        <v>1200</v>
      </c>
      <c r="M40" s="2013" t="s">
        <v>233</v>
      </c>
      <c r="N40" s="343"/>
      <c r="O40" s="1847">
        <v>60</v>
      </c>
      <c r="P40" s="1849">
        <v>90</v>
      </c>
    </row>
    <row r="41" spans="1:16" ht="12.75" customHeight="1" x14ac:dyDescent="0.2">
      <c r="A41" s="1837"/>
      <c r="B41" s="1842"/>
      <c r="C41" s="1843"/>
      <c r="D41" s="1134"/>
      <c r="E41" s="2010"/>
      <c r="F41" s="2365"/>
      <c r="G41" s="1835"/>
      <c r="H41" s="95"/>
      <c r="I41" s="55" t="s">
        <v>241</v>
      </c>
      <c r="J41" s="54"/>
      <c r="K41" s="85">
        <v>5000</v>
      </c>
      <c r="L41" s="54">
        <v>8609.1</v>
      </c>
      <c r="M41" s="2381"/>
      <c r="N41" s="343"/>
      <c r="O41" s="1847"/>
      <c r="P41" s="1849"/>
    </row>
    <row r="42" spans="1:16" ht="12.75" customHeight="1" x14ac:dyDescent="0.2">
      <c r="A42" s="1837"/>
      <c r="B42" s="1842"/>
      <c r="C42" s="1843"/>
      <c r="D42" s="1134"/>
      <c r="E42" s="2010"/>
      <c r="F42" s="1833"/>
      <c r="G42" s="1835"/>
      <c r="H42" s="95"/>
      <c r="I42" s="789" t="s">
        <v>298</v>
      </c>
      <c r="J42" s="791"/>
      <c r="K42" s="124">
        <v>10000</v>
      </c>
      <c r="L42" s="791"/>
      <c r="M42" s="1839"/>
      <c r="N42" s="343"/>
      <c r="O42" s="1847"/>
      <c r="P42" s="1849"/>
    </row>
    <row r="43" spans="1:16" ht="18.75" customHeight="1" x14ac:dyDescent="0.2">
      <c r="A43" s="1828"/>
      <c r="B43" s="1840"/>
      <c r="C43" s="2490" t="s">
        <v>409</v>
      </c>
      <c r="D43" s="271" t="s">
        <v>36</v>
      </c>
      <c r="E43" s="1996" t="s">
        <v>211</v>
      </c>
      <c r="F43" s="619" t="s">
        <v>47</v>
      </c>
      <c r="G43" s="1830"/>
      <c r="H43" s="2486" t="s">
        <v>71</v>
      </c>
      <c r="I43" s="790" t="s">
        <v>25</v>
      </c>
      <c r="J43" s="790">
        <v>100</v>
      </c>
      <c r="K43" s="73">
        <v>181</v>
      </c>
      <c r="L43" s="790">
        <v>165.8</v>
      </c>
      <c r="M43" s="2054" t="s">
        <v>276</v>
      </c>
      <c r="N43" s="271"/>
      <c r="O43" s="608" t="s">
        <v>55</v>
      </c>
      <c r="P43" s="337"/>
    </row>
    <row r="44" spans="1:16" ht="33" customHeight="1" x14ac:dyDescent="0.2">
      <c r="A44" s="1828"/>
      <c r="B44" s="1840"/>
      <c r="C44" s="2491"/>
      <c r="D44" s="31"/>
      <c r="E44" s="2028"/>
      <c r="F44" s="2056" t="s">
        <v>231</v>
      </c>
      <c r="G44" s="1836"/>
      <c r="H44" s="2487"/>
      <c r="I44" s="54" t="s">
        <v>44</v>
      </c>
      <c r="J44" s="54"/>
      <c r="K44" s="69">
        <v>850</v>
      </c>
      <c r="L44" s="54">
        <v>639.4</v>
      </c>
      <c r="M44" s="2055"/>
      <c r="N44" s="609"/>
      <c r="O44" s="610"/>
      <c r="P44" s="397"/>
    </row>
    <row r="45" spans="1:16" ht="30.75" customHeight="1" x14ac:dyDescent="0.2">
      <c r="A45" s="1828"/>
      <c r="B45" s="1829"/>
      <c r="C45" s="2491"/>
      <c r="D45" s="236"/>
      <c r="E45" s="2028"/>
      <c r="F45" s="2489"/>
      <c r="G45" s="1836"/>
      <c r="H45" s="2488"/>
      <c r="I45" s="791"/>
      <c r="J45" s="791"/>
      <c r="K45" s="791"/>
      <c r="L45" s="791"/>
      <c r="M45" s="167" t="s">
        <v>239</v>
      </c>
      <c r="N45" s="609"/>
      <c r="O45" s="610" t="s">
        <v>236</v>
      </c>
      <c r="P45" s="397" t="s">
        <v>237</v>
      </c>
    </row>
    <row r="46" spans="1:16" ht="17.25" customHeight="1" x14ac:dyDescent="0.2">
      <c r="A46" s="1837"/>
      <c r="B46" s="1842"/>
      <c r="C46" s="2491"/>
      <c r="D46" s="31" t="s">
        <v>183</v>
      </c>
      <c r="E46" s="2289" t="s">
        <v>408</v>
      </c>
      <c r="F46" s="1834"/>
      <c r="G46" s="1844"/>
      <c r="H46" s="1845"/>
      <c r="I46" s="404" t="s">
        <v>25</v>
      </c>
      <c r="J46" s="374"/>
      <c r="K46" s="405">
        <v>133.80000000000001</v>
      </c>
      <c r="L46" s="374">
        <v>133.69999999999999</v>
      </c>
      <c r="M46" s="1850" t="s">
        <v>143</v>
      </c>
      <c r="N46" s="1763"/>
      <c r="O46" s="1763" t="s">
        <v>400</v>
      </c>
      <c r="P46" s="1764" t="s">
        <v>401</v>
      </c>
    </row>
    <row r="47" spans="1:16" ht="41.25" customHeight="1" x14ac:dyDescent="0.2">
      <c r="A47" s="1837"/>
      <c r="B47" s="1842"/>
      <c r="C47" s="2492"/>
      <c r="D47" s="236"/>
      <c r="E47" s="2290"/>
      <c r="F47" s="1841"/>
      <c r="G47" s="1844"/>
      <c r="H47" s="1845"/>
      <c r="I47" s="404" t="s">
        <v>44</v>
      </c>
      <c r="J47" s="374"/>
      <c r="K47" s="405">
        <v>250</v>
      </c>
      <c r="L47" s="374">
        <v>250</v>
      </c>
      <c r="M47" s="1770"/>
      <c r="N47" s="1765"/>
      <c r="O47" s="1765"/>
      <c r="P47" s="1766"/>
    </row>
    <row r="48" spans="1:16" ht="27.75" customHeight="1" x14ac:dyDescent="0.2">
      <c r="A48" s="2031"/>
      <c r="B48" s="2032"/>
      <c r="C48" s="2496" t="s">
        <v>410</v>
      </c>
      <c r="D48" s="2493" t="s">
        <v>305</v>
      </c>
      <c r="E48" s="2046" t="s">
        <v>238</v>
      </c>
      <c r="F48" s="2015" t="s">
        <v>108</v>
      </c>
      <c r="G48" s="2033"/>
      <c r="H48" s="2502"/>
      <c r="I48" s="229" t="s">
        <v>98</v>
      </c>
      <c r="J48" s="788">
        <v>328.7</v>
      </c>
      <c r="K48" s="99"/>
      <c r="L48" s="790"/>
      <c r="M48" s="1223" t="s">
        <v>136</v>
      </c>
      <c r="N48" s="1589">
        <v>2</v>
      </c>
      <c r="O48" s="336"/>
      <c r="P48" s="337"/>
    </row>
    <row r="49" spans="1:16" ht="30" customHeight="1" x14ac:dyDescent="0.2">
      <c r="A49" s="2031"/>
      <c r="B49" s="2032"/>
      <c r="C49" s="2497"/>
      <c r="D49" s="2494"/>
      <c r="E49" s="2047"/>
      <c r="F49" s="2216"/>
      <c r="G49" s="2033"/>
      <c r="H49" s="2502"/>
      <c r="I49" s="611" t="s">
        <v>25</v>
      </c>
      <c r="J49" s="605"/>
      <c r="K49" s="100"/>
      <c r="L49" s="1105">
        <f>322.8+559.2+175.8-1057.8</f>
        <v>0</v>
      </c>
      <c r="M49" s="38" t="s">
        <v>226</v>
      </c>
      <c r="N49" s="267">
        <v>1</v>
      </c>
      <c r="O49" s="497"/>
      <c r="P49" s="397"/>
    </row>
    <row r="50" spans="1:16" ht="13.5" customHeight="1" x14ac:dyDescent="0.2">
      <c r="A50" s="2031"/>
      <c r="B50" s="2032"/>
      <c r="C50" s="2497"/>
      <c r="D50" s="2494"/>
      <c r="E50" s="2047"/>
      <c r="F50" s="2216"/>
      <c r="G50" s="2033"/>
      <c r="H50" s="2502"/>
      <c r="I50" s="40" t="s">
        <v>99</v>
      </c>
      <c r="J50" s="55"/>
      <c r="K50" s="85"/>
      <c r="L50" s="374">
        <f>96.4-96.4</f>
        <v>0</v>
      </c>
      <c r="M50" s="2048" t="s">
        <v>246</v>
      </c>
      <c r="N50" s="1590"/>
      <c r="O50" s="159"/>
      <c r="P50" s="1979" t="s">
        <v>43</v>
      </c>
    </row>
    <row r="51" spans="1:16" ht="14.25" customHeight="1" x14ac:dyDescent="0.2">
      <c r="A51" s="2031"/>
      <c r="B51" s="2032"/>
      <c r="C51" s="2497"/>
      <c r="D51" s="2494"/>
      <c r="E51" s="2047"/>
      <c r="F51" s="1224"/>
      <c r="G51" s="2033"/>
      <c r="H51" s="2502"/>
      <c r="I51" s="40" t="s">
        <v>241</v>
      </c>
      <c r="J51" s="55"/>
      <c r="K51" s="69"/>
      <c r="L51" s="374">
        <f>44.7-44.7</f>
        <v>0</v>
      </c>
      <c r="M51" s="2504"/>
      <c r="N51" s="1590"/>
      <c r="O51" s="159"/>
      <c r="P51" s="262"/>
    </row>
    <row r="52" spans="1:16" ht="16.5" customHeight="1" x14ac:dyDescent="0.2">
      <c r="A52" s="2031"/>
      <c r="B52" s="2032"/>
      <c r="C52" s="2497"/>
      <c r="D52" s="2494"/>
      <c r="E52" s="2041"/>
      <c r="F52" s="1218"/>
      <c r="G52" s="2033"/>
      <c r="H52" s="2502"/>
      <c r="I52" s="39" t="s">
        <v>44</v>
      </c>
      <c r="J52" s="789"/>
      <c r="K52" s="124"/>
      <c r="L52" s="568">
        <f>690.3-690.3</f>
        <v>0</v>
      </c>
      <c r="M52" s="363"/>
      <c r="N52" s="41"/>
      <c r="O52" s="237"/>
      <c r="P52" s="340"/>
    </row>
    <row r="53" spans="1:16" ht="13.5" customHeight="1" x14ac:dyDescent="0.2">
      <c r="A53" s="1206"/>
      <c r="B53" s="1207"/>
      <c r="C53" s="2498"/>
      <c r="D53" s="271" t="s">
        <v>182</v>
      </c>
      <c r="E53" s="2009" t="s">
        <v>196</v>
      </c>
      <c r="F53" s="2015" t="s">
        <v>108</v>
      </c>
      <c r="G53" s="74"/>
      <c r="H53" s="2487"/>
      <c r="I53" s="69" t="s">
        <v>25</v>
      </c>
      <c r="J53" s="54"/>
      <c r="K53" s="85">
        <v>52</v>
      </c>
      <c r="L53" s="54"/>
      <c r="M53" s="2007" t="s">
        <v>368</v>
      </c>
      <c r="N53" s="1589">
        <v>1</v>
      </c>
      <c r="O53" s="968"/>
      <c r="P53" s="958"/>
    </row>
    <row r="54" spans="1:16" ht="12.75" customHeight="1" x14ac:dyDescent="0.2">
      <c r="A54" s="1206"/>
      <c r="B54" s="1207"/>
      <c r="C54" s="2498"/>
      <c r="D54" s="31"/>
      <c r="E54" s="2010"/>
      <c r="F54" s="2216"/>
      <c r="G54" s="74"/>
      <c r="H54" s="2487"/>
      <c r="I54" s="69" t="s">
        <v>60</v>
      </c>
      <c r="J54" s="54">
        <v>1.5</v>
      </c>
      <c r="K54" s="85"/>
      <c r="L54" s="54"/>
      <c r="M54" s="2004"/>
      <c r="N54" s="1590"/>
      <c r="O54" s="294"/>
      <c r="P54" s="250"/>
    </row>
    <row r="55" spans="1:16" ht="29.25" customHeight="1" x14ac:dyDescent="0.2">
      <c r="A55" s="1206"/>
      <c r="B55" s="1207"/>
      <c r="C55" s="2498"/>
      <c r="D55" s="236"/>
      <c r="E55" s="2021"/>
      <c r="F55" s="2216"/>
      <c r="G55" s="1208"/>
      <c r="H55" s="2487"/>
      <c r="I55" s="72"/>
      <c r="J55" s="791"/>
      <c r="K55" s="124"/>
      <c r="L55" s="791"/>
      <c r="M55" s="779" t="s">
        <v>369</v>
      </c>
      <c r="N55" s="780"/>
      <c r="O55" s="780">
        <v>1</v>
      </c>
      <c r="P55" s="781"/>
    </row>
    <row r="56" spans="1:16" ht="15" customHeight="1" x14ac:dyDescent="0.2">
      <c r="A56" s="2031"/>
      <c r="B56" s="2039"/>
      <c r="C56" s="2498"/>
      <c r="D56" s="2493" t="s">
        <v>371</v>
      </c>
      <c r="E56" s="2009" t="s">
        <v>146</v>
      </c>
      <c r="F56" s="2015" t="s">
        <v>108</v>
      </c>
      <c r="G56" s="2024"/>
      <c r="H56" s="606"/>
      <c r="I56" s="69" t="s">
        <v>25</v>
      </c>
      <c r="J56" s="54"/>
      <c r="K56" s="85"/>
      <c r="L56" s="54">
        <v>25</v>
      </c>
      <c r="M56" s="1999" t="s">
        <v>367</v>
      </c>
      <c r="N56" s="385"/>
      <c r="O56" s="598"/>
      <c r="P56" s="386"/>
    </row>
    <row r="57" spans="1:16" ht="15.75" customHeight="1" x14ac:dyDescent="0.2">
      <c r="A57" s="2031"/>
      <c r="B57" s="2039"/>
      <c r="C57" s="2498"/>
      <c r="D57" s="2494"/>
      <c r="E57" s="2010"/>
      <c r="F57" s="2216"/>
      <c r="G57" s="2024"/>
      <c r="H57" s="606"/>
      <c r="I57" s="69"/>
      <c r="J57" s="54"/>
      <c r="K57" s="85"/>
      <c r="L57" s="54"/>
      <c r="M57" s="2051"/>
      <c r="N57" s="434"/>
      <c r="O57" s="434"/>
      <c r="P57" s="435"/>
    </row>
    <row r="58" spans="1:16" ht="12.75" customHeight="1" x14ac:dyDescent="0.2">
      <c r="A58" s="2031"/>
      <c r="B58" s="2039"/>
      <c r="C58" s="2499"/>
      <c r="D58" s="2495"/>
      <c r="E58" s="2021"/>
      <c r="F58" s="2298"/>
      <c r="G58" s="2024"/>
      <c r="H58" s="606"/>
      <c r="I58" s="72"/>
      <c r="J58" s="346"/>
      <c r="K58" s="347"/>
      <c r="L58" s="346"/>
      <c r="M58" s="1149"/>
      <c r="N58" s="41"/>
      <c r="O58" s="132"/>
      <c r="P58" s="25"/>
    </row>
    <row r="59" spans="1:16" ht="18" customHeight="1" x14ac:dyDescent="0.2">
      <c r="A59" s="1837"/>
      <c r="B59" s="1842"/>
      <c r="C59" s="1843"/>
      <c r="D59" s="271" t="s">
        <v>372</v>
      </c>
      <c r="E59" s="2009" t="s">
        <v>200</v>
      </c>
      <c r="F59" s="1239"/>
      <c r="G59" s="1835"/>
      <c r="H59" s="2487"/>
      <c r="I59" s="69" t="s">
        <v>25</v>
      </c>
      <c r="J59" s="374">
        <f>43.3+100</f>
        <v>143.30000000000001</v>
      </c>
      <c r="K59" s="85"/>
      <c r="L59" s="54">
        <v>160.6</v>
      </c>
      <c r="M59" s="1999" t="s">
        <v>204</v>
      </c>
      <c r="N59" s="1583">
        <v>10</v>
      </c>
      <c r="O59" s="554">
        <v>40</v>
      </c>
      <c r="P59" s="564">
        <v>80</v>
      </c>
    </row>
    <row r="60" spans="1:16" ht="19.5" customHeight="1" x14ac:dyDescent="0.2">
      <c r="A60" s="1837"/>
      <c r="B60" s="1842"/>
      <c r="C60" s="1843"/>
      <c r="D60" s="236"/>
      <c r="E60" s="2018"/>
      <c r="F60" s="531"/>
      <c r="G60" s="1835"/>
      <c r="H60" s="2506"/>
      <c r="I60" s="791" t="s">
        <v>99</v>
      </c>
      <c r="J60" s="568">
        <v>57.4</v>
      </c>
      <c r="K60" s="1742">
        <f>800-157.4</f>
        <v>642.6</v>
      </c>
      <c r="L60" s="791">
        <v>800</v>
      </c>
      <c r="M60" s="2037"/>
      <c r="N60" s="1832"/>
      <c r="O60" s="480"/>
      <c r="P60" s="25"/>
    </row>
    <row r="61" spans="1:16" ht="18.75" customHeight="1" x14ac:dyDescent="0.2">
      <c r="A61" s="2038"/>
      <c r="B61" s="2039"/>
      <c r="C61" s="2500"/>
      <c r="D61" s="2493" t="s">
        <v>373</v>
      </c>
      <c r="E61" s="2009" t="s">
        <v>58</v>
      </c>
      <c r="F61" s="1838"/>
      <c r="G61" s="2024"/>
      <c r="H61" s="95"/>
      <c r="I61" s="73" t="s">
        <v>25</v>
      </c>
      <c r="J61" s="790">
        <v>50</v>
      </c>
      <c r="K61" s="99">
        <v>361.3</v>
      </c>
      <c r="L61" s="790">
        <v>1100</v>
      </c>
      <c r="M61" s="1999" t="s">
        <v>144</v>
      </c>
      <c r="N61" s="1831">
        <v>5</v>
      </c>
      <c r="O61" s="479">
        <v>50</v>
      </c>
      <c r="P61" s="958">
        <v>80</v>
      </c>
    </row>
    <row r="62" spans="1:16" ht="12" customHeight="1" x14ac:dyDescent="0.2">
      <c r="A62" s="2038"/>
      <c r="B62" s="2039"/>
      <c r="C62" s="2500"/>
      <c r="D62" s="2494"/>
      <c r="E62" s="2010"/>
      <c r="F62" s="1838"/>
      <c r="G62" s="2024"/>
      <c r="H62" s="95"/>
      <c r="I62" s="69" t="s">
        <v>99</v>
      </c>
      <c r="J62" s="54"/>
      <c r="K62" s="85">
        <v>800</v>
      </c>
      <c r="L62" s="54"/>
      <c r="M62" s="2004"/>
      <c r="N62" s="1583"/>
      <c r="O62" s="482"/>
      <c r="P62" s="250"/>
    </row>
    <row r="63" spans="1:16" ht="9.75" customHeight="1" x14ac:dyDescent="0.2">
      <c r="A63" s="2038"/>
      <c r="B63" s="2039"/>
      <c r="C63" s="2500"/>
      <c r="D63" s="2495"/>
      <c r="E63" s="2021"/>
      <c r="F63" s="1838"/>
      <c r="G63" s="2024"/>
      <c r="H63" s="95"/>
      <c r="I63" s="102"/>
      <c r="J63" s="791"/>
      <c r="K63" s="124"/>
      <c r="L63" s="791"/>
      <c r="M63" s="197"/>
      <c r="N63" s="1832"/>
      <c r="O63" s="480"/>
      <c r="P63" s="25"/>
    </row>
    <row r="64" spans="1:16" ht="15" customHeight="1" x14ac:dyDescent="0.2">
      <c r="A64" s="1206"/>
      <c r="B64" s="1217"/>
      <c r="C64" s="313"/>
      <c r="D64" s="2493" t="s">
        <v>374</v>
      </c>
      <c r="E64" s="2002" t="s">
        <v>279</v>
      </c>
      <c r="F64" s="960" t="s">
        <v>47</v>
      </c>
      <c r="G64" s="2503"/>
      <c r="H64" s="2510"/>
      <c r="I64" s="69" t="s">
        <v>99</v>
      </c>
      <c r="J64" s="54"/>
      <c r="K64" s="1042">
        <f>500-59.1</f>
        <v>440.9</v>
      </c>
      <c r="L64" s="566">
        <f>400+40.9</f>
        <v>440.9</v>
      </c>
      <c r="M64" s="1213" t="s">
        <v>46</v>
      </c>
      <c r="N64" s="334">
        <v>1</v>
      </c>
      <c r="O64" s="481"/>
      <c r="P64" s="563"/>
    </row>
    <row r="65" spans="1:16" ht="13.5" customHeight="1" x14ac:dyDescent="0.2">
      <c r="A65" s="1206"/>
      <c r="B65" s="1217"/>
      <c r="C65" s="313"/>
      <c r="D65" s="2494"/>
      <c r="E65" s="2040"/>
      <c r="F65" s="391"/>
      <c r="G65" s="2503"/>
      <c r="H65" s="2511"/>
      <c r="I65" s="69" t="s">
        <v>60</v>
      </c>
      <c r="J65" s="54">
        <v>11.8</v>
      </c>
      <c r="K65" s="85"/>
      <c r="L65" s="54"/>
      <c r="M65" s="1211" t="s">
        <v>143</v>
      </c>
      <c r="N65" s="341"/>
      <c r="O65" s="343">
        <v>30</v>
      </c>
      <c r="P65" s="437">
        <v>60</v>
      </c>
    </row>
    <row r="66" spans="1:16" ht="12.75" customHeight="1" x14ac:dyDescent="0.2">
      <c r="A66" s="1206"/>
      <c r="B66" s="1217"/>
      <c r="C66" s="313"/>
      <c r="D66" s="2494"/>
      <c r="E66" s="2040"/>
      <c r="F66" s="391"/>
      <c r="G66" s="2503"/>
      <c r="H66" s="2511"/>
      <c r="I66" s="69" t="s">
        <v>25</v>
      </c>
      <c r="J66" s="54"/>
      <c r="K66" s="1042">
        <v>176.4</v>
      </c>
      <c r="L66" s="374">
        <f>100+115.5</f>
        <v>215.5</v>
      </c>
      <c r="M66" s="1211"/>
      <c r="N66" s="341"/>
      <c r="O66" s="343"/>
      <c r="P66" s="437"/>
    </row>
    <row r="67" spans="1:16" ht="12.75" customHeight="1" x14ac:dyDescent="0.2">
      <c r="A67" s="1611"/>
      <c r="B67" s="1612"/>
      <c r="C67" s="313"/>
      <c r="D67" s="2494"/>
      <c r="E67" s="2040"/>
      <c r="F67" s="391"/>
      <c r="G67" s="2503"/>
      <c r="H67" s="2511"/>
      <c r="I67" s="69" t="s">
        <v>44</v>
      </c>
      <c r="J67" s="54"/>
      <c r="K67" s="1042">
        <v>629</v>
      </c>
      <c r="L67" s="374">
        <v>629</v>
      </c>
      <c r="M67" s="1613"/>
      <c r="N67" s="341"/>
      <c r="O67" s="343"/>
      <c r="P67" s="437"/>
    </row>
    <row r="68" spans="1:16" ht="15.75" customHeight="1" x14ac:dyDescent="0.2">
      <c r="A68" s="1206"/>
      <c r="B68" s="1217"/>
      <c r="C68" s="313"/>
      <c r="D68" s="2495"/>
      <c r="E68" s="2041"/>
      <c r="F68" s="1222"/>
      <c r="G68" s="2503"/>
      <c r="H68" s="2511"/>
      <c r="I68" s="102" t="s">
        <v>45</v>
      </c>
      <c r="J68" s="791"/>
      <c r="K68" s="124">
        <v>40</v>
      </c>
      <c r="L68" s="791"/>
      <c r="M68" s="1214"/>
      <c r="N68" s="342"/>
      <c r="O68" s="389"/>
      <c r="P68" s="349"/>
    </row>
    <row r="69" spans="1:16" ht="16.5" customHeight="1" x14ac:dyDescent="0.2">
      <c r="A69" s="1206"/>
      <c r="B69" s="1217"/>
      <c r="C69" s="1228"/>
      <c r="D69" s="271" t="s">
        <v>376</v>
      </c>
      <c r="E69" s="2009" t="s">
        <v>129</v>
      </c>
      <c r="F69" s="2363" t="s">
        <v>370</v>
      </c>
      <c r="G69" s="1215"/>
      <c r="H69" s="2487"/>
      <c r="I69" s="69" t="s">
        <v>60</v>
      </c>
      <c r="J69" s="54">
        <v>18.2</v>
      </c>
      <c r="K69" s="99"/>
      <c r="L69" s="790"/>
      <c r="M69" s="963" t="s">
        <v>46</v>
      </c>
      <c r="N69" s="1582">
        <v>1</v>
      </c>
      <c r="O69" s="479"/>
      <c r="P69" s="958"/>
    </row>
    <row r="70" spans="1:16" ht="21" customHeight="1" x14ac:dyDescent="0.2">
      <c r="A70" s="1206"/>
      <c r="B70" s="1217"/>
      <c r="C70" s="313"/>
      <c r="D70" s="31"/>
      <c r="E70" s="2010"/>
      <c r="F70" s="2365"/>
      <c r="G70" s="1215"/>
      <c r="H70" s="2487"/>
      <c r="I70" s="69"/>
      <c r="J70" s="54"/>
      <c r="K70" s="85"/>
      <c r="L70" s="54"/>
      <c r="M70" s="1211"/>
      <c r="N70" s="1583"/>
      <c r="O70" s="482"/>
      <c r="P70" s="250"/>
    </row>
    <row r="71" spans="1:16" ht="16.5" customHeight="1" x14ac:dyDescent="0.2">
      <c r="A71" s="1206"/>
      <c r="B71" s="1217"/>
      <c r="C71" s="313"/>
      <c r="D71" s="236"/>
      <c r="E71" s="2018"/>
      <c r="F71" s="2435"/>
      <c r="G71" s="1215"/>
      <c r="H71" s="2487"/>
      <c r="I71" s="72"/>
      <c r="J71" s="791"/>
      <c r="K71" s="124"/>
      <c r="L71" s="791"/>
      <c r="M71" s="1214"/>
      <c r="N71" s="19"/>
      <c r="O71" s="233"/>
      <c r="P71" s="20"/>
    </row>
    <row r="72" spans="1:16" ht="21.75" customHeight="1" x14ac:dyDescent="0.2">
      <c r="A72" s="1206"/>
      <c r="B72" s="1217"/>
      <c r="C72" s="313"/>
      <c r="D72" s="2494" t="s">
        <v>393</v>
      </c>
      <c r="E72" s="2010" t="s">
        <v>274</v>
      </c>
      <c r="F72" s="2455" t="s">
        <v>229</v>
      </c>
      <c r="G72" s="2503"/>
      <c r="H72" s="777"/>
      <c r="I72" s="255" t="s">
        <v>60</v>
      </c>
      <c r="J72" s="54">
        <v>100</v>
      </c>
      <c r="K72" s="85"/>
      <c r="L72" s="54"/>
      <c r="M72" s="1999" t="s">
        <v>46</v>
      </c>
      <c r="N72" s="1592">
        <v>1</v>
      </c>
      <c r="O72" s="232"/>
      <c r="P72" s="1233"/>
    </row>
    <row r="73" spans="1:16" ht="17.25" customHeight="1" x14ac:dyDescent="0.2">
      <c r="A73" s="1206"/>
      <c r="B73" s="1217"/>
      <c r="C73" s="313"/>
      <c r="D73" s="2495"/>
      <c r="E73" s="2021"/>
      <c r="F73" s="2364"/>
      <c r="G73" s="2503"/>
      <c r="H73" s="778"/>
      <c r="I73" s="1060" t="s">
        <v>25</v>
      </c>
      <c r="J73" s="568">
        <v>10</v>
      </c>
      <c r="K73" s="124"/>
      <c r="L73" s="791"/>
      <c r="M73" s="2025"/>
      <c r="N73" s="19"/>
      <c r="O73" s="233"/>
      <c r="P73" s="20"/>
    </row>
    <row r="74" spans="1:16" ht="17.25" customHeight="1" x14ac:dyDescent="0.2">
      <c r="A74" s="1206"/>
      <c r="B74" s="1207"/>
      <c r="C74" s="283"/>
      <c r="D74" s="2493" t="s">
        <v>364</v>
      </c>
      <c r="E74" s="2009" t="s">
        <v>199</v>
      </c>
      <c r="F74" s="2363"/>
      <c r="G74" s="2503"/>
      <c r="H74" s="2505"/>
      <c r="I74" s="73" t="s">
        <v>60</v>
      </c>
      <c r="J74" s="788">
        <v>0.8</v>
      </c>
      <c r="K74" s="290"/>
      <c r="L74" s="788"/>
      <c r="M74" s="1220" t="s">
        <v>92</v>
      </c>
      <c r="N74" s="334">
        <v>1</v>
      </c>
      <c r="O74" s="961"/>
      <c r="P74" s="1232"/>
    </row>
    <row r="75" spans="1:16" ht="21.75" customHeight="1" x14ac:dyDescent="0.2">
      <c r="A75" s="1206"/>
      <c r="B75" s="1207"/>
      <c r="C75" s="283"/>
      <c r="D75" s="2495"/>
      <c r="E75" s="2010"/>
      <c r="F75" s="2364"/>
      <c r="G75" s="2503"/>
      <c r="H75" s="2505"/>
      <c r="I75" s="72" t="s">
        <v>25</v>
      </c>
      <c r="J75" s="776"/>
      <c r="K75" s="533"/>
      <c r="L75" s="776"/>
      <c r="M75" s="18"/>
      <c r="N75" s="342"/>
      <c r="O75" s="233"/>
      <c r="P75" s="20"/>
    </row>
    <row r="76" spans="1:16" ht="14.25" customHeight="1" x14ac:dyDescent="0.2">
      <c r="A76" s="2031"/>
      <c r="B76" s="2032"/>
      <c r="C76" s="2500"/>
      <c r="D76" s="2493" t="s">
        <v>394</v>
      </c>
      <c r="E76" s="2009" t="s">
        <v>240</v>
      </c>
      <c r="F76" s="2368"/>
      <c r="G76" s="2501"/>
      <c r="H76" s="2502"/>
      <c r="I76" s="40" t="s">
        <v>25</v>
      </c>
      <c r="J76" s="54">
        <v>10</v>
      </c>
      <c r="K76" s="85">
        <v>24.6</v>
      </c>
      <c r="L76" s="54">
        <v>22.5</v>
      </c>
      <c r="M76" s="1213" t="s">
        <v>46</v>
      </c>
      <c r="N76" s="1591">
        <v>1</v>
      </c>
      <c r="O76" s="961"/>
      <c r="P76" s="1232"/>
    </row>
    <row r="77" spans="1:16" ht="21" customHeight="1" x14ac:dyDescent="0.2">
      <c r="A77" s="2031"/>
      <c r="B77" s="2032"/>
      <c r="C77" s="2500"/>
      <c r="D77" s="2494"/>
      <c r="E77" s="2010"/>
      <c r="F77" s="2122"/>
      <c r="G77" s="2501"/>
      <c r="H77" s="2502"/>
      <c r="I77" s="69" t="s">
        <v>44</v>
      </c>
      <c r="J77" s="54"/>
      <c r="K77" s="85">
        <v>425</v>
      </c>
      <c r="L77" s="54">
        <v>425</v>
      </c>
      <c r="M77" s="2035" t="s">
        <v>135</v>
      </c>
      <c r="N77" s="1231"/>
      <c r="O77" s="232">
        <v>50</v>
      </c>
      <c r="P77" s="1233">
        <v>100</v>
      </c>
    </row>
    <row r="78" spans="1:16" ht="18.75" customHeight="1" x14ac:dyDescent="0.2">
      <c r="A78" s="2031"/>
      <c r="B78" s="2032"/>
      <c r="C78" s="2500"/>
      <c r="D78" s="2495"/>
      <c r="E78" s="2021"/>
      <c r="F78" s="2369"/>
      <c r="G78" s="2501"/>
      <c r="H78" s="2502"/>
      <c r="I78" s="102"/>
      <c r="J78" s="791"/>
      <c r="K78" s="124"/>
      <c r="L78" s="791"/>
      <c r="M78" s="2036"/>
      <c r="N78" s="19"/>
      <c r="O78" s="233"/>
      <c r="P78" s="20"/>
    </row>
    <row r="79" spans="1:16" ht="18.75" customHeight="1" x14ac:dyDescent="0.2">
      <c r="A79" s="1206"/>
      <c r="B79" s="1217"/>
      <c r="C79" s="1228"/>
      <c r="D79" s="271" t="s">
        <v>395</v>
      </c>
      <c r="E79" s="2002" t="s">
        <v>221</v>
      </c>
      <c r="F79" s="89"/>
      <c r="G79" s="1215"/>
      <c r="H79" s="1225"/>
      <c r="I79" s="69" t="s">
        <v>25</v>
      </c>
      <c r="J79" s="54"/>
      <c r="K79" s="85">
        <v>82</v>
      </c>
      <c r="L79" s="790"/>
      <c r="M79" s="963" t="s">
        <v>46</v>
      </c>
      <c r="N79" s="411"/>
      <c r="O79" s="2026">
        <v>1</v>
      </c>
      <c r="P79" s="250"/>
    </row>
    <row r="80" spans="1:16" ht="12.75" customHeight="1" x14ac:dyDescent="0.2">
      <c r="A80" s="1206"/>
      <c r="B80" s="1217"/>
      <c r="C80" s="1228"/>
      <c r="D80" s="236"/>
      <c r="E80" s="2017"/>
      <c r="F80" s="410"/>
      <c r="G80" s="1215"/>
      <c r="H80" s="1225"/>
      <c r="I80" s="72"/>
      <c r="J80" s="791"/>
      <c r="K80" s="124"/>
      <c r="L80" s="791"/>
      <c r="M80" s="1242"/>
      <c r="N80" s="1227"/>
      <c r="O80" s="2027"/>
      <c r="P80" s="25"/>
    </row>
    <row r="81" spans="1:16" ht="17.25" customHeight="1" x14ac:dyDescent="0.2">
      <c r="A81" s="613"/>
      <c r="B81" s="614"/>
      <c r="C81" s="282"/>
      <c r="D81" s="31" t="s">
        <v>396</v>
      </c>
      <c r="E81" s="2028" t="s">
        <v>202</v>
      </c>
      <c r="F81" s="1243" t="s">
        <v>229</v>
      </c>
      <c r="G81" s="615"/>
      <c r="H81" s="606"/>
      <c r="I81" s="69" t="s">
        <v>45</v>
      </c>
      <c r="J81" s="54">
        <v>21.5</v>
      </c>
      <c r="K81" s="387"/>
      <c r="L81" s="137"/>
      <c r="M81" s="616" t="s">
        <v>46</v>
      </c>
      <c r="N81" s="618">
        <v>1</v>
      </c>
      <c r="O81" s="618"/>
      <c r="P81" s="617"/>
    </row>
    <row r="82" spans="1:16" ht="18" customHeight="1" x14ac:dyDescent="0.2">
      <c r="A82" s="613"/>
      <c r="B82" s="614"/>
      <c r="C82" s="281"/>
      <c r="D82" s="236"/>
      <c r="E82" s="2029"/>
      <c r="F82" s="593"/>
      <c r="G82" s="615"/>
      <c r="H82" s="606"/>
      <c r="I82" s="72"/>
      <c r="J82" s="44"/>
      <c r="K82" s="388"/>
      <c r="L82" s="44"/>
      <c r="M82" s="167"/>
      <c r="N82" s="41"/>
      <c r="O82" s="41"/>
      <c r="P82" s="20"/>
    </row>
    <row r="83" spans="1:16" ht="13.5" customHeight="1" x14ac:dyDescent="0.2">
      <c r="A83" s="188"/>
      <c r="B83" s="190"/>
      <c r="C83" s="276"/>
      <c r="D83" s="2493" t="s">
        <v>397</v>
      </c>
      <c r="E83" s="1996" t="s">
        <v>198</v>
      </c>
      <c r="F83" s="755" t="s">
        <v>47</v>
      </c>
      <c r="G83" s="2024"/>
      <c r="H83" s="606"/>
      <c r="I83" s="69" t="s">
        <v>25</v>
      </c>
      <c r="J83" s="54"/>
      <c r="K83" s="85"/>
      <c r="L83" s="54">
        <v>50</v>
      </c>
      <c r="M83" s="600" t="s">
        <v>46</v>
      </c>
      <c r="N83" s="208"/>
      <c r="O83" s="232"/>
      <c r="P83" s="542">
        <v>1</v>
      </c>
    </row>
    <row r="84" spans="1:16" ht="9.75" customHeight="1" x14ac:dyDescent="0.2">
      <c r="A84" s="188"/>
      <c r="B84" s="190"/>
      <c r="C84" s="276"/>
      <c r="D84" s="2495"/>
      <c r="E84" s="2029"/>
      <c r="F84" s="754"/>
      <c r="G84" s="2024"/>
      <c r="H84" s="606"/>
      <c r="I84" s="72"/>
      <c r="J84" s="53"/>
      <c r="K84" s="124"/>
      <c r="L84" s="53"/>
      <c r="M84" s="392"/>
      <c r="N84" s="19"/>
      <c r="O84" s="233"/>
      <c r="P84" s="20"/>
    </row>
    <row r="85" spans="1:16" ht="16.5" customHeight="1" x14ac:dyDescent="0.2">
      <c r="A85" s="759"/>
      <c r="B85" s="760"/>
      <c r="C85" s="283"/>
      <c r="D85" s="2493" t="s">
        <v>398</v>
      </c>
      <c r="E85" s="2009" t="s">
        <v>184</v>
      </c>
      <c r="F85" s="2363" t="s">
        <v>47</v>
      </c>
      <c r="G85" s="2503"/>
      <c r="H85" s="2505"/>
      <c r="I85" s="69" t="s">
        <v>45</v>
      </c>
      <c r="J85" s="55"/>
      <c r="K85" s="258">
        <v>95</v>
      </c>
      <c r="L85" s="55"/>
      <c r="M85" s="604" t="s">
        <v>92</v>
      </c>
      <c r="N85" s="341"/>
      <c r="O85" s="232">
        <v>1</v>
      </c>
      <c r="P85" s="765"/>
    </row>
    <row r="86" spans="1:16" ht="17.25" customHeight="1" x14ac:dyDescent="0.2">
      <c r="A86" s="759"/>
      <c r="B86" s="1842"/>
      <c r="C86" s="1843"/>
      <c r="D86" s="2495"/>
      <c r="E86" s="2021"/>
      <c r="F86" s="2364"/>
      <c r="G86" s="2503"/>
      <c r="H86" s="2519"/>
      <c r="I86" s="559"/>
      <c r="J86" s="769"/>
      <c r="K86" s="124"/>
      <c r="L86" s="769"/>
      <c r="M86" s="18"/>
      <c r="N86" s="342"/>
      <c r="O86" s="233"/>
      <c r="P86" s="20"/>
    </row>
    <row r="87" spans="1:16" ht="17.25" customHeight="1" x14ac:dyDescent="0.2">
      <c r="A87" s="1744"/>
      <c r="B87" s="1745"/>
      <c r="C87" s="1843"/>
      <c r="D87" s="31" t="s">
        <v>411</v>
      </c>
      <c r="E87" s="2361" t="s">
        <v>403</v>
      </c>
      <c r="F87" s="2363"/>
      <c r="G87" s="1748"/>
      <c r="H87" s="1749"/>
      <c r="I87" s="532" t="s">
        <v>60</v>
      </c>
      <c r="J87" s="566">
        <v>10</v>
      </c>
      <c r="K87" s="1735"/>
      <c r="L87" s="566"/>
      <c r="M87" s="1771" t="s">
        <v>92</v>
      </c>
      <c r="N87" s="1757"/>
      <c r="O87" s="1758">
        <v>1</v>
      </c>
      <c r="P87" s="1746"/>
    </row>
    <row r="88" spans="1:16" ht="19.5" customHeight="1" x14ac:dyDescent="0.2">
      <c r="A88" s="1744"/>
      <c r="B88" s="1745"/>
      <c r="C88" s="1843"/>
      <c r="D88" s="236"/>
      <c r="E88" s="2362"/>
      <c r="F88" s="2364"/>
      <c r="G88" s="1748"/>
      <c r="H88" s="1749"/>
      <c r="I88" s="1760" t="s">
        <v>25</v>
      </c>
      <c r="J88" s="791"/>
      <c r="K88" s="1743">
        <v>25</v>
      </c>
      <c r="L88" s="791"/>
      <c r="M88" s="18"/>
      <c r="N88" s="341"/>
      <c r="O88" s="232"/>
      <c r="P88" s="1747"/>
    </row>
    <row r="89" spans="1:16" ht="13.5" customHeight="1" x14ac:dyDescent="0.2">
      <c r="A89" s="188"/>
      <c r="B89" s="203"/>
      <c r="C89" s="281"/>
      <c r="D89" s="271" t="s">
        <v>412</v>
      </c>
      <c r="E89" s="2359" t="s">
        <v>375</v>
      </c>
      <c r="F89" s="1210"/>
      <c r="G89" s="200"/>
      <c r="H89" s="1225"/>
      <c r="I89" s="69" t="s">
        <v>25</v>
      </c>
      <c r="J89" s="54">
        <v>28</v>
      </c>
      <c r="K89" s="85">
        <v>28</v>
      </c>
      <c r="L89" s="54">
        <v>28</v>
      </c>
      <c r="M89" s="2515" t="s">
        <v>132</v>
      </c>
      <c r="N89" s="334">
        <v>100</v>
      </c>
      <c r="O89" s="481">
        <v>100</v>
      </c>
      <c r="P89" s="563">
        <v>100</v>
      </c>
    </row>
    <row r="90" spans="1:16" ht="16.5" customHeight="1" x14ac:dyDescent="0.2">
      <c r="A90" s="354"/>
      <c r="B90" s="355"/>
      <c r="C90" s="281"/>
      <c r="D90" s="31"/>
      <c r="E90" s="2360"/>
      <c r="F90" s="1212"/>
      <c r="G90" s="356"/>
      <c r="H90" s="357"/>
      <c r="I90" s="69"/>
      <c r="J90" s="54"/>
      <c r="K90" s="85"/>
      <c r="L90" s="54"/>
      <c r="M90" s="2515"/>
      <c r="N90" s="341"/>
      <c r="O90" s="343"/>
      <c r="P90" s="437"/>
    </row>
    <row r="91" spans="1:16" s="8" customFormat="1" ht="54.75" customHeight="1" x14ac:dyDescent="0.2">
      <c r="A91" s="188"/>
      <c r="B91" s="203"/>
      <c r="C91" s="276"/>
      <c r="D91" s="31"/>
      <c r="E91" s="2184"/>
      <c r="F91" s="195"/>
      <c r="G91" s="218"/>
      <c r="H91" s="234"/>
      <c r="I91" s="561"/>
      <c r="J91" s="260"/>
      <c r="K91" s="259"/>
      <c r="L91" s="260"/>
      <c r="M91" s="2516"/>
      <c r="N91" s="335"/>
      <c r="O91" s="483"/>
      <c r="P91" s="501"/>
    </row>
    <row r="92" spans="1:16" ht="15" customHeight="1" thickBot="1" x14ac:dyDescent="0.25">
      <c r="A92" s="221"/>
      <c r="B92" s="205"/>
      <c r="C92" s="272"/>
      <c r="D92" s="1852"/>
      <c r="E92" s="274"/>
      <c r="F92" s="275"/>
      <c r="G92" s="209"/>
      <c r="H92" s="169"/>
      <c r="I92" s="143" t="s">
        <v>6</v>
      </c>
      <c r="J92" s="111">
        <f>SUM(J14:J90)</f>
        <v>9834</v>
      </c>
      <c r="K92" s="111">
        <f>SUM(K14:K90)</f>
        <v>23552.7</v>
      </c>
      <c r="L92" s="111">
        <f>SUM(L14:L90)</f>
        <v>15694.5</v>
      </c>
      <c r="M92" s="278"/>
      <c r="N92" s="279"/>
      <c r="O92" s="279"/>
      <c r="P92" s="280"/>
    </row>
    <row r="93" spans="1:16" ht="14.25" customHeight="1" thickBot="1" x14ac:dyDescent="0.25">
      <c r="A93" s="64" t="s">
        <v>5</v>
      </c>
      <c r="B93" s="207" t="s">
        <v>5</v>
      </c>
      <c r="C93" s="2188" t="s">
        <v>8</v>
      </c>
      <c r="D93" s="2160"/>
      <c r="E93" s="2160"/>
      <c r="F93" s="2160"/>
      <c r="G93" s="2160"/>
      <c r="H93" s="2160"/>
      <c r="I93" s="2161"/>
      <c r="J93" s="114">
        <f>J92</f>
        <v>9834</v>
      </c>
      <c r="K93" s="114">
        <f t="shared" ref="K93:L93" si="0">K92</f>
        <v>23552.7</v>
      </c>
      <c r="L93" s="114">
        <f t="shared" si="0"/>
        <v>15694.5</v>
      </c>
      <c r="M93" s="705"/>
      <c r="N93" s="126"/>
      <c r="O93" s="545"/>
      <c r="P93" s="539"/>
    </row>
    <row r="94" spans="1:16" ht="14.25" customHeight="1" thickBot="1" x14ac:dyDescent="0.25">
      <c r="A94" s="64" t="s">
        <v>5</v>
      </c>
      <c r="B94" s="207" t="s">
        <v>7</v>
      </c>
      <c r="C94" s="2564" t="s">
        <v>32</v>
      </c>
      <c r="D94" s="2564"/>
      <c r="E94" s="2564"/>
      <c r="F94" s="2564"/>
      <c r="G94" s="2564"/>
      <c r="H94" s="2564"/>
      <c r="I94" s="2564"/>
      <c r="J94" s="2565"/>
      <c r="K94" s="2565"/>
      <c r="L94" s="2565"/>
      <c r="M94" s="2564"/>
      <c r="N94" s="2164"/>
      <c r="O94" s="2164"/>
      <c r="P94" s="2566"/>
    </row>
    <row r="95" spans="1:16" ht="30" customHeight="1" x14ac:dyDescent="0.2">
      <c r="A95" s="422" t="s">
        <v>5</v>
      </c>
      <c r="B95" s="206" t="s">
        <v>7</v>
      </c>
      <c r="C95" s="277" t="s">
        <v>5</v>
      </c>
      <c r="D95" s="1237"/>
      <c r="E95" s="94" t="s">
        <v>56</v>
      </c>
      <c r="F95" s="90" t="s">
        <v>112</v>
      </c>
      <c r="G95" s="325"/>
      <c r="H95" s="326"/>
      <c r="I95" s="66"/>
      <c r="J95" s="1035"/>
      <c r="K95" s="121"/>
      <c r="L95" s="121"/>
      <c r="M95" s="67"/>
      <c r="N95" s="142"/>
      <c r="O95" s="555"/>
      <c r="P95" s="570"/>
    </row>
    <row r="96" spans="1:16" ht="14.25" customHeight="1" x14ac:dyDescent="0.2">
      <c r="A96" s="414"/>
      <c r="B96" s="429"/>
      <c r="C96" s="415"/>
      <c r="D96" s="31" t="s">
        <v>5</v>
      </c>
      <c r="E96" s="413" t="s">
        <v>52</v>
      </c>
      <c r="F96" s="431"/>
      <c r="G96" s="416">
        <v>6</v>
      </c>
      <c r="H96" s="2487" t="s">
        <v>73</v>
      </c>
      <c r="I96" s="68"/>
      <c r="J96" s="1036"/>
      <c r="K96" s="141"/>
      <c r="L96" s="141"/>
      <c r="M96" s="235"/>
      <c r="N96" s="135"/>
      <c r="O96" s="308"/>
      <c r="P96" s="238"/>
    </row>
    <row r="97" spans="1:20" ht="15.75" customHeight="1" x14ac:dyDescent="0.2">
      <c r="A97" s="414"/>
      <c r="B97" s="429"/>
      <c r="C97" s="415"/>
      <c r="D97" s="31"/>
      <c r="E97" s="2189" t="s">
        <v>78</v>
      </c>
      <c r="F97" s="431"/>
      <c r="G97" s="412"/>
      <c r="H97" s="2511"/>
      <c r="I97" s="69" t="s">
        <v>25</v>
      </c>
      <c r="J97" s="1037">
        <f>2865.4-400-5</f>
        <v>2460.4</v>
      </c>
      <c r="K97" s="105">
        <f>4978-50</f>
        <v>4928</v>
      </c>
      <c r="L97" s="54">
        <f>5055.7-127.7</f>
        <v>4928</v>
      </c>
      <c r="M97" s="898" t="s">
        <v>41</v>
      </c>
      <c r="N97" s="177">
        <v>6</v>
      </c>
      <c r="O97" s="177">
        <v>6</v>
      </c>
      <c r="P97" s="34">
        <v>6</v>
      </c>
    </row>
    <row r="98" spans="1:20" ht="12" customHeight="1" x14ac:dyDescent="0.2">
      <c r="A98" s="414"/>
      <c r="B98" s="429"/>
      <c r="C98" s="415"/>
      <c r="D98" s="31"/>
      <c r="E98" s="2189"/>
      <c r="F98" s="431"/>
      <c r="G98" s="412"/>
      <c r="H98" s="2511"/>
      <c r="I98" s="118" t="s">
        <v>60</v>
      </c>
      <c r="J98" s="1069">
        <v>2062.6</v>
      </c>
      <c r="K98" s="109"/>
      <c r="L98" s="57"/>
      <c r="M98" s="1029"/>
      <c r="N98" s="525"/>
      <c r="O98" s="242"/>
      <c r="P98" s="552"/>
    </row>
    <row r="99" spans="1:20" ht="15" customHeight="1" x14ac:dyDescent="0.2">
      <c r="A99" s="1083"/>
      <c r="B99" s="1085"/>
      <c r="C99" s="1086"/>
      <c r="D99" s="31"/>
      <c r="E99" s="2189"/>
      <c r="F99" s="524"/>
      <c r="G99" s="1084"/>
      <c r="H99" s="2511"/>
      <c r="I99" s="69" t="s">
        <v>25</v>
      </c>
      <c r="J99" s="1037">
        <v>118.8</v>
      </c>
      <c r="K99" s="1037">
        <v>194</v>
      </c>
      <c r="L99" s="1037">
        <v>194</v>
      </c>
      <c r="M99" s="2517" t="s">
        <v>350</v>
      </c>
      <c r="N99" s="1107">
        <v>2</v>
      </c>
      <c r="O99" s="1108">
        <v>2</v>
      </c>
      <c r="P99" s="1109">
        <v>2</v>
      </c>
      <c r="Q99" s="1" t="s">
        <v>349</v>
      </c>
    </row>
    <row r="100" spans="1:20" ht="14.25" customHeight="1" x14ac:dyDescent="0.2">
      <c r="A100" s="414"/>
      <c r="B100" s="429"/>
      <c r="C100" s="415"/>
      <c r="D100" s="31"/>
      <c r="E100" s="2189"/>
      <c r="F100" s="428"/>
      <c r="G100" s="412"/>
      <c r="H100" s="2511"/>
      <c r="I100" s="118" t="s">
        <v>75</v>
      </c>
      <c r="J100" s="1105">
        <v>75.2</v>
      </c>
      <c r="K100" s="109"/>
      <c r="L100" s="109"/>
      <c r="M100" s="2518"/>
      <c r="N100" s="525"/>
      <c r="O100" s="242"/>
      <c r="P100" s="552"/>
    </row>
    <row r="101" spans="1:20" ht="19.5" customHeight="1" x14ac:dyDescent="0.2">
      <c r="A101" s="414"/>
      <c r="B101" s="429"/>
      <c r="C101" s="415"/>
      <c r="D101" s="31"/>
      <c r="E101" s="174" t="s">
        <v>79</v>
      </c>
      <c r="F101" s="428"/>
      <c r="G101" s="412"/>
      <c r="H101" s="433"/>
      <c r="I101" s="69" t="s">
        <v>25</v>
      </c>
      <c r="J101" s="54">
        <v>10.5</v>
      </c>
      <c r="K101" s="105">
        <v>10.6</v>
      </c>
      <c r="L101" s="105">
        <v>10.8</v>
      </c>
      <c r="M101" s="71" t="s">
        <v>137</v>
      </c>
      <c r="N101" s="28">
        <v>4</v>
      </c>
      <c r="O101" s="484">
        <v>4</v>
      </c>
      <c r="P101" s="29">
        <v>4</v>
      </c>
    </row>
    <row r="102" spans="1:20" ht="26.25" customHeight="1" x14ac:dyDescent="0.2">
      <c r="A102" s="414"/>
      <c r="B102" s="429"/>
      <c r="C102" s="415"/>
      <c r="D102" s="31"/>
      <c r="E102" s="223" t="s">
        <v>80</v>
      </c>
      <c r="F102" s="428"/>
      <c r="G102" s="412"/>
      <c r="H102" s="433"/>
      <c r="I102" s="70" t="s">
        <v>25</v>
      </c>
      <c r="J102" s="51">
        <v>56.3</v>
      </c>
      <c r="K102" s="107">
        <v>56.9</v>
      </c>
      <c r="L102" s="107">
        <v>58.1</v>
      </c>
      <c r="M102" s="900" t="s">
        <v>138</v>
      </c>
      <c r="N102" s="1197">
        <v>22</v>
      </c>
      <c r="O102" s="327">
        <v>24.8</v>
      </c>
      <c r="P102" s="571">
        <v>24.8</v>
      </c>
    </row>
    <row r="103" spans="1:20" ht="15.75" customHeight="1" x14ac:dyDescent="0.2">
      <c r="A103" s="414"/>
      <c r="B103" s="429"/>
      <c r="C103" s="415"/>
      <c r="D103" s="31"/>
      <c r="E103" s="2190" t="s">
        <v>128</v>
      </c>
      <c r="F103" s="428"/>
      <c r="G103" s="412"/>
      <c r="H103" s="436"/>
      <c r="I103" s="69" t="s">
        <v>68</v>
      </c>
      <c r="J103" s="54">
        <v>10</v>
      </c>
      <c r="K103" s="105">
        <v>107</v>
      </c>
      <c r="L103" s="105">
        <v>107</v>
      </c>
      <c r="M103" s="2048" t="s">
        <v>304</v>
      </c>
      <c r="N103" s="1106">
        <v>6</v>
      </c>
      <c r="O103" s="384">
        <v>3</v>
      </c>
      <c r="P103" s="164">
        <v>3</v>
      </c>
    </row>
    <row r="104" spans="1:20" ht="14.25" customHeight="1" x14ac:dyDescent="0.2">
      <c r="A104" s="414"/>
      <c r="B104" s="429"/>
      <c r="C104" s="415"/>
      <c r="D104" s="31"/>
      <c r="E104" s="2360"/>
      <c r="F104" s="431"/>
      <c r="G104" s="412"/>
      <c r="H104" s="436"/>
      <c r="I104" s="69" t="s">
        <v>75</v>
      </c>
      <c r="J104" s="54">
        <v>97</v>
      </c>
      <c r="K104" s="69"/>
      <c r="L104" s="69"/>
      <c r="M104" s="2417"/>
      <c r="N104" s="899"/>
      <c r="O104" s="899"/>
      <c r="P104" s="897"/>
    </row>
    <row r="105" spans="1:20" ht="17.25" customHeight="1" x14ac:dyDescent="0.2">
      <c r="A105" s="414"/>
      <c r="B105" s="429"/>
      <c r="C105" s="415"/>
      <c r="D105" s="236"/>
      <c r="E105" s="2184"/>
      <c r="F105" s="431"/>
      <c r="G105" s="412"/>
      <c r="H105" s="436"/>
      <c r="I105" s="69" t="s">
        <v>75</v>
      </c>
      <c r="J105" s="374">
        <v>63.9</v>
      </c>
      <c r="K105" s="69"/>
      <c r="L105" s="69"/>
      <c r="M105" s="2025"/>
      <c r="N105" s="41"/>
      <c r="O105" s="919"/>
      <c r="P105" s="918"/>
    </row>
    <row r="106" spans="1:20" ht="14.25" customHeight="1" x14ac:dyDescent="0.2">
      <c r="A106" s="414"/>
      <c r="B106" s="429"/>
      <c r="C106" s="415"/>
      <c r="D106" s="31" t="s">
        <v>7</v>
      </c>
      <c r="E106" s="213" t="s">
        <v>154</v>
      </c>
      <c r="F106" s="431"/>
      <c r="G106" s="412"/>
      <c r="H106" s="436"/>
      <c r="I106" s="122"/>
      <c r="J106" s="887"/>
      <c r="K106" s="117"/>
      <c r="L106" s="117"/>
      <c r="M106" s="898"/>
      <c r="N106" s="159"/>
      <c r="O106" s="136"/>
      <c r="P106" s="238"/>
    </row>
    <row r="107" spans="1:20" ht="52.5" customHeight="1" x14ac:dyDescent="0.2">
      <c r="A107" s="414"/>
      <c r="B107" s="429"/>
      <c r="C107" s="415"/>
      <c r="D107" s="31"/>
      <c r="E107" s="214" t="s">
        <v>155</v>
      </c>
      <c r="F107" s="431"/>
      <c r="G107" s="412"/>
      <c r="H107" s="436"/>
      <c r="I107" s="118" t="s">
        <v>25</v>
      </c>
      <c r="J107" s="57">
        <v>400</v>
      </c>
      <c r="K107" s="109"/>
      <c r="L107" s="109"/>
      <c r="M107" s="38" t="s">
        <v>151</v>
      </c>
      <c r="N107" s="240">
        <v>21</v>
      </c>
      <c r="O107" s="267">
        <v>21</v>
      </c>
      <c r="P107" s="552">
        <v>21</v>
      </c>
      <c r="Q107" s="526"/>
      <c r="R107" s="1154"/>
      <c r="T107" s="43"/>
    </row>
    <row r="108" spans="1:20" ht="22.5" customHeight="1" x14ac:dyDescent="0.2">
      <c r="A108" s="414"/>
      <c r="B108" s="429"/>
      <c r="C108" s="415"/>
      <c r="D108" s="31"/>
      <c r="E108" s="2199" t="s">
        <v>156</v>
      </c>
      <c r="F108" s="431"/>
      <c r="G108" s="412"/>
      <c r="H108" s="436"/>
      <c r="I108" s="69" t="s">
        <v>25</v>
      </c>
      <c r="J108" s="374">
        <v>31.2</v>
      </c>
      <c r="K108" s="1037">
        <v>93.4</v>
      </c>
      <c r="L108" s="1037">
        <v>93.4</v>
      </c>
      <c r="M108" s="2201" t="s">
        <v>206</v>
      </c>
      <c r="N108" s="1203">
        <v>18</v>
      </c>
      <c r="O108" s="1067">
        <v>18</v>
      </c>
      <c r="P108" s="1204">
        <v>18</v>
      </c>
    </row>
    <row r="109" spans="1:20" ht="21" customHeight="1" x14ac:dyDescent="0.2">
      <c r="A109" s="414"/>
      <c r="B109" s="429"/>
      <c r="C109" s="415"/>
      <c r="D109" s="236"/>
      <c r="E109" s="2200"/>
      <c r="F109" s="431"/>
      <c r="G109" s="412"/>
      <c r="H109" s="436"/>
      <c r="I109" s="72"/>
      <c r="J109" s="791"/>
      <c r="K109" s="106"/>
      <c r="L109" s="106"/>
      <c r="M109" s="2037"/>
      <c r="N109" s="237"/>
      <c r="O109" s="41"/>
      <c r="P109" s="20"/>
    </row>
    <row r="110" spans="1:20" ht="18" customHeight="1" x14ac:dyDescent="0.2">
      <c r="A110" s="2031"/>
      <c r="B110" s="2039"/>
      <c r="C110" s="2500"/>
      <c r="D110" s="2494" t="s">
        <v>28</v>
      </c>
      <c r="E110" s="1996" t="s">
        <v>42</v>
      </c>
      <c r="F110" s="2022"/>
      <c r="G110" s="2033"/>
      <c r="H110" s="417"/>
      <c r="I110" s="69" t="s">
        <v>25</v>
      </c>
      <c r="J110" s="54">
        <v>59.5</v>
      </c>
      <c r="K110" s="105">
        <v>59.5</v>
      </c>
      <c r="L110" s="105">
        <v>59.5</v>
      </c>
      <c r="M110" s="2185" t="s">
        <v>54</v>
      </c>
      <c r="N110" s="2202">
        <v>7</v>
      </c>
      <c r="O110" s="2204">
        <v>7</v>
      </c>
      <c r="P110" s="2206">
        <v>7</v>
      </c>
      <c r="R110" s="43"/>
    </row>
    <row r="111" spans="1:20" ht="18" customHeight="1" x14ac:dyDescent="0.2">
      <c r="A111" s="2031"/>
      <c r="B111" s="2039"/>
      <c r="C111" s="2500"/>
      <c r="D111" s="2494"/>
      <c r="E111" s="2029"/>
      <c r="F111" s="2022"/>
      <c r="G111" s="2033"/>
      <c r="H111" s="417"/>
      <c r="I111" s="72" t="s">
        <v>60</v>
      </c>
      <c r="J111" s="791"/>
      <c r="K111" s="106"/>
      <c r="L111" s="106"/>
      <c r="M111" s="2186"/>
      <c r="N111" s="2203"/>
      <c r="O111" s="2205"/>
      <c r="P111" s="2207"/>
    </row>
    <row r="112" spans="1:20" ht="18" customHeight="1" x14ac:dyDescent="0.2">
      <c r="A112" s="2031"/>
      <c r="B112" s="2032"/>
      <c r="C112" s="2500"/>
      <c r="D112" s="2493" t="s">
        <v>33</v>
      </c>
      <c r="E112" s="2174" t="s">
        <v>295</v>
      </c>
      <c r="F112" s="2187"/>
      <c r="G112" s="2024"/>
      <c r="H112" s="2487"/>
      <c r="I112" s="73"/>
      <c r="J112" s="790"/>
      <c r="K112" s="104"/>
      <c r="L112" s="790"/>
      <c r="M112" s="183" t="s">
        <v>174</v>
      </c>
      <c r="N112" s="243"/>
      <c r="O112" s="510"/>
      <c r="P112" s="244"/>
    </row>
    <row r="113" spans="1:18" ht="18.75" customHeight="1" x14ac:dyDescent="0.2">
      <c r="A113" s="2031"/>
      <c r="B113" s="2032"/>
      <c r="C113" s="2500"/>
      <c r="D113" s="2494"/>
      <c r="E113" s="2110"/>
      <c r="F113" s="2187"/>
      <c r="G113" s="2024"/>
      <c r="H113" s="2487"/>
      <c r="I113" s="69" t="s">
        <v>25</v>
      </c>
      <c r="J113" s="54">
        <v>40</v>
      </c>
      <c r="K113" s="105">
        <v>40</v>
      </c>
      <c r="L113" s="54">
        <v>40</v>
      </c>
      <c r="M113" s="71" t="s">
        <v>203</v>
      </c>
      <c r="N113" s="323">
        <v>1</v>
      </c>
      <c r="O113" s="333">
        <v>1</v>
      </c>
      <c r="P113" s="27">
        <v>1</v>
      </c>
    </row>
    <row r="114" spans="1:18" ht="25.5" customHeight="1" x14ac:dyDescent="0.2">
      <c r="A114" s="2031"/>
      <c r="B114" s="2032"/>
      <c r="C114" s="2500"/>
      <c r="D114" s="2494"/>
      <c r="E114" s="2110"/>
      <c r="F114" s="2187"/>
      <c r="G114" s="2024"/>
      <c r="H114" s="2487"/>
      <c r="I114" s="69"/>
      <c r="J114" s="54"/>
      <c r="K114" s="69"/>
      <c r="L114" s="54"/>
      <c r="M114" s="954" t="s">
        <v>150</v>
      </c>
      <c r="N114" s="802">
        <v>1</v>
      </c>
      <c r="O114" s="803">
        <v>1</v>
      </c>
      <c r="P114" s="804">
        <v>1</v>
      </c>
      <c r="R114" s="43"/>
    </row>
    <row r="115" spans="1:18" ht="15" customHeight="1" x14ac:dyDescent="0.2">
      <c r="A115" s="795"/>
      <c r="B115" s="798"/>
      <c r="C115" s="801"/>
      <c r="D115" s="159"/>
      <c r="E115" s="796"/>
      <c r="F115" s="799"/>
      <c r="G115" s="797"/>
      <c r="H115" s="800"/>
      <c r="I115" s="110" t="s">
        <v>25</v>
      </c>
      <c r="J115" s="51">
        <v>4</v>
      </c>
      <c r="K115" s="152">
        <v>4</v>
      </c>
      <c r="L115" s="51"/>
      <c r="M115" s="71" t="s">
        <v>249</v>
      </c>
      <c r="N115" s="323">
        <v>1</v>
      </c>
      <c r="O115" s="333">
        <v>1</v>
      </c>
      <c r="P115" s="27"/>
    </row>
    <row r="116" spans="1:18" ht="15" customHeight="1" x14ac:dyDescent="0.2">
      <c r="A116" s="620"/>
      <c r="B116" s="624"/>
      <c r="C116" s="627"/>
      <c r="D116" s="159"/>
      <c r="E116" s="621"/>
      <c r="F116" s="524"/>
      <c r="G116" s="622"/>
      <c r="H116" s="626"/>
      <c r="I116" s="69" t="s">
        <v>25</v>
      </c>
      <c r="J116" s="54"/>
      <c r="K116" s="85">
        <v>55</v>
      </c>
      <c r="L116" s="54">
        <v>55</v>
      </c>
      <c r="M116" s="956" t="s">
        <v>248</v>
      </c>
      <c r="N116" s="232">
        <v>1</v>
      </c>
      <c r="O116" s="952">
        <v>1</v>
      </c>
      <c r="P116" s="948">
        <v>1</v>
      </c>
    </row>
    <row r="117" spans="1:18" ht="15" customHeight="1" x14ac:dyDescent="0.2">
      <c r="A117" s="947"/>
      <c r="B117" s="950"/>
      <c r="C117" s="953"/>
      <c r="D117" s="159"/>
      <c r="E117" s="946"/>
      <c r="F117" s="524"/>
      <c r="G117" s="949"/>
      <c r="H117" s="951"/>
      <c r="I117" s="69" t="s">
        <v>75</v>
      </c>
      <c r="J117" s="54">
        <v>55</v>
      </c>
      <c r="K117" s="85"/>
      <c r="L117" s="54"/>
      <c r="M117" s="956"/>
      <c r="N117" s="332"/>
      <c r="O117" s="569"/>
      <c r="P117" s="945"/>
    </row>
    <row r="118" spans="1:18" ht="18" customHeight="1" x14ac:dyDescent="0.2">
      <c r="A118" s="620"/>
      <c r="B118" s="624"/>
      <c r="C118" s="627"/>
      <c r="D118" s="159"/>
      <c r="E118" s="621"/>
      <c r="F118" s="625"/>
      <c r="G118" s="622"/>
      <c r="H118" s="626"/>
      <c r="I118" s="118"/>
      <c r="J118" s="57"/>
      <c r="K118" s="100"/>
      <c r="L118" s="57"/>
      <c r="M118" s="1957" t="s">
        <v>414</v>
      </c>
      <c r="N118" s="1952"/>
      <c r="O118" s="1953">
        <v>1</v>
      </c>
      <c r="P118" s="1953">
        <v>1</v>
      </c>
    </row>
    <row r="119" spans="1:18" ht="22.5" customHeight="1" x14ac:dyDescent="0.2">
      <c r="A119" s="2031"/>
      <c r="B119" s="2032"/>
      <c r="C119" s="2500"/>
      <c r="D119" s="2539" t="s">
        <v>34</v>
      </c>
      <c r="E119" s="1996" t="s">
        <v>126</v>
      </c>
      <c r="F119" s="2011" t="s">
        <v>302</v>
      </c>
      <c r="G119" s="2024"/>
      <c r="H119" s="417"/>
      <c r="I119" s="73" t="s">
        <v>68</v>
      </c>
      <c r="J119" s="790">
        <v>188.7</v>
      </c>
      <c r="K119" s="99">
        <v>188.7</v>
      </c>
      <c r="L119" s="790"/>
      <c r="M119" s="955" t="s">
        <v>250</v>
      </c>
      <c r="N119" s="651">
        <v>205</v>
      </c>
      <c r="O119" s="511"/>
      <c r="P119" s="441"/>
    </row>
    <row r="120" spans="1:18" ht="26.25" customHeight="1" x14ac:dyDescent="0.2">
      <c r="A120" s="2031"/>
      <c r="B120" s="2032"/>
      <c r="C120" s="2500"/>
      <c r="D120" s="2540"/>
      <c r="E120" s="2029"/>
      <c r="F120" s="2023"/>
      <c r="G120" s="2024"/>
      <c r="H120" s="417"/>
      <c r="I120" s="72" t="s">
        <v>75</v>
      </c>
      <c r="J120" s="791">
        <v>250</v>
      </c>
      <c r="K120" s="72"/>
      <c r="L120" s="791"/>
      <c r="M120" s="957" t="s">
        <v>251</v>
      </c>
      <c r="N120" s="883">
        <f>65+18</f>
        <v>83</v>
      </c>
      <c r="O120" s="884">
        <v>100</v>
      </c>
      <c r="P120" s="442"/>
    </row>
    <row r="121" spans="1:18" ht="19.5" customHeight="1" x14ac:dyDescent="0.2">
      <c r="A121" s="432"/>
      <c r="B121" s="429"/>
      <c r="C121" s="282"/>
      <c r="D121" s="31" t="s">
        <v>35</v>
      </c>
      <c r="E121" s="2110" t="s">
        <v>190</v>
      </c>
      <c r="F121" s="828"/>
      <c r="G121" s="817"/>
      <c r="H121" s="2487"/>
      <c r="I121" s="69" t="s">
        <v>68</v>
      </c>
      <c r="J121" s="54"/>
      <c r="K121" s="69"/>
      <c r="L121" s="54"/>
      <c r="M121" s="896" t="s">
        <v>191</v>
      </c>
      <c r="N121" s="199">
        <v>1</v>
      </c>
      <c r="O121" s="332"/>
      <c r="P121" s="895"/>
    </row>
    <row r="122" spans="1:18" ht="15" customHeight="1" x14ac:dyDescent="0.2">
      <c r="A122" s="432"/>
      <c r="B122" s="429"/>
      <c r="C122" s="282"/>
      <c r="D122" s="1139"/>
      <c r="E122" s="2110"/>
      <c r="F122" s="92"/>
      <c r="G122" s="836"/>
      <c r="H122" s="2536"/>
      <c r="I122" s="72" t="s">
        <v>75</v>
      </c>
      <c r="J122" s="791">
        <v>3</v>
      </c>
      <c r="K122" s="106"/>
      <c r="L122" s="106"/>
      <c r="M122" s="167"/>
      <c r="N122" s="248"/>
      <c r="O122" s="232"/>
      <c r="P122" s="897"/>
    </row>
    <row r="123" spans="1:18" ht="18" customHeight="1" thickBot="1" x14ac:dyDescent="0.25">
      <c r="A123" s="707"/>
      <c r="B123" s="711"/>
      <c r="C123" s="313"/>
      <c r="D123" s="1853"/>
      <c r="E123" s="721"/>
      <c r="F123" s="734"/>
      <c r="G123" s="283"/>
      <c r="H123" s="516"/>
      <c r="I123" s="724" t="s">
        <v>6</v>
      </c>
      <c r="J123" s="723">
        <f>SUM(J96:J122)</f>
        <v>5986.1</v>
      </c>
      <c r="K123" s="724">
        <f>SUM(K96:K122)</f>
        <v>5737.1</v>
      </c>
      <c r="L123" s="724">
        <f>SUM(L96:L122)</f>
        <v>5545.8</v>
      </c>
      <c r="M123" s="288"/>
      <c r="N123" s="279"/>
      <c r="O123" s="279"/>
      <c r="P123" s="280"/>
    </row>
    <row r="124" spans="1:18" ht="27.75" customHeight="1" x14ac:dyDescent="0.2">
      <c r="A124" s="714" t="s">
        <v>5</v>
      </c>
      <c r="B124" s="715" t="s">
        <v>7</v>
      </c>
      <c r="C124" s="444" t="s">
        <v>7</v>
      </c>
      <c r="D124" s="1854"/>
      <c r="E124" s="731" t="s">
        <v>270</v>
      </c>
      <c r="F124" s="722"/>
      <c r="G124" s="725"/>
      <c r="H124" s="326"/>
      <c r="I124" s="60"/>
      <c r="J124" s="77"/>
      <c r="K124" s="726"/>
      <c r="L124" s="56"/>
      <c r="M124" s="727"/>
      <c r="N124" s="728"/>
      <c r="O124" s="729"/>
      <c r="P124" s="730"/>
    </row>
    <row r="125" spans="1:18" ht="18" customHeight="1" x14ac:dyDescent="0.2">
      <c r="A125" s="717"/>
      <c r="B125" s="711"/>
      <c r="C125" s="282"/>
      <c r="D125" s="271" t="s">
        <v>5</v>
      </c>
      <c r="E125" s="1996" t="s">
        <v>119</v>
      </c>
      <c r="F125" s="2011" t="s">
        <v>228</v>
      </c>
      <c r="G125" s="708">
        <v>6</v>
      </c>
      <c r="H125" s="2486" t="s">
        <v>275</v>
      </c>
      <c r="I125" s="594" t="s">
        <v>68</v>
      </c>
      <c r="J125" s="62"/>
      <c r="K125" s="62"/>
      <c r="L125" s="62"/>
      <c r="M125" s="740" t="s">
        <v>252</v>
      </c>
      <c r="N125" s="739"/>
      <c r="O125" s="486"/>
      <c r="P125" s="741"/>
    </row>
    <row r="126" spans="1:18" ht="17.25" customHeight="1" x14ac:dyDescent="0.2">
      <c r="A126" s="738"/>
      <c r="B126" s="737"/>
      <c r="C126" s="282"/>
      <c r="D126" s="31"/>
      <c r="E126" s="2028"/>
      <c r="F126" s="2022"/>
      <c r="G126" s="736"/>
      <c r="H126" s="2511"/>
      <c r="I126" s="69" t="s">
        <v>68</v>
      </c>
      <c r="J126" s="54">
        <v>33.4</v>
      </c>
      <c r="K126" s="54">
        <v>50</v>
      </c>
      <c r="L126" s="54"/>
      <c r="M126" s="762" t="s">
        <v>193</v>
      </c>
      <c r="N126" s="771">
        <v>8</v>
      </c>
      <c r="O126" s="771">
        <v>5</v>
      </c>
      <c r="P126" s="765"/>
    </row>
    <row r="127" spans="1:18" ht="14.25" customHeight="1" x14ac:dyDescent="0.2">
      <c r="A127" s="717"/>
      <c r="B127" s="711"/>
      <c r="C127" s="282"/>
      <c r="D127" s="31"/>
      <c r="E127" s="2360"/>
      <c r="F127" s="2172"/>
      <c r="G127" s="710"/>
      <c r="H127" s="2543"/>
      <c r="I127" s="69" t="s">
        <v>75</v>
      </c>
      <c r="J127" s="54">
        <v>6.8</v>
      </c>
      <c r="K127" s="54"/>
      <c r="L127" s="54"/>
      <c r="M127" s="770"/>
      <c r="N127" s="525"/>
      <c r="O127" s="525"/>
      <c r="P127" s="552"/>
    </row>
    <row r="128" spans="1:18" ht="30" customHeight="1" x14ac:dyDescent="0.2">
      <c r="A128" s="738"/>
      <c r="B128" s="737"/>
      <c r="C128" s="282"/>
      <c r="D128" s="31"/>
      <c r="E128" s="652"/>
      <c r="F128" s="92"/>
      <c r="G128" s="767"/>
      <c r="H128" s="742" t="s">
        <v>192</v>
      </c>
      <c r="I128" s="577" t="s">
        <v>68</v>
      </c>
      <c r="J128" s="576">
        <v>48</v>
      </c>
      <c r="K128" s="576">
        <v>30</v>
      </c>
      <c r="L128" s="576"/>
      <c r="M128" s="167" t="s">
        <v>120</v>
      </c>
      <c r="N128" s="19">
        <v>8</v>
      </c>
      <c r="O128" s="233">
        <v>5</v>
      </c>
      <c r="P128" s="20"/>
    </row>
    <row r="129" spans="1:16" ht="16.5" customHeight="1" x14ac:dyDescent="0.2">
      <c r="A129" s="249"/>
      <c r="B129" s="716"/>
      <c r="C129" s="720"/>
      <c r="D129" s="271" t="s">
        <v>7</v>
      </c>
      <c r="E129" s="1996" t="s">
        <v>271</v>
      </c>
      <c r="F129" s="591" t="s">
        <v>47</v>
      </c>
      <c r="G129" s="710" t="s">
        <v>43</v>
      </c>
      <c r="H129" s="2486" t="s">
        <v>123</v>
      </c>
      <c r="I129" s="449" t="s">
        <v>68</v>
      </c>
      <c r="J129" s="54">
        <f>595.9-190</f>
        <v>405.9</v>
      </c>
      <c r="K129" s="85"/>
      <c r="L129" s="54"/>
      <c r="M129" s="770" t="s">
        <v>243</v>
      </c>
      <c r="N129" s="610" t="s">
        <v>242</v>
      </c>
      <c r="O129" s="497"/>
      <c r="P129" s="397"/>
    </row>
    <row r="130" spans="1:16" ht="15" customHeight="1" x14ac:dyDescent="0.2">
      <c r="A130" s="249"/>
      <c r="B130" s="716"/>
      <c r="C130" s="720"/>
      <c r="D130" s="31"/>
      <c r="E130" s="2360"/>
      <c r="F130" s="712"/>
      <c r="G130" s="710"/>
      <c r="H130" s="2511"/>
      <c r="I130" s="449" t="s">
        <v>68</v>
      </c>
      <c r="J130" s="54">
        <v>26.5</v>
      </c>
      <c r="K130" s="85"/>
      <c r="L130" s="54">
        <v>354.4</v>
      </c>
      <c r="M130" s="763" t="s">
        <v>207</v>
      </c>
      <c r="N130" s="379" t="s">
        <v>55</v>
      </c>
      <c r="O130" s="159"/>
      <c r="P130" s="262"/>
    </row>
    <row r="131" spans="1:16" ht="15.75" customHeight="1" x14ac:dyDescent="0.2">
      <c r="A131" s="249"/>
      <c r="B131" s="716"/>
      <c r="C131" s="720"/>
      <c r="D131" s="31"/>
      <c r="E131" s="2360"/>
      <c r="F131" s="712"/>
      <c r="G131" s="710"/>
      <c r="H131" s="2511"/>
      <c r="I131" s="449" t="s">
        <v>60</v>
      </c>
      <c r="J131" s="54">
        <v>0.4</v>
      </c>
      <c r="K131" s="85"/>
      <c r="L131" s="54"/>
      <c r="M131" s="506" t="s">
        <v>244</v>
      </c>
      <c r="N131" s="379"/>
      <c r="O131" s="159"/>
      <c r="P131" s="262" t="s">
        <v>182</v>
      </c>
    </row>
    <row r="132" spans="1:16" ht="12.75" customHeight="1" x14ac:dyDescent="0.2">
      <c r="A132" s="249"/>
      <c r="B132" s="716"/>
      <c r="C132" s="720"/>
      <c r="D132" s="31"/>
      <c r="E132" s="735"/>
      <c r="F132" s="712"/>
      <c r="G132" s="710"/>
      <c r="H132" s="2511"/>
      <c r="I132" s="1033"/>
      <c r="J132" s="57"/>
      <c r="K132" s="100"/>
      <c r="L132" s="57"/>
      <c r="M132" s="612"/>
      <c r="N132" s="610"/>
      <c r="O132" s="497"/>
      <c r="P132" s="397"/>
    </row>
    <row r="133" spans="1:16" ht="18.75" customHeight="1" x14ac:dyDescent="0.2">
      <c r="A133" s="249"/>
      <c r="B133" s="716"/>
      <c r="C133" s="720"/>
      <c r="D133" s="31"/>
      <c r="E133" s="2028" t="s">
        <v>273</v>
      </c>
      <c r="F133" s="712"/>
      <c r="G133" s="710"/>
      <c r="H133" s="2511"/>
      <c r="I133" s="449" t="s">
        <v>68</v>
      </c>
      <c r="J133" s="54">
        <v>30</v>
      </c>
      <c r="K133" s="85">
        <v>160</v>
      </c>
      <c r="L133" s="54"/>
      <c r="M133" s="762" t="s">
        <v>272</v>
      </c>
      <c r="N133" s="379"/>
      <c r="O133" s="159" t="s">
        <v>55</v>
      </c>
      <c r="P133" s="262"/>
    </row>
    <row r="134" spans="1:16" ht="19.5" customHeight="1" x14ac:dyDescent="0.2">
      <c r="A134" s="249"/>
      <c r="B134" s="716"/>
      <c r="C134" s="720"/>
      <c r="D134" s="31"/>
      <c r="E134" s="2184"/>
      <c r="F134" s="713"/>
      <c r="G134" s="719"/>
      <c r="H134" s="718"/>
      <c r="I134" s="1034"/>
      <c r="J134" s="61"/>
      <c r="K134" s="130"/>
      <c r="L134" s="61"/>
      <c r="M134" s="507"/>
      <c r="N134" s="380"/>
      <c r="O134" s="237"/>
      <c r="P134" s="340"/>
    </row>
    <row r="135" spans="1:16" ht="18" customHeight="1" thickBot="1" x14ac:dyDescent="0.25">
      <c r="A135" s="709"/>
      <c r="B135" s="205"/>
      <c r="C135" s="272"/>
      <c r="D135" s="1855"/>
      <c r="E135" s="286"/>
      <c r="F135" s="287"/>
      <c r="G135" s="146"/>
      <c r="H135" s="266"/>
      <c r="I135" s="165" t="s">
        <v>6</v>
      </c>
      <c r="J135" s="111">
        <f>SUM(J125:J134)</f>
        <v>551</v>
      </c>
      <c r="K135" s="165">
        <f>SUM(K125:K134)</f>
        <v>240</v>
      </c>
      <c r="L135" s="165">
        <f>SUM(L125:L134)</f>
        <v>354.4</v>
      </c>
      <c r="M135" s="288"/>
      <c r="N135" s="732"/>
      <c r="O135" s="732"/>
      <c r="P135" s="733"/>
    </row>
    <row r="136" spans="1:16" ht="14.25" customHeight="1" x14ac:dyDescent="0.2">
      <c r="A136" s="2337" t="s">
        <v>5</v>
      </c>
      <c r="B136" s="2576" t="s">
        <v>7</v>
      </c>
      <c r="C136" s="2108" t="s">
        <v>28</v>
      </c>
      <c r="D136" s="2534"/>
      <c r="E136" s="2350" t="s">
        <v>118</v>
      </c>
      <c r="F136" s="590" t="s">
        <v>47</v>
      </c>
      <c r="G136" s="2108">
        <v>5</v>
      </c>
      <c r="H136" s="2537" t="s">
        <v>71</v>
      </c>
      <c r="I136" s="69" t="s">
        <v>60</v>
      </c>
      <c r="J136" s="1976">
        <f>344.9+113</f>
        <v>457.9</v>
      </c>
      <c r="K136" s="85"/>
      <c r="L136" s="147"/>
      <c r="M136" s="2570" t="s">
        <v>208</v>
      </c>
      <c r="N136" s="1192">
        <v>18</v>
      </c>
      <c r="O136" s="556"/>
      <c r="P136" s="438"/>
    </row>
    <row r="137" spans="1:16" ht="14.25" customHeight="1" x14ac:dyDescent="0.2">
      <c r="A137" s="2062"/>
      <c r="B137" s="2064"/>
      <c r="C137" s="2058"/>
      <c r="D137" s="2494"/>
      <c r="E137" s="2028"/>
      <c r="F137" s="591" t="s">
        <v>229</v>
      </c>
      <c r="G137" s="2058"/>
      <c r="H137" s="2487"/>
      <c r="I137" s="69" t="s">
        <v>25</v>
      </c>
      <c r="J137" s="374">
        <v>294.60000000000002</v>
      </c>
      <c r="K137" s="85"/>
      <c r="L137" s="54"/>
      <c r="M137" s="2208"/>
      <c r="N137" s="748"/>
      <c r="O137" s="232"/>
      <c r="P137" s="747"/>
    </row>
    <row r="138" spans="1:16" ht="15" customHeight="1" x14ac:dyDescent="0.2">
      <c r="A138" s="2062"/>
      <c r="B138" s="2064"/>
      <c r="C138" s="2058"/>
      <c r="D138" s="2494"/>
      <c r="E138" s="2028"/>
      <c r="F138" s="591"/>
      <c r="G138" s="2058"/>
      <c r="H138" s="2487"/>
      <c r="I138" s="69" t="s">
        <v>222</v>
      </c>
      <c r="J138" s="54">
        <v>4264.5</v>
      </c>
      <c r="K138" s="85"/>
      <c r="L138" s="54"/>
      <c r="M138" s="2209"/>
      <c r="N138" s="208"/>
      <c r="O138" s="232"/>
      <c r="P138" s="542"/>
    </row>
    <row r="139" spans="1:16" ht="16.5" customHeight="1" thickBot="1" x14ac:dyDescent="0.25">
      <c r="A139" s="2063"/>
      <c r="B139" s="2065"/>
      <c r="C139" s="2059"/>
      <c r="D139" s="2535"/>
      <c r="E139" s="181"/>
      <c r="F139" s="592"/>
      <c r="G139" s="2059"/>
      <c r="H139" s="2538"/>
      <c r="I139" s="143" t="s">
        <v>6</v>
      </c>
      <c r="J139" s="75">
        <f>SUM(J136:J138)</f>
        <v>5017</v>
      </c>
      <c r="K139" s="209">
        <f>SUM(K136:K138)</f>
        <v>0</v>
      </c>
      <c r="L139" s="75">
        <f>SUM(L136:L138)</f>
        <v>0</v>
      </c>
      <c r="M139" s="572"/>
      <c r="N139" s="149"/>
      <c r="O139" s="485"/>
      <c r="P139" s="403"/>
    </row>
    <row r="140" spans="1:16" ht="14.25" customHeight="1" x14ac:dyDescent="0.2">
      <c r="A140" s="2337" t="s">
        <v>5</v>
      </c>
      <c r="B140" s="2576" t="s">
        <v>7</v>
      </c>
      <c r="C140" s="2108" t="s">
        <v>33</v>
      </c>
      <c r="D140" s="2534"/>
      <c r="E140" s="2350" t="s">
        <v>406</v>
      </c>
      <c r="F140" s="591" t="s">
        <v>229</v>
      </c>
      <c r="G140" s="2108" t="s">
        <v>55</v>
      </c>
      <c r="H140" s="2537" t="s">
        <v>71</v>
      </c>
      <c r="I140" s="69" t="s">
        <v>60</v>
      </c>
      <c r="J140" s="374">
        <v>665</v>
      </c>
      <c r="K140" s="85"/>
      <c r="L140" s="147"/>
      <c r="M140" s="2374" t="s">
        <v>404</v>
      </c>
      <c r="N140" s="1192">
        <v>100</v>
      </c>
      <c r="O140" s="556"/>
      <c r="P140" s="438"/>
    </row>
    <row r="141" spans="1:16" ht="14.25" customHeight="1" x14ac:dyDescent="0.2">
      <c r="A141" s="2062"/>
      <c r="B141" s="2064"/>
      <c r="C141" s="2058"/>
      <c r="D141" s="2494"/>
      <c r="E141" s="2028"/>
      <c r="F141" s="591"/>
      <c r="G141" s="2058"/>
      <c r="H141" s="2487"/>
      <c r="I141" s="69"/>
      <c r="J141" s="374"/>
      <c r="K141" s="85"/>
      <c r="L141" s="54"/>
      <c r="M141" s="2375"/>
      <c r="N141" s="1797"/>
      <c r="O141" s="232"/>
      <c r="P141" s="1786"/>
    </row>
    <row r="142" spans="1:16" ht="15" customHeight="1" x14ac:dyDescent="0.2">
      <c r="A142" s="2062"/>
      <c r="B142" s="2064"/>
      <c r="C142" s="2058"/>
      <c r="D142" s="2494"/>
      <c r="E142" s="2028"/>
      <c r="F142" s="591"/>
      <c r="G142" s="2058"/>
      <c r="H142" s="2487"/>
      <c r="I142" s="69"/>
      <c r="J142" s="54"/>
      <c r="K142" s="85"/>
      <c r="L142" s="54"/>
      <c r="M142" s="2375"/>
      <c r="N142" s="1797"/>
      <c r="O142" s="232"/>
      <c r="P142" s="1786"/>
    </row>
    <row r="143" spans="1:16" ht="16.5" customHeight="1" thickBot="1" x14ac:dyDescent="0.25">
      <c r="A143" s="2063"/>
      <c r="B143" s="2065"/>
      <c r="C143" s="2059"/>
      <c r="D143" s="2535"/>
      <c r="E143" s="1784"/>
      <c r="F143" s="592"/>
      <c r="G143" s="2059"/>
      <c r="H143" s="2538"/>
      <c r="I143" s="143" t="s">
        <v>6</v>
      </c>
      <c r="J143" s="75">
        <f>SUM(J140:J142)</f>
        <v>665</v>
      </c>
      <c r="K143" s="209">
        <f>SUM(K140:K142)</f>
        <v>0</v>
      </c>
      <c r="L143" s="75">
        <f>SUM(L140:L142)</f>
        <v>0</v>
      </c>
      <c r="M143" s="572"/>
      <c r="N143" s="149"/>
      <c r="O143" s="485"/>
      <c r="P143" s="403"/>
    </row>
    <row r="144" spans="1:16" ht="14.25" customHeight="1" thickBot="1" x14ac:dyDescent="0.25">
      <c r="A144" s="76" t="s">
        <v>5</v>
      </c>
      <c r="B144" s="207" t="s">
        <v>7</v>
      </c>
      <c r="C144" s="2188" t="s">
        <v>8</v>
      </c>
      <c r="D144" s="2160"/>
      <c r="E144" s="2160"/>
      <c r="F144" s="2160"/>
      <c r="G144" s="2160"/>
      <c r="H144" s="2160"/>
      <c r="I144" s="2160"/>
      <c r="J144" s="114">
        <f>J139+J135+J123+J143</f>
        <v>12219.1</v>
      </c>
      <c r="K144" s="114">
        <f t="shared" ref="K144:L144" si="1">K139+K135+K123+K143</f>
        <v>5977.1</v>
      </c>
      <c r="L144" s="114">
        <f t="shared" si="1"/>
        <v>5900.2</v>
      </c>
      <c r="M144" s="2162"/>
      <c r="N144" s="2162"/>
      <c r="O144" s="2162"/>
      <c r="P144" s="2163"/>
    </row>
    <row r="145" spans="1:16" ht="18" customHeight="1" thickBot="1" x14ac:dyDescent="0.25">
      <c r="A145" s="64" t="s">
        <v>5</v>
      </c>
      <c r="B145" s="207" t="s">
        <v>28</v>
      </c>
      <c r="C145" s="2164" t="s">
        <v>110</v>
      </c>
      <c r="D145" s="2165"/>
      <c r="E145" s="2165"/>
      <c r="F145" s="2165"/>
      <c r="G145" s="2165"/>
      <c r="H145" s="2165"/>
      <c r="I145" s="2165"/>
      <c r="J145" s="2165"/>
      <c r="K145" s="2165"/>
      <c r="L145" s="2165"/>
      <c r="M145" s="2165"/>
      <c r="N145" s="2165"/>
      <c r="O145" s="2165"/>
      <c r="P145" s="2166"/>
    </row>
    <row r="146" spans="1:16" ht="27" customHeight="1" x14ac:dyDescent="0.2">
      <c r="A146" s="191" t="s">
        <v>5</v>
      </c>
      <c r="B146" s="206" t="s">
        <v>28</v>
      </c>
      <c r="C146" s="277" t="s">
        <v>5</v>
      </c>
      <c r="D146" s="1854"/>
      <c r="E146" s="173" t="s">
        <v>107</v>
      </c>
      <c r="F146" s="91" t="s">
        <v>229</v>
      </c>
      <c r="G146" s="201"/>
      <c r="H146" s="179"/>
      <c r="I146" s="77"/>
      <c r="J146" s="108"/>
      <c r="K146" s="108"/>
      <c r="L146" s="108"/>
      <c r="M146" s="78"/>
      <c r="N146" s="150"/>
      <c r="O146" s="150"/>
      <c r="P146" s="246"/>
    </row>
    <row r="147" spans="1:16" ht="13.5" customHeight="1" x14ac:dyDescent="0.2">
      <c r="A147" s="188"/>
      <c r="B147" s="203"/>
      <c r="C147" s="276"/>
      <c r="D147" s="271" t="s">
        <v>5</v>
      </c>
      <c r="E147" s="2002" t="s">
        <v>105</v>
      </c>
      <c r="F147" s="2042" t="s">
        <v>76</v>
      </c>
      <c r="G147" s="304" t="s">
        <v>37</v>
      </c>
      <c r="H147" s="2486" t="s">
        <v>74</v>
      </c>
      <c r="I147" s="62" t="s">
        <v>68</v>
      </c>
      <c r="J147" s="105">
        <f>190.8</f>
        <v>190.8</v>
      </c>
      <c r="K147" s="54">
        <v>190.8</v>
      </c>
      <c r="L147" s="54">
        <v>190.8</v>
      </c>
      <c r="M147" s="1047" t="s">
        <v>111</v>
      </c>
      <c r="N147" s="177">
        <v>14.5</v>
      </c>
      <c r="O147" s="33">
        <v>14.5</v>
      </c>
      <c r="P147" s="34">
        <v>14.5</v>
      </c>
    </row>
    <row r="148" spans="1:16" ht="13.5" customHeight="1" x14ac:dyDescent="0.2">
      <c r="A148" s="1044"/>
      <c r="B148" s="1048"/>
      <c r="C148" s="1050"/>
      <c r="D148" s="31"/>
      <c r="E148" s="2040"/>
      <c r="F148" s="2043"/>
      <c r="G148" s="1045"/>
      <c r="H148" s="2487"/>
      <c r="I148" s="54" t="s">
        <v>25</v>
      </c>
      <c r="J148" s="1037">
        <v>40</v>
      </c>
      <c r="K148" s="54"/>
      <c r="L148" s="54"/>
      <c r="M148" s="1047"/>
      <c r="N148" s="177"/>
      <c r="O148" s="33"/>
      <c r="P148" s="34"/>
    </row>
    <row r="149" spans="1:16" ht="17.25" customHeight="1" x14ac:dyDescent="0.2">
      <c r="A149" s="188"/>
      <c r="B149" s="203"/>
      <c r="C149" s="276"/>
      <c r="D149" s="31"/>
      <c r="E149" s="2040"/>
      <c r="F149" s="2215"/>
      <c r="G149" s="305"/>
      <c r="H149" s="2487"/>
      <c r="I149" s="57" t="s">
        <v>99</v>
      </c>
      <c r="J149" s="1069">
        <v>80</v>
      </c>
      <c r="K149" s="57">
        <v>120</v>
      </c>
      <c r="L149" s="57">
        <v>120</v>
      </c>
      <c r="M149" s="1047" t="s">
        <v>38</v>
      </c>
      <c r="N149" s="1052">
        <f>66+5</f>
        <v>71</v>
      </c>
      <c r="O149" s="1051">
        <v>71</v>
      </c>
      <c r="P149" s="1053">
        <v>71</v>
      </c>
    </row>
    <row r="150" spans="1:16" ht="18.75" customHeight="1" x14ac:dyDescent="0.2">
      <c r="A150" s="188"/>
      <c r="B150" s="203"/>
      <c r="C150" s="276"/>
      <c r="D150" s="31"/>
      <c r="E150" s="2040"/>
      <c r="F150" s="2216"/>
      <c r="G150" s="305"/>
      <c r="H150" s="2487"/>
      <c r="I150" s="57" t="s">
        <v>68</v>
      </c>
      <c r="J150" s="105">
        <v>18.3</v>
      </c>
      <c r="K150" s="54"/>
      <c r="L150" s="54"/>
      <c r="M150" s="1046" t="s">
        <v>294</v>
      </c>
      <c r="N150" s="22">
        <v>100</v>
      </c>
      <c r="O150" s="679"/>
      <c r="P150" s="680"/>
    </row>
    <row r="151" spans="1:16" ht="26.25" customHeight="1" x14ac:dyDescent="0.2">
      <c r="A151" s="215"/>
      <c r="B151" s="225"/>
      <c r="C151" s="276"/>
      <c r="D151" s="31"/>
      <c r="E151" s="2040"/>
      <c r="F151" s="220"/>
      <c r="G151" s="305"/>
      <c r="H151" s="2487"/>
      <c r="I151" s="54" t="s">
        <v>99</v>
      </c>
      <c r="J151" s="1070">
        <v>10</v>
      </c>
      <c r="K151" s="62">
        <v>94</v>
      </c>
      <c r="L151" s="62"/>
      <c r="M151" s="1046" t="s">
        <v>292</v>
      </c>
      <c r="N151" s="1072" t="s">
        <v>345</v>
      </c>
      <c r="O151" s="1067">
        <v>100</v>
      </c>
      <c r="P151" s="34"/>
    </row>
    <row r="152" spans="1:16" ht="15.75" customHeight="1" x14ac:dyDescent="0.2">
      <c r="A152" s="620"/>
      <c r="B152" s="624"/>
      <c r="C152" s="627"/>
      <c r="D152" s="31"/>
      <c r="E152" s="2040"/>
      <c r="F152" s="623"/>
      <c r="G152" s="622"/>
      <c r="H152" s="2487"/>
      <c r="I152" s="51" t="s">
        <v>68</v>
      </c>
      <c r="J152" s="107">
        <v>45</v>
      </c>
      <c r="K152" s="51"/>
      <c r="L152" s="51"/>
      <c r="M152" s="901" t="s">
        <v>253</v>
      </c>
      <c r="N152" s="22">
        <v>1</v>
      </c>
      <c r="O152" s="657"/>
      <c r="P152" s="658"/>
    </row>
    <row r="153" spans="1:16" ht="13.5" customHeight="1" x14ac:dyDescent="0.2">
      <c r="A153" s="628"/>
      <c r="B153" s="631"/>
      <c r="C153" s="637"/>
      <c r="D153" s="31"/>
      <c r="E153" s="2040"/>
      <c r="F153" s="634"/>
      <c r="G153" s="630"/>
      <c r="H153" s="2487"/>
      <c r="I153" s="54" t="s">
        <v>75</v>
      </c>
      <c r="J153" s="1037">
        <f>36.6+1.4-4.7</f>
        <v>33.299999999999997</v>
      </c>
      <c r="K153" s="198"/>
      <c r="L153" s="198"/>
      <c r="M153" s="2464" t="s">
        <v>344</v>
      </c>
      <c r="N153" s="1052">
        <v>5</v>
      </c>
      <c r="O153" s="1068">
        <v>3</v>
      </c>
      <c r="P153" s="440"/>
    </row>
    <row r="154" spans="1:16" ht="23.25" customHeight="1" x14ac:dyDescent="0.2">
      <c r="A154" s="302"/>
      <c r="B154" s="307"/>
      <c r="C154" s="303"/>
      <c r="D154" s="31"/>
      <c r="E154" s="2040"/>
      <c r="F154" s="306"/>
      <c r="G154" s="305"/>
      <c r="H154" s="2487"/>
      <c r="I154" s="54" t="s">
        <v>60</v>
      </c>
      <c r="J154" s="105">
        <f>31.9-31.9</f>
        <v>0</v>
      </c>
      <c r="K154" s="198"/>
      <c r="L154" s="198"/>
      <c r="M154" s="2014"/>
      <c r="N154" s="1052"/>
      <c r="O154" s="513"/>
      <c r="P154" s="440"/>
    </row>
    <row r="155" spans="1:16" ht="42.75" customHeight="1" x14ac:dyDescent="0.2">
      <c r="A155" s="1044"/>
      <c r="B155" s="1048"/>
      <c r="C155" s="1050"/>
      <c r="D155" s="236"/>
      <c r="E155" s="1043"/>
      <c r="F155" s="659"/>
      <c r="G155" s="1045"/>
      <c r="H155" s="1049"/>
      <c r="I155" s="791" t="s">
        <v>99</v>
      </c>
      <c r="J155" s="1037">
        <v>9</v>
      </c>
      <c r="K155" s="54">
        <v>75</v>
      </c>
      <c r="L155" s="54"/>
      <c r="M155" s="2569"/>
      <c r="N155" s="1052"/>
      <c r="O155" s="1066"/>
      <c r="P155" s="440"/>
    </row>
    <row r="156" spans="1:16" ht="15" customHeight="1" x14ac:dyDescent="0.2">
      <c r="A156" s="188"/>
      <c r="B156" s="203"/>
      <c r="C156" s="276"/>
      <c r="D156" s="31" t="s">
        <v>7</v>
      </c>
      <c r="E156" s="216" t="s">
        <v>64</v>
      </c>
      <c r="F156" s="247"/>
      <c r="G156" s="317"/>
      <c r="H156" s="706"/>
      <c r="I156" s="54" t="s">
        <v>99</v>
      </c>
      <c r="J156" s="104">
        <v>120</v>
      </c>
      <c r="K156" s="790">
        <v>120</v>
      </c>
      <c r="L156" s="48">
        <v>120</v>
      </c>
      <c r="M156" s="1038" t="s">
        <v>81</v>
      </c>
      <c r="N156" s="1030">
        <v>1</v>
      </c>
      <c r="O156" s="635">
        <v>1</v>
      </c>
      <c r="P156" s="638">
        <v>1</v>
      </c>
    </row>
    <row r="157" spans="1:16" ht="15" customHeight="1" x14ac:dyDescent="0.2">
      <c r="A157" s="628"/>
      <c r="B157" s="631"/>
      <c r="C157" s="637"/>
      <c r="D157" s="31"/>
      <c r="E157" s="632"/>
      <c r="F157" s="659"/>
      <c r="G157" s="629"/>
      <c r="H157" s="706"/>
      <c r="I157" s="54" t="s">
        <v>68</v>
      </c>
      <c r="J157" s="105">
        <v>15</v>
      </c>
      <c r="K157" s="69">
        <v>15</v>
      </c>
      <c r="L157" s="69">
        <v>15</v>
      </c>
      <c r="M157" s="1027"/>
      <c r="N157" s="1031"/>
      <c r="O157" s="232"/>
      <c r="P157" s="636"/>
    </row>
    <row r="158" spans="1:16" ht="16.5" customHeight="1" x14ac:dyDescent="0.2">
      <c r="A158" s="188"/>
      <c r="B158" s="203"/>
      <c r="C158" s="276"/>
      <c r="D158" s="236"/>
      <c r="E158" s="222"/>
      <c r="F158" s="112"/>
      <c r="G158" s="540"/>
      <c r="H158" s="319"/>
      <c r="I158" s="644"/>
      <c r="J158" s="106"/>
      <c r="K158" s="72"/>
      <c r="L158" s="72"/>
      <c r="M158" s="1039"/>
      <c r="N158" s="19"/>
      <c r="O158" s="233"/>
      <c r="P158" s="20"/>
    </row>
    <row r="159" spans="1:16" ht="13.5" customHeight="1" x14ac:dyDescent="0.2">
      <c r="A159" s="464"/>
      <c r="B159" s="466"/>
      <c r="C159" s="465"/>
      <c r="D159" s="271" t="s">
        <v>28</v>
      </c>
      <c r="E159" s="2046" t="s">
        <v>113</v>
      </c>
      <c r="F159" s="575"/>
      <c r="G159" s="348"/>
      <c r="H159" s="2533"/>
      <c r="I159" s="790" t="s">
        <v>68</v>
      </c>
      <c r="J159" s="104">
        <v>8</v>
      </c>
      <c r="K159" s="104">
        <v>8</v>
      </c>
      <c r="L159" s="104">
        <v>8</v>
      </c>
      <c r="M159" s="2520" t="s">
        <v>212</v>
      </c>
      <c r="N159" s="2571">
        <v>14</v>
      </c>
      <c r="O159" s="2567">
        <v>14</v>
      </c>
      <c r="P159" s="2573">
        <v>14</v>
      </c>
    </row>
    <row r="160" spans="1:16" ht="10.5" customHeight="1" x14ac:dyDescent="0.2">
      <c r="A160" s="464"/>
      <c r="B160" s="466"/>
      <c r="C160" s="465"/>
      <c r="D160" s="31"/>
      <c r="E160" s="2047"/>
      <c r="F160" s="450"/>
      <c r="G160" s="348"/>
      <c r="H160" s="2533"/>
      <c r="I160" s="54"/>
      <c r="J160" s="105"/>
      <c r="K160" s="54"/>
      <c r="L160" s="54"/>
      <c r="M160" s="2212"/>
      <c r="N160" s="2572"/>
      <c r="O160" s="2568"/>
      <c r="P160" s="2574"/>
    </row>
    <row r="161" spans="1:16" ht="15.75" customHeight="1" x14ac:dyDescent="0.2">
      <c r="A161" s="469"/>
      <c r="B161" s="471"/>
      <c r="C161" s="470"/>
      <c r="D161" s="236"/>
      <c r="E161" s="2214"/>
      <c r="F161" s="451"/>
      <c r="G161" s="348"/>
      <c r="H161" s="546"/>
      <c r="I161" s="791" t="s">
        <v>75</v>
      </c>
      <c r="J161" s="72"/>
      <c r="K161" s="72"/>
      <c r="L161" s="72"/>
      <c r="M161" s="167"/>
      <c r="N161" s="19"/>
      <c r="O161" s="233"/>
      <c r="P161" s="20"/>
    </row>
    <row r="162" spans="1:16" ht="29.25" customHeight="1" x14ac:dyDescent="0.2">
      <c r="A162" s="215"/>
      <c r="B162" s="225"/>
      <c r="C162" s="276"/>
      <c r="D162" s="236" t="s">
        <v>33</v>
      </c>
      <c r="E162" s="1032" t="s">
        <v>106</v>
      </c>
      <c r="F162" s="1026"/>
      <c r="G162" s="219"/>
      <c r="H162" s="1040" t="s">
        <v>115</v>
      </c>
      <c r="I162" s="791" t="s">
        <v>68</v>
      </c>
      <c r="J162" s="560">
        <v>544</v>
      </c>
      <c r="K162" s="560">
        <v>564</v>
      </c>
      <c r="L162" s="560">
        <v>574</v>
      </c>
      <c r="M162" s="167" t="s">
        <v>133</v>
      </c>
      <c r="N162" s="46">
        <v>172</v>
      </c>
      <c r="O162" s="46">
        <v>174</v>
      </c>
      <c r="P162" s="903">
        <v>175</v>
      </c>
    </row>
    <row r="163" spans="1:16" ht="18.75" customHeight="1" x14ac:dyDescent="0.2">
      <c r="A163" s="194"/>
      <c r="B163" s="204"/>
      <c r="C163" s="282"/>
      <c r="D163" s="31" t="s">
        <v>34</v>
      </c>
      <c r="E163" s="2110" t="s">
        <v>148</v>
      </c>
      <c r="F163" s="808" t="s">
        <v>47</v>
      </c>
      <c r="G163" s="805"/>
      <c r="H163" s="2487"/>
      <c r="I163" s="54" t="s">
        <v>25</v>
      </c>
      <c r="J163" s="69">
        <v>76.5</v>
      </c>
      <c r="K163" s="69"/>
      <c r="L163" s="69"/>
      <c r="M163" s="2013" t="s">
        <v>130</v>
      </c>
      <c r="N163" s="350">
        <v>15</v>
      </c>
      <c r="O163" s="360"/>
      <c r="P163" s="166"/>
    </row>
    <row r="164" spans="1:16" ht="21" customHeight="1" x14ac:dyDescent="0.2">
      <c r="A164" s="194"/>
      <c r="B164" s="204"/>
      <c r="C164" s="281"/>
      <c r="D164" s="236"/>
      <c r="E164" s="2544"/>
      <c r="F164" s="93"/>
      <c r="G164" s="811"/>
      <c r="H164" s="2536"/>
      <c r="I164" s="791"/>
      <c r="J164" s="106"/>
      <c r="K164" s="106"/>
      <c r="L164" s="106"/>
      <c r="M164" s="2545"/>
      <c r="N164" s="351"/>
      <c r="O164" s="557"/>
      <c r="P164" s="574"/>
    </row>
    <row r="165" spans="1:16" ht="15.75" customHeight="1" thickBot="1" x14ac:dyDescent="0.25">
      <c r="A165" s="58"/>
      <c r="B165" s="193"/>
      <c r="C165" s="146"/>
      <c r="D165" s="1855"/>
      <c r="E165" s="286"/>
      <c r="F165" s="287"/>
      <c r="G165" s="146"/>
      <c r="H165" s="266"/>
      <c r="I165" s="111" t="s">
        <v>6</v>
      </c>
      <c r="J165" s="111">
        <f>SUM(J147:J164)</f>
        <v>1189.9000000000001</v>
      </c>
      <c r="K165" s="111">
        <f>SUM(K147:K164)</f>
        <v>1186.8</v>
      </c>
      <c r="L165" s="111">
        <f>SUM(L147:L164)</f>
        <v>1027.8</v>
      </c>
      <c r="M165" s="288"/>
      <c r="N165" s="732"/>
      <c r="O165" s="279"/>
      <c r="P165" s="280"/>
    </row>
    <row r="166" spans="1:16" ht="17.25" customHeight="1" x14ac:dyDescent="0.2">
      <c r="A166" s="2104" t="s">
        <v>5</v>
      </c>
      <c r="B166" s="2106" t="s">
        <v>28</v>
      </c>
      <c r="C166" s="2108" t="s">
        <v>7</v>
      </c>
      <c r="D166" s="2577"/>
      <c r="E166" s="2109" t="s">
        <v>297</v>
      </c>
      <c r="F166" s="2112" t="s">
        <v>229</v>
      </c>
      <c r="G166" s="2177" t="s">
        <v>55</v>
      </c>
      <c r="H166" s="2537" t="s">
        <v>63</v>
      </c>
      <c r="I166" s="82" t="s">
        <v>25</v>
      </c>
      <c r="J166" s="147">
        <v>136.80000000000001</v>
      </c>
      <c r="K166" s="170">
        <v>146.69999999999999</v>
      </c>
      <c r="L166" s="170">
        <v>146.69999999999999</v>
      </c>
      <c r="M166" s="182" t="s">
        <v>67</v>
      </c>
      <c r="N166" s="202">
        <v>18</v>
      </c>
      <c r="O166" s="477">
        <v>18</v>
      </c>
      <c r="P166" s="500">
        <v>18</v>
      </c>
    </row>
    <row r="167" spans="1:16" ht="15.75" customHeight="1" x14ac:dyDescent="0.2">
      <c r="A167" s="2031"/>
      <c r="B167" s="2039"/>
      <c r="C167" s="2058"/>
      <c r="D167" s="2555"/>
      <c r="E167" s="2110"/>
      <c r="F167" s="2113"/>
      <c r="G167" s="2024"/>
      <c r="H167" s="2487"/>
      <c r="I167" s="61" t="s">
        <v>60</v>
      </c>
      <c r="J167" s="49"/>
      <c r="K167" s="120"/>
      <c r="L167" s="49"/>
      <c r="M167" s="426" t="s">
        <v>82</v>
      </c>
      <c r="N167" s="208">
        <v>7</v>
      </c>
      <c r="O167" s="232">
        <v>7</v>
      </c>
      <c r="P167" s="542">
        <v>7</v>
      </c>
    </row>
    <row r="168" spans="1:16" ht="16.5" customHeight="1" thickBot="1" x14ac:dyDescent="0.25">
      <c r="A168" s="2105"/>
      <c r="B168" s="2107"/>
      <c r="C168" s="2059"/>
      <c r="D168" s="2578"/>
      <c r="E168" s="2111"/>
      <c r="F168" s="2114"/>
      <c r="G168" s="2178"/>
      <c r="H168" s="2528"/>
      <c r="I168" s="111" t="s">
        <v>6</v>
      </c>
      <c r="J168" s="123">
        <f>SUM(J166:J167)</f>
        <v>136.80000000000001</v>
      </c>
      <c r="K168" s="165">
        <f>SUM(K166:K167)</f>
        <v>146.69999999999999</v>
      </c>
      <c r="L168" s="165">
        <f>SUM(L166:L167)</f>
        <v>146.69999999999999</v>
      </c>
      <c r="M168" s="390"/>
      <c r="N168" s="149"/>
      <c r="O168" s="485"/>
      <c r="P168" s="403"/>
    </row>
    <row r="169" spans="1:16" ht="19.5" customHeight="1" x14ac:dyDescent="0.2">
      <c r="A169" s="427" t="s">
        <v>5</v>
      </c>
      <c r="B169" s="443" t="s">
        <v>28</v>
      </c>
      <c r="C169" s="444" t="s">
        <v>28</v>
      </c>
      <c r="D169" s="1854"/>
      <c r="E169" s="2179" t="s">
        <v>165</v>
      </c>
      <c r="F169" s="2181" t="s">
        <v>228</v>
      </c>
      <c r="G169" s="424"/>
      <c r="H169" s="445"/>
      <c r="I169" s="382"/>
      <c r="J169" s="382"/>
      <c r="K169" s="446"/>
      <c r="L169" s="382"/>
      <c r="M169" s="447"/>
      <c r="N169" s="144"/>
      <c r="O169" s="171"/>
      <c r="P169" s="176"/>
    </row>
    <row r="170" spans="1:16" ht="20.25" customHeight="1" x14ac:dyDescent="0.2">
      <c r="A170" s="419"/>
      <c r="B170" s="420"/>
      <c r="C170" s="418"/>
      <c r="D170" s="236"/>
      <c r="E170" s="2541"/>
      <c r="F170" s="2575"/>
      <c r="G170" s="430"/>
      <c r="H170" s="366"/>
      <c r="I170" s="364"/>
      <c r="J170" s="364"/>
      <c r="K170" s="365"/>
      <c r="L170" s="364"/>
      <c r="M170" s="1162"/>
      <c r="N170" s="36"/>
      <c r="O170" s="124"/>
      <c r="P170" s="37"/>
    </row>
    <row r="171" spans="1:16" ht="24.75" customHeight="1" x14ac:dyDescent="0.2">
      <c r="A171" s="2062"/>
      <c r="B171" s="2171"/>
      <c r="C171" s="2525"/>
      <c r="D171" s="271" t="s">
        <v>5</v>
      </c>
      <c r="E171" s="2174" t="s">
        <v>201</v>
      </c>
      <c r="F171" s="2042" t="s">
        <v>232</v>
      </c>
      <c r="G171" s="421">
        <v>5</v>
      </c>
      <c r="H171" s="2487" t="s">
        <v>162</v>
      </c>
      <c r="I171" s="54" t="s">
        <v>44</v>
      </c>
      <c r="J171" s="54">
        <v>420</v>
      </c>
      <c r="K171" s="69">
        <v>330</v>
      </c>
      <c r="L171" s="54"/>
      <c r="M171" s="1165" t="s">
        <v>125</v>
      </c>
      <c r="N171" s="199"/>
      <c r="O171" s="332"/>
      <c r="P171" s="1158">
        <v>100</v>
      </c>
    </row>
    <row r="172" spans="1:16" ht="24.75" customHeight="1" x14ac:dyDescent="0.2">
      <c r="A172" s="2062"/>
      <c r="B172" s="2171"/>
      <c r="C172" s="2525"/>
      <c r="D172" s="31"/>
      <c r="E172" s="2542"/>
      <c r="F172" s="2117"/>
      <c r="G172" s="425"/>
      <c r="H172" s="2487"/>
      <c r="I172" s="54" t="s">
        <v>25</v>
      </c>
      <c r="J172" s="54">
        <v>207</v>
      </c>
      <c r="K172" s="69">
        <v>50.2</v>
      </c>
      <c r="L172" s="54"/>
      <c r="M172" s="157" t="s">
        <v>189</v>
      </c>
      <c r="N172" s="333">
        <v>1</v>
      </c>
      <c r="O172" s="26"/>
      <c r="P172" s="27"/>
    </row>
    <row r="173" spans="1:16" ht="16.5" customHeight="1" x14ac:dyDescent="0.2">
      <c r="A173" s="2062"/>
      <c r="B173" s="2171"/>
      <c r="C173" s="2525"/>
      <c r="D173" s="31"/>
      <c r="E173" s="2542"/>
      <c r="F173" s="2117"/>
      <c r="G173" s="787"/>
      <c r="H173" s="2487"/>
      <c r="I173" s="54" t="s">
        <v>60</v>
      </c>
      <c r="J173" s="54">
        <v>277.3</v>
      </c>
      <c r="K173" s="69"/>
      <c r="L173" s="54"/>
      <c r="M173" s="1157"/>
      <c r="N173" s="384"/>
      <c r="O173" s="383"/>
      <c r="P173" s="164"/>
    </row>
    <row r="174" spans="1:16" ht="15" customHeight="1" x14ac:dyDescent="0.2">
      <c r="A174" s="2062"/>
      <c r="B174" s="2171"/>
      <c r="C174" s="2525"/>
      <c r="D174" s="31"/>
      <c r="E174" s="2542"/>
      <c r="F174" s="2117"/>
      <c r="G174" s="787"/>
      <c r="H174" s="2487"/>
      <c r="I174" s="54" t="s">
        <v>48</v>
      </c>
      <c r="J174" s="54"/>
      <c r="K174" s="69">
        <v>1500</v>
      </c>
      <c r="L174" s="54">
        <v>1000</v>
      </c>
      <c r="M174" s="1165"/>
      <c r="N174" s="1164"/>
      <c r="O174" s="1159"/>
      <c r="P174" s="1161"/>
    </row>
    <row r="175" spans="1:16" ht="13.5" customHeight="1" x14ac:dyDescent="0.2">
      <c r="A175" s="2062"/>
      <c r="B175" s="2171"/>
      <c r="C175" s="2525"/>
      <c r="D175" s="236"/>
      <c r="E175" s="2175"/>
      <c r="F175" s="2118"/>
      <c r="G175" s="540"/>
      <c r="H175" s="2487"/>
      <c r="I175" s="53"/>
      <c r="J175" s="791"/>
      <c r="K175" s="72"/>
      <c r="L175" s="791"/>
      <c r="M175" s="1149"/>
      <c r="N175" s="794"/>
      <c r="O175" s="19"/>
      <c r="P175" s="20"/>
    </row>
    <row r="176" spans="1:16" ht="15.75" customHeight="1" x14ac:dyDescent="0.2">
      <c r="A176" s="2062"/>
      <c r="B176" s="2171"/>
      <c r="C176" s="2525"/>
      <c r="D176" s="31" t="s">
        <v>7</v>
      </c>
      <c r="E176" s="2028" t="s">
        <v>185</v>
      </c>
      <c r="F176" s="2043" t="s">
        <v>230</v>
      </c>
      <c r="G176" s="538"/>
      <c r="H176" s="2487"/>
      <c r="I176" s="54" t="s">
        <v>25</v>
      </c>
      <c r="J176" s="54">
        <v>42.2</v>
      </c>
      <c r="K176" s="69">
        <v>5.4</v>
      </c>
      <c r="L176" s="54">
        <v>5</v>
      </c>
      <c r="M176" s="157" t="s">
        <v>157</v>
      </c>
      <c r="N176" s="134">
        <v>1</v>
      </c>
      <c r="O176" s="1164"/>
      <c r="P176" s="1161"/>
    </row>
    <row r="177" spans="1:16" ht="24" customHeight="1" x14ac:dyDescent="0.2">
      <c r="A177" s="2062"/>
      <c r="B177" s="2171"/>
      <c r="C177" s="2525"/>
      <c r="D177" s="31"/>
      <c r="E177" s="1997"/>
      <c r="F177" s="2172"/>
      <c r="G177" s="540"/>
      <c r="H177" s="2487"/>
      <c r="I177" s="54" t="s">
        <v>60</v>
      </c>
      <c r="J177" s="54">
        <v>12.3</v>
      </c>
      <c r="K177" s="69"/>
      <c r="L177" s="54"/>
      <c r="M177" s="2167" t="s">
        <v>186</v>
      </c>
      <c r="N177" s="384"/>
      <c r="O177" s="383"/>
      <c r="P177" s="164">
        <v>1</v>
      </c>
    </row>
    <row r="178" spans="1:16" ht="19.5" customHeight="1" x14ac:dyDescent="0.2">
      <c r="A178" s="249"/>
      <c r="B178" s="420"/>
      <c r="C178" s="295"/>
      <c r="D178" s="31"/>
      <c r="E178" s="1997"/>
      <c r="F178" s="2173"/>
      <c r="G178" s="540"/>
      <c r="H178" s="467"/>
      <c r="I178" s="54" t="s">
        <v>44</v>
      </c>
      <c r="J178" s="54">
        <v>499.1</v>
      </c>
      <c r="K178" s="69">
        <v>48</v>
      </c>
      <c r="L178" s="54">
        <v>45</v>
      </c>
      <c r="M178" s="2168"/>
      <c r="N178" s="41"/>
      <c r="O178" s="19"/>
      <c r="P178" s="552"/>
    </row>
    <row r="179" spans="1:16" ht="14.25" customHeight="1" x14ac:dyDescent="0.2">
      <c r="A179" s="2031"/>
      <c r="B179" s="2039"/>
      <c r="C179" s="2525"/>
      <c r="D179" s="2554" t="s">
        <v>28</v>
      </c>
      <c r="E179" s="1996" t="s">
        <v>153</v>
      </c>
      <c r="F179" s="2042" t="s">
        <v>121</v>
      </c>
      <c r="G179" s="2058"/>
      <c r="H179" s="2487"/>
      <c r="I179" s="156" t="s">
        <v>25</v>
      </c>
      <c r="J179" s="768">
        <v>14.7</v>
      </c>
      <c r="K179" s="73"/>
      <c r="L179" s="566"/>
      <c r="M179" s="1165" t="s">
        <v>187</v>
      </c>
      <c r="N179" s="294">
        <v>6</v>
      </c>
      <c r="O179" s="569"/>
      <c r="P179" s="1156"/>
    </row>
    <row r="180" spans="1:16" ht="13.5" customHeight="1" x14ac:dyDescent="0.2">
      <c r="A180" s="2031"/>
      <c r="B180" s="2039"/>
      <c r="C180" s="2525"/>
      <c r="D180" s="2555"/>
      <c r="E180" s="1997"/>
      <c r="F180" s="2117"/>
      <c r="G180" s="2058"/>
      <c r="H180" s="2487"/>
      <c r="I180" s="54" t="s">
        <v>222</v>
      </c>
      <c r="J180" s="54">
        <v>83.3</v>
      </c>
      <c r="K180" s="69"/>
      <c r="L180" s="374"/>
      <c r="M180" s="1165"/>
      <c r="N180" s="294"/>
      <c r="O180" s="1164"/>
      <c r="P180" s="1161"/>
    </row>
    <row r="181" spans="1:16" ht="14.25" customHeight="1" x14ac:dyDescent="0.2">
      <c r="A181" s="2031"/>
      <c r="B181" s="2039"/>
      <c r="C181" s="2525"/>
      <c r="D181" s="2556"/>
      <c r="E181" s="1998"/>
      <c r="F181" s="2118"/>
      <c r="G181" s="2058"/>
      <c r="H181" s="2487"/>
      <c r="I181" s="61"/>
      <c r="J181" s="769"/>
      <c r="K181" s="72"/>
      <c r="L181" s="578"/>
      <c r="M181" s="18"/>
      <c r="N181" s="46"/>
      <c r="O181" s="41"/>
      <c r="P181" s="20"/>
    </row>
    <row r="182" spans="1:16" ht="14.25" customHeight="1" x14ac:dyDescent="0.2">
      <c r="A182" s="2031"/>
      <c r="B182" s="2039"/>
      <c r="C182" s="2525"/>
      <c r="D182" s="2554" t="s">
        <v>33</v>
      </c>
      <c r="E182" s="2289" t="s">
        <v>352</v>
      </c>
      <c r="F182" s="2561" t="s">
        <v>121</v>
      </c>
      <c r="G182" s="2058"/>
      <c r="H182" s="2487"/>
      <c r="I182" s="156" t="s">
        <v>25</v>
      </c>
      <c r="J182" s="566">
        <v>2.8</v>
      </c>
      <c r="K182" s="532">
        <f>3.5+0.8</f>
        <v>4.3</v>
      </c>
      <c r="L182" s="566"/>
      <c r="M182" s="1135" t="s">
        <v>402</v>
      </c>
      <c r="N182" s="294"/>
      <c r="O182" s="1148"/>
      <c r="P182" s="262" t="s">
        <v>55</v>
      </c>
    </row>
    <row r="183" spans="1:16" ht="13.5" customHeight="1" x14ac:dyDescent="0.2">
      <c r="A183" s="2031"/>
      <c r="B183" s="2039"/>
      <c r="C183" s="2525"/>
      <c r="D183" s="2555"/>
      <c r="E183" s="2559"/>
      <c r="F183" s="2562"/>
      <c r="G183" s="2058"/>
      <c r="H183" s="2487"/>
      <c r="I183" s="54" t="s">
        <v>44</v>
      </c>
      <c r="J183" s="374"/>
      <c r="K183" s="404">
        <v>24</v>
      </c>
      <c r="L183" s="374">
        <v>41.2</v>
      </c>
      <c r="M183" s="1135"/>
      <c r="N183" s="294"/>
      <c r="O183" s="1067"/>
      <c r="P183" s="1166"/>
    </row>
    <row r="184" spans="1:16" ht="14.25" customHeight="1" x14ac:dyDescent="0.2">
      <c r="A184" s="2031"/>
      <c r="B184" s="2039"/>
      <c r="C184" s="2525"/>
      <c r="D184" s="2556"/>
      <c r="E184" s="2560"/>
      <c r="F184" s="2563"/>
      <c r="G184" s="2058"/>
      <c r="H184" s="2487"/>
      <c r="I184" s="61"/>
      <c r="J184" s="791"/>
      <c r="K184" s="72"/>
      <c r="L184" s="578"/>
      <c r="M184" s="18"/>
      <c r="N184" s="46"/>
      <c r="O184" s="41"/>
      <c r="P184" s="20"/>
    </row>
    <row r="185" spans="1:16" ht="14.25" customHeight="1" x14ac:dyDescent="0.2">
      <c r="A185" s="2031"/>
      <c r="B185" s="2039"/>
      <c r="C185" s="2525"/>
      <c r="D185" s="2554" t="s">
        <v>34</v>
      </c>
      <c r="E185" s="2289" t="s">
        <v>358</v>
      </c>
      <c r="F185" s="2561" t="s">
        <v>121</v>
      </c>
      <c r="G185" s="2058"/>
      <c r="H185" s="2487"/>
      <c r="I185" s="156" t="s">
        <v>44</v>
      </c>
      <c r="J185" s="566"/>
      <c r="K185" s="532">
        <v>40</v>
      </c>
      <c r="L185" s="566">
        <v>40</v>
      </c>
      <c r="M185" s="1135" t="s">
        <v>359</v>
      </c>
      <c r="N185" s="294"/>
      <c r="O185" s="569"/>
      <c r="P185" s="1167" t="s">
        <v>357</v>
      </c>
    </row>
    <row r="186" spans="1:16" ht="13.5" customHeight="1" x14ac:dyDescent="0.2">
      <c r="A186" s="2031"/>
      <c r="B186" s="2039"/>
      <c r="C186" s="2525"/>
      <c r="D186" s="2555"/>
      <c r="E186" s="2559"/>
      <c r="F186" s="2562"/>
      <c r="G186" s="2058"/>
      <c r="H186" s="2487"/>
      <c r="I186" s="54"/>
      <c r="J186" s="54"/>
      <c r="K186" s="69"/>
      <c r="L186" s="374"/>
      <c r="M186" s="1135"/>
      <c r="N186" s="294"/>
      <c r="O186" s="1067"/>
      <c r="P186" s="1166"/>
    </row>
    <row r="187" spans="1:16" ht="14.25" customHeight="1" x14ac:dyDescent="0.2">
      <c r="A187" s="2031"/>
      <c r="B187" s="2039"/>
      <c r="C187" s="2525"/>
      <c r="D187" s="2556"/>
      <c r="E187" s="2560"/>
      <c r="F187" s="2563"/>
      <c r="G187" s="2058"/>
      <c r="H187" s="2487"/>
      <c r="I187" s="61"/>
      <c r="J187" s="791"/>
      <c r="K187" s="72"/>
      <c r="L187" s="578"/>
      <c r="M187" s="18"/>
      <c r="N187" s="46"/>
      <c r="O187" s="41"/>
      <c r="P187" s="20"/>
    </row>
    <row r="188" spans="1:16" ht="37.5" customHeight="1" x14ac:dyDescent="0.2">
      <c r="A188" s="452"/>
      <c r="B188" s="453"/>
      <c r="C188" s="454"/>
      <c r="D188" s="271" t="s">
        <v>35</v>
      </c>
      <c r="E188" s="633" t="s">
        <v>124</v>
      </c>
      <c r="F188" s="475" t="s">
        <v>161</v>
      </c>
      <c r="G188" s="368" t="s">
        <v>37</v>
      </c>
      <c r="H188" s="639" t="s">
        <v>188</v>
      </c>
      <c r="I188" s="367" t="s">
        <v>75</v>
      </c>
      <c r="J188" s="367">
        <v>24.2</v>
      </c>
      <c r="K188" s="462"/>
      <c r="L188" s="461"/>
      <c r="M188" s="59" t="s">
        <v>83</v>
      </c>
      <c r="N188" s="456">
        <v>1</v>
      </c>
      <c r="O188" s="456"/>
      <c r="P188" s="457"/>
    </row>
    <row r="189" spans="1:16" ht="15.75" customHeight="1" x14ac:dyDescent="0.2">
      <c r="A189" s="2031"/>
      <c r="B189" s="2039"/>
      <c r="C189" s="2525"/>
      <c r="D189" s="2554" t="s">
        <v>36</v>
      </c>
      <c r="E189" s="1996" t="s">
        <v>210</v>
      </c>
      <c r="F189" s="2042" t="s">
        <v>121</v>
      </c>
      <c r="G189" s="2524" t="s">
        <v>37</v>
      </c>
      <c r="H189" s="2487"/>
      <c r="I189" s="790" t="s">
        <v>68</v>
      </c>
      <c r="J189" s="790">
        <v>12</v>
      </c>
      <c r="K189" s="73">
        <v>6</v>
      </c>
      <c r="L189" s="790">
        <v>6</v>
      </c>
      <c r="M189" s="1999" t="s">
        <v>225</v>
      </c>
      <c r="N189" s="968">
        <v>11</v>
      </c>
      <c r="O189" s="1163">
        <v>12</v>
      </c>
      <c r="P189" s="1160">
        <v>14</v>
      </c>
    </row>
    <row r="190" spans="1:16" ht="11.25" customHeight="1" x14ac:dyDescent="0.2">
      <c r="A190" s="2031"/>
      <c r="B190" s="2039"/>
      <c r="C190" s="2525"/>
      <c r="D190" s="2555"/>
      <c r="E190" s="2028"/>
      <c r="F190" s="2043"/>
      <c r="G190" s="2034"/>
      <c r="H190" s="2487"/>
      <c r="I190" s="54"/>
      <c r="J190" s="55"/>
      <c r="K190" s="69"/>
      <c r="L190" s="54"/>
      <c r="M190" s="2051"/>
      <c r="N190" s="294"/>
      <c r="O190" s="1164"/>
      <c r="P190" s="1161"/>
    </row>
    <row r="191" spans="1:16" ht="24" customHeight="1" x14ac:dyDescent="0.2">
      <c r="A191" s="2031"/>
      <c r="B191" s="2039"/>
      <c r="C191" s="2525"/>
      <c r="D191" s="2556"/>
      <c r="E191" s="1998"/>
      <c r="F191" s="2118"/>
      <c r="G191" s="2080"/>
      <c r="H191" s="2488"/>
      <c r="I191" s="791"/>
      <c r="J191" s="568"/>
      <c r="K191" s="914"/>
      <c r="L191" s="568"/>
      <c r="M191" s="18"/>
      <c r="N191" s="132"/>
      <c r="O191" s="41"/>
      <c r="P191" s="20"/>
    </row>
    <row r="192" spans="1:16" ht="14.25" customHeight="1" thickBot="1" x14ac:dyDescent="0.25">
      <c r="A192" s="58"/>
      <c r="B192" s="423"/>
      <c r="C192" s="296"/>
      <c r="D192" s="1855"/>
      <c r="E192" s="297"/>
      <c r="F192" s="298"/>
      <c r="G192" s="296"/>
      <c r="H192" s="299"/>
      <c r="I192" s="111" t="s">
        <v>6</v>
      </c>
      <c r="J192" s="165">
        <f>SUM(J171:J191)</f>
        <v>1594.9</v>
      </c>
      <c r="K192" s="165">
        <f>SUM(K171:K191)</f>
        <v>2007.9</v>
      </c>
      <c r="L192" s="165">
        <f>SUM(L171:L191)</f>
        <v>1137.2</v>
      </c>
      <c r="M192" s="300"/>
      <c r="N192" s="558"/>
      <c r="O192" s="558"/>
      <c r="P192" s="1121"/>
    </row>
    <row r="193" spans="1:16" ht="14.25" customHeight="1" thickBot="1" x14ac:dyDescent="0.25">
      <c r="A193" s="76" t="s">
        <v>5</v>
      </c>
      <c r="B193" s="65" t="s">
        <v>28</v>
      </c>
      <c r="C193" s="2160" t="s">
        <v>8</v>
      </c>
      <c r="D193" s="2160"/>
      <c r="E193" s="2160"/>
      <c r="F193" s="2160"/>
      <c r="G193" s="2160"/>
      <c r="H193" s="2160"/>
      <c r="I193" s="2161"/>
      <c r="J193" s="168">
        <f>J192+J168+J165</f>
        <v>2921.6</v>
      </c>
      <c r="K193" s="168">
        <f>K192+K168+K165</f>
        <v>3341.4</v>
      </c>
      <c r="L193" s="168">
        <f>L192+L168+L165</f>
        <v>2311.6999999999998</v>
      </c>
      <c r="M193" s="2162"/>
      <c r="N193" s="2162"/>
      <c r="O193" s="2162"/>
      <c r="P193" s="2163"/>
    </row>
    <row r="194" spans="1:16" ht="14.25" customHeight="1" thickBot="1" x14ac:dyDescent="0.25">
      <c r="A194" s="64" t="s">
        <v>5</v>
      </c>
      <c r="B194" s="65" t="s">
        <v>33</v>
      </c>
      <c r="C194" s="2164" t="s">
        <v>164</v>
      </c>
      <c r="D194" s="2165"/>
      <c r="E194" s="2165"/>
      <c r="F194" s="2165"/>
      <c r="G194" s="2165"/>
      <c r="H194" s="2165"/>
      <c r="I194" s="2165"/>
      <c r="J194" s="2165"/>
      <c r="K194" s="2165"/>
      <c r="L194" s="2165"/>
      <c r="M194" s="2165"/>
      <c r="N194" s="2165"/>
      <c r="O194" s="2165"/>
      <c r="P194" s="2166"/>
    </row>
    <row r="195" spans="1:16" ht="31.5" customHeight="1" x14ac:dyDescent="0.2">
      <c r="A195" s="191" t="s">
        <v>5</v>
      </c>
      <c r="B195" s="192" t="s">
        <v>33</v>
      </c>
      <c r="C195" s="285" t="s">
        <v>5</v>
      </c>
      <c r="D195" s="1237"/>
      <c r="E195" s="94" t="s">
        <v>104</v>
      </c>
      <c r="F195" s="103"/>
      <c r="G195" s="83"/>
      <c r="H195" s="326"/>
      <c r="I195" s="77"/>
      <c r="J195" s="63"/>
      <c r="K195" s="63"/>
      <c r="L195" s="63"/>
      <c r="M195" s="84"/>
      <c r="N195" s="6"/>
      <c r="O195" s="487"/>
      <c r="P195" s="579"/>
    </row>
    <row r="196" spans="1:16" ht="15.75" customHeight="1" x14ac:dyDescent="0.2">
      <c r="A196" s="309"/>
      <c r="B196" s="310"/>
      <c r="C196" s="282"/>
      <c r="D196" s="1856" t="s">
        <v>5</v>
      </c>
      <c r="E196" s="328" t="s">
        <v>101</v>
      </c>
      <c r="F196" s="316"/>
      <c r="G196" s="322">
        <v>6</v>
      </c>
      <c r="H196" s="2486" t="s">
        <v>100</v>
      </c>
      <c r="I196" s="461"/>
      <c r="J196" s="461"/>
      <c r="K196" s="461"/>
      <c r="L196" s="461"/>
      <c r="M196" s="460"/>
      <c r="N196" s="463"/>
      <c r="O196" s="660"/>
      <c r="P196" s="534"/>
    </row>
    <row r="197" spans="1:16" ht="14.25" customHeight="1" x14ac:dyDescent="0.2">
      <c r="A197" s="661"/>
      <c r="B197" s="662"/>
      <c r="C197" s="282"/>
      <c r="D197" s="2522" t="s">
        <v>168</v>
      </c>
      <c r="E197" s="667" t="s">
        <v>256</v>
      </c>
      <c r="F197" s="670"/>
      <c r="G197" s="669"/>
      <c r="H197" s="2511"/>
      <c r="I197" s="54" t="s">
        <v>99</v>
      </c>
      <c r="J197" s="54">
        <v>1000</v>
      </c>
      <c r="K197" s="54"/>
      <c r="L197" s="54"/>
      <c r="M197" s="666" t="s">
        <v>66</v>
      </c>
      <c r="N197" s="177">
        <v>5.9</v>
      </c>
      <c r="O197" s="85"/>
      <c r="P197" s="34"/>
    </row>
    <row r="198" spans="1:16" ht="13.5" customHeight="1" x14ac:dyDescent="0.2">
      <c r="A198" s="661"/>
      <c r="B198" s="662"/>
      <c r="C198" s="282"/>
      <c r="D198" s="2521"/>
      <c r="E198" s="180" t="s">
        <v>170</v>
      </c>
      <c r="F198" s="670"/>
      <c r="G198" s="669"/>
      <c r="H198" s="2511"/>
      <c r="I198" s="54" t="s">
        <v>60</v>
      </c>
      <c r="J198" s="54">
        <v>38.200000000000003</v>
      </c>
      <c r="K198" s="54"/>
      <c r="L198" s="54"/>
      <c r="M198" s="666"/>
      <c r="N198" s="177"/>
      <c r="O198" s="85"/>
      <c r="P198" s="34"/>
    </row>
    <row r="199" spans="1:16" ht="14.25" customHeight="1" x14ac:dyDescent="0.2">
      <c r="A199" s="661"/>
      <c r="B199" s="662"/>
      <c r="C199" s="282"/>
      <c r="D199" s="2521"/>
      <c r="E199" s="180" t="s">
        <v>167</v>
      </c>
      <c r="F199" s="670"/>
      <c r="G199" s="669"/>
      <c r="H199" s="2511"/>
      <c r="I199" s="54"/>
      <c r="J199" s="54"/>
      <c r="K199" s="54"/>
      <c r="L199" s="54"/>
      <c r="M199" s="666"/>
      <c r="N199" s="177"/>
      <c r="O199" s="85"/>
      <c r="P199" s="34"/>
    </row>
    <row r="200" spans="1:16" ht="14.25" customHeight="1" x14ac:dyDescent="0.2">
      <c r="A200" s="661"/>
      <c r="B200" s="662"/>
      <c r="C200" s="282"/>
      <c r="D200" s="2521"/>
      <c r="E200" s="667" t="s">
        <v>172</v>
      </c>
      <c r="F200" s="670"/>
      <c r="G200" s="669"/>
      <c r="H200" s="673"/>
      <c r="I200" s="54"/>
      <c r="J200" s="54"/>
      <c r="K200" s="54"/>
      <c r="L200" s="54"/>
      <c r="M200" s="666"/>
      <c r="N200" s="177"/>
      <c r="O200" s="85"/>
      <c r="P200" s="34"/>
    </row>
    <row r="201" spans="1:16" ht="29.25" customHeight="1" x14ac:dyDescent="0.2">
      <c r="A201" s="661"/>
      <c r="B201" s="662"/>
      <c r="C201" s="282"/>
      <c r="D201" s="2521"/>
      <c r="E201" s="180" t="s">
        <v>257</v>
      </c>
      <c r="F201" s="670"/>
      <c r="G201" s="669"/>
      <c r="H201" s="673"/>
      <c r="I201" s="54"/>
      <c r="J201" s="54"/>
      <c r="K201" s="54"/>
      <c r="L201" s="54"/>
      <c r="M201" s="666"/>
      <c r="N201" s="177"/>
      <c r="O201" s="85"/>
      <c r="P201" s="34"/>
    </row>
    <row r="202" spans="1:16" ht="26.25" customHeight="1" x14ac:dyDescent="0.2">
      <c r="A202" s="661"/>
      <c r="B202" s="662"/>
      <c r="C202" s="282"/>
      <c r="D202" s="2521"/>
      <c r="E202" s="329" t="s">
        <v>258</v>
      </c>
      <c r="F202" s="670"/>
      <c r="G202" s="669"/>
      <c r="H202" s="673"/>
      <c r="I202" s="54"/>
      <c r="J202" s="54"/>
      <c r="K202" s="54"/>
      <c r="L202" s="54"/>
      <c r="M202" s="666"/>
      <c r="N202" s="177"/>
      <c r="O202" s="85"/>
      <c r="P202" s="34"/>
    </row>
    <row r="203" spans="1:16" ht="27" customHeight="1" x14ac:dyDescent="0.2">
      <c r="A203" s="661"/>
      <c r="B203" s="662"/>
      <c r="C203" s="282"/>
      <c r="D203" s="2521"/>
      <c r="E203" s="180" t="s">
        <v>259</v>
      </c>
      <c r="F203" s="670"/>
      <c r="G203" s="669"/>
      <c r="H203" s="673"/>
      <c r="I203" s="54"/>
      <c r="J203" s="54"/>
      <c r="K203" s="54"/>
      <c r="L203" s="54"/>
      <c r="M203" s="666"/>
      <c r="N203" s="177"/>
      <c r="O203" s="85"/>
      <c r="P203" s="34"/>
    </row>
    <row r="204" spans="1:16" ht="27" customHeight="1" x14ac:dyDescent="0.2">
      <c r="A204" s="661"/>
      <c r="B204" s="662"/>
      <c r="C204" s="282"/>
      <c r="D204" s="1857"/>
      <c r="E204" s="704" t="s">
        <v>260</v>
      </c>
      <c r="F204" s="670"/>
      <c r="G204" s="669"/>
      <c r="H204" s="673"/>
      <c r="I204" s="54"/>
      <c r="J204" s="54"/>
      <c r="K204" s="54"/>
      <c r="L204" s="54"/>
      <c r="M204" s="666"/>
      <c r="N204" s="177"/>
      <c r="O204" s="85"/>
      <c r="P204" s="34"/>
    </row>
    <row r="205" spans="1:16" ht="15" customHeight="1" x14ac:dyDescent="0.2">
      <c r="A205" s="661"/>
      <c r="B205" s="662"/>
      <c r="C205" s="282"/>
      <c r="D205" s="2521" t="s">
        <v>169</v>
      </c>
      <c r="E205" s="656" t="s">
        <v>171</v>
      </c>
      <c r="F205" s="668"/>
      <c r="G205" s="669"/>
      <c r="H205" s="673"/>
      <c r="I205" s="677" t="s">
        <v>25</v>
      </c>
      <c r="J205" s="677"/>
      <c r="K205" s="790">
        <f>336-250</f>
        <v>86</v>
      </c>
      <c r="L205" s="677"/>
      <c r="M205" s="671" t="s">
        <v>66</v>
      </c>
      <c r="N205" s="42"/>
      <c r="O205" s="99">
        <v>7.9</v>
      </c>
      <c r="P205" s="331"/>
    </row>
    <row r="206" spans="1:16" ht="16.5" customHeight="1" x14ac:dyDescent="0.2">
      <c r="A206" s="661"/>
      <c r="B206" s="662"/>
      <c r="C206" s="282"/>
      <c r="D206" s="2521"/>
      <c r="E206" s="329" t="s">
        <v>166</v>
      </c>
      <c r="F206" s="670"/>
      <c r="G206" s="669"/>
      <c r="H206" s="673"/>
      <c r="I206" s="54" t="s">
        <v>99</v>
      </c>
      <c r="J206" s="54"/>
      <c r="K206" s="54">
        <v>900</v>
      </c>
      <c r="L206" s="54"/>
      <c r="M206" s="666"/>
      <c r="N206" s="177"/>
      <c r="O206" s="85"/>
      <c r="P206" s="34"/>
    </row>
    <row r="207" spans="1:16" ht="15.75" customHeight="1" x14ac:dyDescent="0.2">
      <c r="A207" s="661"/>
      <c r="B207" s="662"/>
      <c r="C207" s="282"/>
      <c r="D207" s="2521"/>
      <c r="E207" s="180" t="s">
        <v>173</v>
      </c>
      <c r="F207" s="670"/>
      <c r="G207" s="669"/>
      <c r="H207" s="673"/>
      <c r="I207" s="54"/>
      <c r="J207" s="54"/>
      <c r="K207" s="54"/>
      <c r="L207" s="54"/>
      <c r="M207" s="666"/>
      <c r="N207" s="177"/>
      <c r="O207" s="85"/>
      <c r="P207" s="34"/>
    </row>
    <row r="208" spans="1:16" ht="15.75" customHeight="1" x14ac:dyDescent="0.2">
      <c r="A208" s="661"/>
      <c r="B208" s="662"/>
      <c r="C208" s="282"/>
      <c r="D208" s="2521"/>
      <c r="E208" s="180" t="s">
        <v>261</v>
      </c>
      <c r="F208" s="670"/>
      <c r="G208" s="669"/>
      <c r="H208" s="673"/>
      <c r="I208" s="54"/>
      <c r="J208" s="54"/>
      <c r="K208" s="54"/>
      <c r="L208" s="54"/>
      <c r="M208" s="666"/>
      <c r="N208" s="177"/>
      <c r="O208" s="85"/>
      <c r="P208" s="34"/>
    </row>
    <row r="209" spans="1:19" ht="14.25" customHeight="1" x14ac:dyDescent="0.2">
      <c r="A209" s="661"/>
      <c r="B209" s="662"/>
      <c r="C209" s="282"/>
      <c r="D209" s="2521"/>
      <c r="E209" s="665" t="s">
        <v>262</v>
      </c>
      <c r="F209" s="670"/>
      <c r="G209" s="669"/>
      <c r="H209" s="673"/>
      <c r="I209" s="678"/>
      <c r="J209" s="54"/>
      <c r="K209" s="791"/>
      <c r="L209" s="54"/>
      <c r="M209" s="666"/>
      <c r="N209" s="177"/>
      <c r="O209" s="35"/>
      <c r="P209" s="37"/>
    </row>
    <row r="210" spans="1:19" ht="19.5" customHeight="1" x14ac:dyDescent="0.2">
      <c r="A210" s="661"/>
      <c r="B210" s="662"/>
      <c r="C210" s="282"/>
      <c r="D210" s="2522" t="s">
        <v>254</v>
      </c>
      <c r="E210" s="2002" t="s">
        <v>255</v>
      </c>
      <c r="F210" s="670"/>
      <c r="G210" s="669"/>
      <c r="H210" s="673"/>
      <c r="I210" s="54" t="s">
        <v>25</v>
      </c>
      <c r="J210" s="677"/>
      <c r="K210" s="790"/>
      <c r="L210" s="790">
        <v>336</v>
      </c>
      <c r="M210" s="671" t="s">
        <v>66</v>
      </c>
      <c r="N210" s="42"/>
      <c r="O210" s="96"/>
      <c r="P210" s="34">
        <v>7.5</v>
      </c>
    </row>
    <row r="211" spans="1:19" ht="18.75" customHeight="1" x14ac:dyDescent="0.2">
      <c r="A211" s="661"/>
      <c r="B211" s="662"/>
      <c r="C211" s="282"/>
      <c r="D211" s="2523"/>
      <c r="E211" s="2030"/>
      <c r="F211" s="670"/>
      <c r="G211" s="669"/>
      <c r="H211" s="673"/>
      <c r="I211" s="678" t="s">
        <v>99</v>
      </c>
      <c r="J211" s="678"/>
      <c r="K211" s="791"/>
      <c r="L211" s="791">
        <v>900</v>
      </c>
      <c r="M211" s="392"/>
      <c r="N211" s="36"/>
      <c r="O211" s="124"/>
      <c r="P211" s="37"/>
    </row>
    <row r="212" spans="1:19" ht="26.25" customHeight="1" x14ac:dyDescent="0.2">
      <c r="A212" s="309"/>
      <c r="B212" s="310"/>
      <c r="C212" s="282"/>
      <c r="D212" s="1858" t="s">
        <v>7</v>
      </c>
      <c r="E212" s="2009" t="s">
        <v>103</v>
      </c>
      <c r="F212" s="315"/>
      <c r="G212" s="370"/>
      <c r="H212" s="371"/>
      <c r="I212" s="48" t="s">
        <v>99</v>
      </c>
      <c r="J212" s="529">
        <v>262.3</v>
      </c>
      <c r="K212" s="790">
        <v>110.3</v>
      </c>
      <c r="L212" s="790">
        <v>110.3</v>
      </c>
      <c r="M212" s="321" t="s">
        <v>287</v>
      </c>
      <c r="N212" s="271" t="s">
        <v>286</v>
      </c>
      <c r="O212" s="758" t="s">
        <v>286</v>
      </c>
      <c r="P212" s="750" t="s">
        <v>286</v>
      </c>
      <c r="Q212" s="1136"/>
      <c r="R212" s="1136"/>
    </row>
    <row r="213" spans="1:19" ht="26.25" customHeight="1" x14ac:dyDescent="0.2">
      <c r="A213" s="309"/>
      <c r="B213" s="310"/>
      <c r="C213" s="282"/>
      <c r="D213" s="1859"/>
      <c r="E213" s="2010"/>
      <c r="F213" s="316"/>
      <c r="G213" s="370"/>
      <c r="H213" s="371"/>
      <c r="I213" s="54" t="s">
        <v>25</v>
      </c>
      <c r="J213" s="177">
        <v>666.7</v>
      </c>
      <c r="K213" s="54">
        <f>1006.7-300</f>
        <v>706.7</v>
      </c>
      <c r="L213" s="54">
        <f>1006.7-300</f>
        <v>706.7</v>
      </c>
      <c r="M213" s="71" t="s">
        <v>40</v>
      </c>
      <c r="N213" s="154" t="s">
        <v>288</v>
      </c>
      <c r="O213" s="489" t="s">
        <v>288</v>
      </c>
      <c r="P213" s="580" t="s">
        <v>288</v>
      </c>
      <c r="Q213" s="1136"/>
      <c r="R213" s="1136"/>
    </row>
    <row r="214" spans="1:19" ht="15.75" customHeight="1" x14ac:dyDescent="0.2">
      <c r="A214" s="1129"/>
      <c r="B214" s="1130"/>
      <c r="C214" s="282"/>
      <c r="D214" s="1859"/>
      <c r="E214" s="2010"/>
      <c r="F214" s="1131"/>
      <c r="G214" s="1132"/>
      <c r="H214" s="1133"/>
      <c r="I214" s="54"/>
      <c r="J214" s="1042"/>
      <c r="K214" s="54"/>
      <c r="L214" s="54"/>
      <c r="M214" s="71" t="s">
        <v>65</v>
      </c>
      <c r="N214" s="154" t="s">
        <v>282</v>
      </c>
      <c r="O214" s="489" t="s">
        <v>282</v>
      </c>
      <c r="P214" s="580" t="s">
        <v>282</v>
      </c>
      <c r="Q214" s="1136"/>
      <c r="R214" s="1136"/>
    </row>
    <row r="215" spans="1:19" ht="29.25" customHeight="1" x14ac:dyDescent="0.2">
      <c r="A215" s="309"/>
      <c r="B215" s="310"/>
      <c r="C215" s="282"/>
      <c r="D215" s="1860"/>
      <c r="E215" s="2021"/>
      <c r="F215" s="119"/>
      <c r="G215" s="370"/>
      <c r="H215" s="372"/>
      <c r="I215" s="61" t="s">
        <v>99</v>
      </c>
      <c r="J215" s="568">
        <v>110.5</v>
      </c>
      <c r="K215" s="791"/>
      <c r="L215" s="791"/>
      <c r="M215" s="1138" t="s">
        <v>355</v>
      </c>
      <c r="N215" s="1139" t="s">
        <v>356</v>
      </c>
      <c r="O215" s="1140"/>
      <c r="P215" s="1137"/>
      <c r="Q215" s="1136"/>
      <c r="R215" s="1136"/>
    </row>
    <row r="216" spans="1:19" ht="15.75" customHeight="1" x14ac:dyDescent="0.2">
      <c r="A216" s="2031"/>
      <c r="B216" s="2039"/>
      <c r="C216" s="2500"/>
      <c r="D216" s="1859" t="s">
        <v>28</v>
      </c>
      <c r="E216" s="2002" t="s">
        <v>53</v>
      </c>
      <c r="F216" s="316"/>
      <c r="G216" s="314"/>
      <c r="H216" s="318"/>
      <c r="I216" s="54" t="s">
        <v>25</v>
      </c>
      <c r="J216" s="54">
        <v>400</v>
      </c>
      <c r="K216" s="54">
        <v>400</v>
      </c>
      <c r="L216" s="54">
        <v>400</v>
      </c>
      <c r="M216" s="1999" t="s">
        <v>284</v>
      </c>
      <c r="N216" s="271" t="s">
        <v>283</v>
      </c>
      <c r="O216" s="608" t="s">
        <v>283</v>
      </c>
      <c r="P216" s="337" t="s">
        <v>283</v>
      </c>
      <c r="Q216" s="1136"/>
      <c r="R216" s="1136"/>
    </row>
    <row r="217" spans="1:19" ht="18" customHeight="1" x14ac:dyDescent="0.2">
      <c r="A217" s="2031"/>
      <c r="B217" s="2039"/>
      <c r="C217" s="2500"/>
      <c r="D217" s="1860"/>
      <c r="E217" s="2030"/>
      <c r="F217" s="119"/>
      <c r="G217" s="314"/>
      <c r="H217" s="318"/>
      <c r="I217" s="581"/>
      <c r="J217" s="581"/>
      <c r="K217" s="581"/>
      <c r="L217" s="791"/>
      <c r="M217" s="2159"/>
      <c r="N217" s="36"/>
      <c r="O217" s="124"/>
      <c r="P217" s="37"/>
      <c r="Q217" s="1136"/>
      <c r="R217" s="1136"/>
    </row>
    <row r="218" spans="1:19" ht="15.75" customHeight="1" x14ac:dyDescent="0.2">
      <c r="A218" s="2031"/>
      <c r="B218" s="2039"/>
      <c r="C218" s="2500"/>
      <c r="D218" s="2493" t="s">
        <v>33</v>
      </c>
      <c r="E218" s="2359" t="s">
        <v>269</v>
      </c>
      <c r="F218" s="2042"/>
      <c r="G218" s="2033"/>
      <c r="H218" s="228"/>
      <c r="I218" s="677"/>
      <c r="J218" s="790"/>
      <c r="K218" s="790"/>
      <c r="L218" s="790"/>
      <c r="M218" s="832"/>
      <c r="N218" s="749"/>
      <c r="O218" s="400"/>
      <c r="P218" s="750"/>
    </row>
    <row r="219" spans="1:19" ht="12" customHeight="1" x14ac:dyDescent="0.2">
      <c r="A219" s="2031"/>
      <c r="B219" s="2039"/>
      <c r="C219" s="2500"/>
      <c r="D219" s="2494"/>
      <c r="E219" s="2529"/>
      <c r="F219" s="2043"/>
      <c r="G219" s="2033"/>
      <c r="H219" s="228"/>
      <c r="I219" s="54" t="s">
        <v>68</v>
      </c>
      <c r="J219" s="54">
        <f>268-48-30+5</f>
        <v>195</v>
      </c>
      <c r="K219" s="54">
        <f>447-30+34.1</f>
        <v>451.1</v>
      </c>
      <c r="L219" s="54">
        <f>417+98.4</f>
        <v>515.4</v>
      </c>
      <c r="M219" s="2000"/>
      <c r="N219" s="31"/>
      <c r="O219" s="379"/>
      <c r="P219" s="262"/>
    </row>
    <row r="220" spans="1:19" ht="15" customHeight="1" x14ac:dyDescent="0.2">
      <c r="A220" s="2031"/>
      <c r="B220" s="2039"/>
      <c r="C220" s="2500"/>
      <c r="D220" s="2494"/>
      <c r="E220" s="2360"/>
      <c r="F220" s="2043"/>
      <c r="G220" s="2033"/>
      <c r="H220" s="228"/>
      <c r="I220" s="54" t="s">
        <v>75</v>
      </c>
      <c r="J220" s="54">
        <f>270+17.9</f>
        <v>287.89999999999998</v>
      </c>
      <c r="K220" s="54"/>
      <c r="L220" s="54"/>
      <c r="M220" s="2381"/>
      <c r="N220" s="31"/>
      <c r="O220" s="379"/>
      <c r="P220" s="262"/>
    </row>
    <row r="221" spans="1:19" ht="15" customHeight="1" x14ac:dyDescent="0.2">
      <c r="A221" s="2031"/>
      <c r="B221" s="2039"/>
      <c r="C221" s="2500"/>
      <c r="D221" s="2494"/>
      <c r="E221" s="2360"/>
      <c r="F221" s="2043"/>
      <c r="G221" s="2033"/>
      <c r="H221" s="228"/>
      <c r="I221" s="54" t="s">
        <v>99</v>
      </c>
      <c r="J221" s="374">
        <v>231.5</v>
      </c>
      <c r="K221" s="54">
        <v>120</v>
      </c>
      <c r="L221" s="54">
        <v>120</v>
      </c>
      <c r="M221" s="821"/>
      <c r="N221" s="587"/>
      <c r="O221" s="751"/>
      <c r="P221" s="752"/>
    </row>
    <row r="222" spans="1:19" ht="17.25" customHeight="1" x14ac:dyDescent="0.2">
      <c r="A222" s="2031"/>
      <c r="B222" s="2039"/>
      <c r="C222" s="2500"/>
      <c r="D222" s="2494"/>
      <c r="E222" s="753"/>
      <c r="F222" s="2043"/>
      <c r="G222" s="2033"/>
      <c r="H222" s="228"/>
      <c r="I222" s="54"/>
      <c r="J222" s="374"/>
      <c r="K222" s="54"/>
      <c r="L222" s="54"/>
      <c r="M222" s="837" t="s">
        <v>289</v>
      </c>
      <c r="N222" s="1074" t="s">
        <v>347</v>
      </c>
      <c r="O222" s="497" t="s">
        <v>293</v>
      </c>
      <c r="P222" s="397" t="s">
        <v>293</v>
      </c>
      <c r="S222" s="43"/>
    </row>
    <row r="223" spans="1:19" ht="18" customHeight="1" x14ac:dyDescent="0.2">
      <c r="A223" s="2031"/>
      <c r="B223" s="2039"/>
      <c r="C223" s="2500"/>
      <c r="D223" s="2494"/>
      <c r="E223" s="399"/>
      <c r="F223" s="2043"/>
      <c r="G223" s="2033"/>
      <c r="H223" s="228"/>
      <c r="I223" s="54"/>
      <c r="J223" s="54"/>
      <c r="K223" s="54"/>
      <c r="L223" s="54"/>
      <c r="M223" s="821" t="s">
        <v>285</v>
      </c>
      <c r="N223" s="1072" t="s">
        <v>348</v>
      </c>
      <c r="O223" s="31" t="s">
        <v>306</v>
      </c>
      <c r="P223" s="262" t="s">
        <v>306</v>
      </c>
    </row>
    <row r="224" spans="1:19" ht="21.75" customHeight="1" x14ac:dyDescent="0.2">
      <c r="A224" s="2031"/>
      <c r="B224" s="2039"/>
      <c r="C224" s="2500"/>
      <c r="D224" s="2494"/>
      <c r="E224" s="753"/>
      <c r="F224" s="2043"/>
      <c r="G224" s="2033"/>
      <c r="H224" s="228"/>
      <c r="I224" s="54"/>
      <c r="J224" s="54"/>
      <c r="K224" s="54"/>
      <c r="L224" s="54"/>
      <c r="M224" s="2048" t="s">
        <v>290</v>
      </c>
      <c r="N224" s="289"/>
      <c r="O224" s="1075" t="s">
        <v>280</v>
      </c>
      <c r="P224" s="339"/>
      <c r="S224" s="43"/>
    </row>
    <row r="225" spans="1:18" ht="11.25" customHeight="1" x14ac:dyDescent="0.2">
      <c r="A225" s="2031"/>
      <c r="B225" s="2039"/>
      <c r="C225" s="2500"/>
      <c r="D225" s="2494"/>
      <c r="E225" s="753"/>
      <c r="F225" s="2043"/>
      <c r="G225" s="2033"/>
      <c r="H225" s="228"/>
      <c r="I225" s="54"/>
      <c r="J225" s="54"/>
      <c r="K225" s="54"/>
      <c r="L225" s="54"/>
      <c r="M225" s="2530"/>
      <c r="N225" s="609"/>
      <c r="O225" s="1074"/>
      <c r="P225" s="397"/>
    </row>
    <row r="226" spans="1:18" ht="40.5" customHeight="1" x14ac:dyDescent="0.2">
      <c r="A226" s="2031"/>
      <c r="B226" s="2039"/>
      <c r="C226" s="2500"/>
      <c r="D226" s="2494"/>
      <c r="E226" s="399"/>
      <c r="F226" s="2043"/>
      <c r="G226" s="2033"/>
      <c r="H226" s="228"/>
      <c r="I226" s="54"/>
      <c r="J226" s="54"/>
      <c r="K226" s="54"/>
      <c r="L226" s="54"/>
      <c r="M226" s="1029" t="s">
        <v>291</v>
      </c>
      <c r="N226" s="609"/>
      <c r="O226" s="1074" t="s">
        <v>281</v>
      </c>
      <c r="P226" s="397"/>
    </row>
    <row r="227" spans="1:18" ht="30.75" customHeight="1" x14ac:dyDescent="0.2">
      <c r="A227" s="2031"/>
      <c r="B227" s="2039"/>
      <c r="C227" s="2500"/>
      <c r="D227" s="2495"/>
      <c r="E227" s="1041"/>
      <c r="F227" s="2557"/>
      <c r="G227" s="2033"/>
      <c r="H227" s="228"/>
      <c r="I227" s="791"/>
      <c r="J227" s="791"/>
      <c r="K227" s="791"/>
      <c r="L227" s="791"/>
      <c r="M227" s="1028" t="s">
        <v>338</v>
      </c>
      <c r="N227" s="236" t="s">
        <v>55</v>
      </c>
      <c r="O227" s="380"/>
      <c r="P227" s="340"/>
    </row>
    <row r="228" spans="1:18" ht="22.5" customHeight="1" x14ac:dyDescent="0.2">
      <c r="A228" s="309"/>
      <c r="B228" s="310"/>
      <c r="C228" s="312"/>
      <c r="D228" s="31" t="s">
        <v>34</v>
      </c>
      <c r="E228" s="2110" t="s">
        <v>102</v>
      </c>
      <c r="F228" s="316"/>
      <c r="G228" s="314"/>
      <c r="H228" s="311"/>
      <c r="I228" s="54" t="s">
        <v>25</v>
      </c>
      <c r="J228" s="54">
        <f>631-100</f>
        <v>531</v>
      </c>
      <c r="K228" s="54">
        <v>543.70000000000005</v>
      </c>
      <c r="L228" s="54">
        <v>300</v>
      </c>
      <c r="M228" s="2000" t="s">
        <v>145</v>
      </c>
      <c r="N228" s="1186">
        <v>14</v>
      </c>
      <c r="O228" s="332">
        <v>12</v>
      </c>
      <c r="P228" s="743">
        <v>6</v>
      </c>
    </row>
    <row r="229" spans="1:18" ht="16.5" customHeight="1" x14ac:dyDescent="0.2">
      <c r="A229" s="188"/>
      <c r="B229" s="190"/>
      <c r="C229" s="276"/>
      <c r="D229" s="236"/>
      <c r="E229" s="2558"/>
      <c r="F229" s="119"/>
      <c r="G229" s="541"/>
      <c r="H229" s="544"/>
      <c r="I229" s="53" t="s">
        <v>60</v>
      </c>
      <c r="J229" s="791">
        <v>61.7</v>
      </c>
      <c r="K229" s="791"/>
      <c r="L229" s="791"/>
      <c r="M229" s="2001"/>
      <c r="N229" s="19"/>
      <c r="O229" s="233"/>
      <c r="P229" s="20"/>
    </row>
    <row r="230" spans="1:18" ht="15.75" customHeight="1" x14ac:dyDescent="0.2">
      <c r="A230" s="194"/>
      <c r="B230" s="190"/>
      <c r="C230" s="284"/>
      <c r="D230" s="1858" t="s">
        <v>35</v>
      </c>
      <c r="E230" s="2002" t="s">
        <v>39</v>
      </c>
      <c r="F230" s="601"/>
      <c r="G230" s="217"/>
      <c r="H230" s="227"/>
      <c r="I230" s="50" t="s">
        <v>99</v>
      </c>
      <c r="J230" s="54">
        <v>70</v>
      </c>
      <c r="K230" s="54">
        <v>70</v>
      </c>
      <c r="L230" s="54">
        <v>70</v>
      </c>
      <c r="M230" s="764" t="s">
        <v>268</v>
      </c>
      <c r="N230" s="189">
        <v>14</v>
      </c>
      <c r="O230" s="543">
        <v>14</v>
      </c>
      <c r="P230" s="551">
        <v>14</v>
      </c>
    </row>
    <row r="231" spans="1:18" ht="13.5" customHeight="1" x14ac:dyDescent="0.2">
      <c r="A231" s="320"/>
      <c r="B231" s="310"/>
      <c r="C231" s="313"/>
      <c r="D231" s="1859"/>
      <c r="E231" s="2040"/>
      <c r="F231" s="602"/>
      <c r="G231" s="314"/>
      <c r="H231" s="375"/>
      <c r="I231" s="54" t="s">
        <v>25</v>
      </c>
      <c r="J231" s="374">
        <f>50+43+28.9</f>
        <v>121.9</v>
      </c>
      <c r="K231" s="54">
        <v>80</v>
      </c>
      <c r="L231" s="69">
        <v>80</v>
      </c>
      <c r="M231" s="762"/>
      <c r="N231" s="675"/>
      <c r="O231" s="232"/>
      <c r="P231" s="542"/>
    </row>
    <row r="232" spans="1:18" ht="13.5" customHeight="1" x14ac:dyDescent="0.2">
      <c r="A232" s="1783"/>
      <c r="B232" s="1776"/>
      <c r="C232" s="313"/>
      <c r="D232" s="1859"/>
      <c r="E232" s="2040"/>
      <c r="F232" s="1778"/>
      <c r="G232" s="1777"/>
      <c r="H232" s="1780"/>
      <c r="I232" s="54" t="s">
        <v>75</v>
      </c>
      <c r="J232" s="374">
        <v>4.7</v>
      </c>
      <c r="K232" s="54"/>
      <c r="L232" s="69"/>
      <c r="M232" s="1779"/>
      <c r="N232" s="1781"/>
      <c r="O232" s="232"/>
      <c r="P232" s="1782"/>
    </row>
    <row r="233" spans="1:18" ht="16.5" customHeight="1" x14ac:dyDescent="0.2">
      <c r="A233" s="194"/>
      <c r="B233" s="190"/>
      <c r="C233" s="284"/>
      <c r="D233" s="1860"/>
      <c r="E233" s="2030"/>
      <c r="F233" s="603"/>
      <c r="G233" s="217"/>
      <c r="H233" s="224"/>
      <c r="I233" s="53" t="s">
        <v>60</v>
      </c>
      <c r="J233" s="568">
        <f>30+5+31.9</f>
        <v>66.900000000000006</v>
      </c>
      <c r="K233" s="791"/>
      <c r="L233" s="72"/>
      <c r="M233" s="821"/>
      <c r="N233" s="19"/>
      <c r="O233" s="233"/>
      <c r="P233" s="20"/>
    </row>
    <row r="234" spans="1:18" ht="15" customHeight="1" x14ac:dyDescent="0.2">
      <c r="A234" s="664"/>
      <c r="B234" s="662"/>
      <c r="C234" s="313"/>
      <c r="D234" s="2493" t="s">
        <v>36</v>
      </c>
      <c r="E234" s="2531" t="s">
        <v>234</v>
      </c>
      <c r="F234" s="670"/>
      <c r="G234" s="663"/>
      <c r="H234" s="674"/>
      <c r="I234" s="788" t="s">
        <v>99</v>
      </c>
      <c r="J234" s="790">
        <v>15</v>
      </c>
      <c r="K234" s="790">
        <v>63</v>
      </c>
      <c r="L234" s="790"/>
      <c r="M234" s="640" t="s">
        <v>92</v>
      </c>
      <c r="N234" s="525">
        <v>1</v>
      </c>
      <c r="O234" s="232"/>
      <c r="P234" s="833"/>
    </row>
    <row r="235" spans="1:18" ht="27.75" customHeight="1" x14ac:dyDescent="0.2">
      <c r="A235" s="664"/>
      <c r="B235" s="662"/>
      <c r="C235" s="672"/>
      <c r="D235" s="2495"/>
      <c r="E235" s="2532"/>
      <c r="F235" s="670"/>
      <c r="G235" s="663"/>
      <c r="H235" s="684"/>
      <c r="I235" s="789"/>
      <c r="J235" s="791"/>
      <c r="K235" s="791"/>
      <c r="L235" s="791"/>
      <c r="M235" s="359" t="s">
        <v>247</v>
      </c>
      <c r="N235" s="645"/>
      <c r="O235" s="646">
        <v>100</v>
      </c>
      <c r="P235" s="648"/>
    </row>
    <row r="236" spans="1:18" ht="17.25" customHeight="1" x14ac:dyDescent="0.2">
      <c r="A236" s="689"/>
      <c r="B236" s="687"/>
      <c r="C236" s="694"/>
      <c r="D236" s="31" t="s">
        <v>183</v>
      </c>
      <c r="E236" s="690" t="s">
        <v>267</v>
      </c>
      <c r="F236" s="113"/>
      <c r="G236" s="688"/>
      <c r="H236" s="693"/>
      <c r="I236" s="700" t="s">
        <v>99</v>
      </c>
      <c r="J236" s="1076">
        <v>20</v>
      </c>
      <c r="K236" s="1063">
        <v>170</v>
      </c>
      <c r="L236" s="566">
        <v>190</v>
      </c>
      <c r="M236" s="702" t="s">
        <v>46</v>
      </c>
      <c r="N236" s="1079">
        <v>3</v>
      </c>
      <c r="O236" s="383"/>
      <c r="P236" s="164"/>
    </row>
    <row r="237" spans="1:18" ht="26.25" customHeight="1" x14ac:dyDescent="0.2">
      <c r="A237" s="682"/>
      <c r="B237" s="683"/>
      <c r="C237" s="685"/>
      <c r="D237" s="1134"/>
      <c r="E237" s="703" t="s">
        <v>265</v>
      </c>
      <c r="F237" s="2078"/>
      <c r="G237" s="2034"/>
      <c r="H237" s="698"/>
      <c r="I237" s="696" t="s">
        <v>99</v>
      </c>
      <c r="J237" s="55"/>
      <c r="K237" s="85">
        <v>5</v>
      </c>
      <c r="L237" s="54">
        <v>10</v>
      </c>
      <c r="M237" s="358" t="s">
        <v>263</v>
      </c>
      <c r="N237" s="597"/>
      <c r="O237" s="1077">
        <v>50</v>
      </c>
      <c r="P237" s="1078">
        <v>100</v>
      </c>
      <c r="R237" s="43"/>
    </row>
    <row r="238" spans="1:18" ht="17.25" customHeight="1" x14ac:dyDescent="0.2">
      <c r="A238" s="691"/>
      <c r="B238" s="692"/>
      <c r="C238" s="695"/>
      <c r="D238" s="1134"/>
      <c r="E238" s="703" t="s">
        <v>264</v>
      </c>
      <c r="F238" s="2078"/>
      <c r="G238" s="2034"/>
      <c r="H238" s="698"/>
      <c r="I238" s="696"/>
      <c r="J238" s="55"/>
      <c r="K238" s="1150"/>
      <c r="L238" s="1151"/>
      <c r="M238" s="358"/>
      <c r="N238" s="597"/>
      <c r="O238" s="597"/>
      <c r="P238" s="250"/>
      <c r="R238" s="43"/>
    </row>
    <row r="239" spans="1:18" ht="15.75" customHeight="1" x14ac:dyDescent="0.2">
      <c r="A239" s="691"/>
      <c r="B239" s="692"/>
      <c r="C239" s="695"/>
      <c r="D239" s="1134"/>
      <c r="E239" s="686" t="s">
        <v>266</v>
      </c>
      <c r="F239" s="2079"/>
      <c r="G239" s="2080"/>
      <c r="H239" s="699"/>
      <c r="I239" s="697"/>
      <c r="J239" s="789"/>
      <c r="K239" s="124"/>
      <c r="L239" s="791"/>
      <c r="M239" s="359"/>
      <c r="N239" s="597"/>
      <c r="O239" s="294"/>
      <c r="P239" s="250"/>
      <c r="R239" s="43"/>
    </row>
    <row r="240" spans="1:18" ht="13.5" customHeight="1" x14ac:dyDescent="0.2">
      <c r="A240" s="809"/>
      <c r="B240" s="807"/>
      <c r="C240" s="281"/>
      <c r="D240" s="2493" t="s">
        <v>305</v>
      </c>
      <c r="E240" s="2002" t="s">
        <v>296</v>
      </c>
      <c r="F240" s="756" t="s">
        <v>47</v>
      </c>
      <c r="G240" s="806"/>
      <c r="H240" s="810"/>
      <c r="I240" s="792" t="s">
        <v>99</v>
      </c>
      <c r="J240" s="790">
        <v>20</v>
      </c>
      <c r="K240" s="790">
        <v>100</v>
      </c>
      <c r="L240" s="790">
        <v>200</v>
      </c>
      <c r="M240" s="640" t="s">
        <v>92</v>
      </c>
      <c r="N240" s="641">
        <v>1</v>
      </c>
      <c r="O240" s="642"/>
      <c r="P240" s="643"/>
    </row>
    <row r="241" spans="1:19" ht="25.5" customHeight="1" x14ac:dyDescent="0.2">
      <c r="A241" s="809"/>
      <c r="B241" s="807"/>
      <c r="C241" s="281"/>
      <c r="D241" s="2495"/>
      <c r="E241" s="2030"/>
      <c r="F241" s="381"/>
      <c r="G241" s="811"/>
      <c r="H241" s="676"/>
      <c r="I241" s="793"/>
      <c r="J241" s="791"/>
      <c r="K241" s="791"/>
      <c r="L241" s="791"/>
      <c r="M241" s="359" t="s">
        <v>277</v>
      </c>
      <c r="N241" s="645"/>
      <c r="O241" s="757">
        <v>20</v>
      </c>
      <c r="P241" s="647">
        <v>100</v>
      </c>
      <c r="R241" s="43"/>
    </row>
    <row r="242" spans="1:19" ht="14.25" customHeight="1" thickBot="1" x14ac:dyDescent="0.25">
      <c r="A242" s="58"/>
      <c r="B242" s="193"/>
      <c r="C242" s="146"/>
      <c r="D242" s="1852"/>
      <c r="E242" s="286"/>
      <c r="F242" s="287"/>
      <c r="G242" s="146"/>
      <c r="H242" s="266"/>
      <c r="I242" s="111" t="s">
        <v>6</v>
      </c>
      <c r="J242" s="165">
        <f>SUM(J196:J241)</f>
        <v>4103.3</v>
      </c>
      <c r="K242" s="165">
        <f>SUM(K196:K241)</f>
        <v>3805.8</v>
      </c>
      <c r="L242" s="165">
        <f>SUM(L196:L241)</f>
        <v>3938.4</v>
      </c>
      <c r="M242" s="288"/>
      <c r="N242" s="279"/>
      <c r="O242" s="279"/>
      <c r="P242" s="280"/>
    </row>
    <row r="243" spans="1:19" ht="26.25" customHeight="1" x14ac:dyDescent="0.2">
      <c r="A243" s="194" t="s">
        <v>5</v>
      </c>
      <c r="B243" s="190" t="s">
        <v>33</v>
      </c>
      <c r="C243" s="172" t="s">
        <v>7</v>
      </c>
      <c r="D243" s="2494"/>
      <c r="E243" s="2418" t="s">
        <v>131</v>
      </c>
      <c r="F243" s="2122" t="s">
        <v>47</v>
      </c>
      <c r="G243" s="2124" t="s">
        <v>43</v>
      </c>
      <c r="H243" s="2526" t="s">
        <v>114</v>
      </c>
      <c r="I243" s="54" t="s">
        <v>25</v>
      </c>
      <c r="J243" s="54"/>
      <c r="K243" s="54">
        <v>111</v>
      </c>
      <c r="L243" s="54">
        <v>199.3</v>
      </c>
      <c r="M243" s="378" t="s">
        <v>139</v>
      </c>
      <c r="N243" s="161"/>
      <c r="O243" s="352">
        <v>1</v>
      </c>
      <c r="P243" s="353"/>
      <c r="R243" s="1154"/>
    </row>
    <row r="244" spans="1:19" ht="26.25" customHeight="1" x14ac:dyDescent="0.2">
      <c r="A244" s="377"/>
      <c r="B244" s="376"/>
      <c r="C244" s="172"/>
      <c r="D244" s="2494"/>
      <c r="E244" s="2040"/>
      <c r="F244" s="2122"/>
      <c r="G244" s="2124"/>
      <c r="H244" s="2527"/>
      <c r="I244" s="54" t="s">
        <v>60</v>
      </c>
      <c r="J244" s="54">
        <v>83.9</v>
      </c>
      <c r="K244" s="54"/>
      <c r="L244" s="54"/>
      <c r="M244" s="71" t="s">
        <v>209</v>
      </c>
      <c r="N244" s="22">
        <v>100</v>
      </c>
      <c r="O244" s="241"/>
      <c r="P244" s="23"/>
    </row>
    <row r="245" spans="1:19" ht="26.25" customHeight="1" x14ac:dyDescent="0.2">
      <c r="A245" s="761"/>
      <c r="B245" s="760"/>
      <c r="C245" s="172"/>
      <c r="D245" s="31"/>
      <c r="E245" s="2040"/>
      <c r="F245" s="2122"/>
      <c r="G245" s="2125"/>
      <c r="H245" s="2527"/>
      <c r="I245" s="769"/>
      <c r="J245" s="769"/>
      <c r="K245" s="769"/>
      <c r="L245" s="769"/>
      <c r="M245" s="766" t="s">
        <v>134</v>
      </c>
      <c r="N245" s="289"/>
      <c r="O245" s="782">
        <v>30</v>
      </c>
      <c r="P245" s="164">
        <v>100</v>
      </c>
      <c r="S245" s="43"/>
    </row>
    <row r="246" spans="1:19" ht="17.25" customHeight="1" thickBot="1" x14ac:dyDescent="0.25">
      <c r="A246" s="58"/>
      <c r="B246" s="193"/>
      <c r="C246" s="81"/>
      <c r="D246" s="1861"/>
      <c r="E246" s="2121"/>
      <c r="F246" s="2123"/>
      <c r="G246" s="2126"/>
      <c r="H246" s="2528"/>
      <c r="I246" s="111" t="s">
        <v>6</v>
      </c>
      <c r="J246" s="111">
        <f>SUM(J243:J244)</f>
        <v>83.9</v>
      </c>
      <c r="K246" s="111">
        <f>SUM(K243:K244)</f>
        <v>111</v>
      </c>
      <c r="L246" s="111">
        <f>SUM(L243:L244)</f>
        <v>199.3</v>
      </c>
      <c r="M246" s="607"/>
      <c r="N246" s="160"/>
      <c r="O246" s="490"/>
      <c r="P246" s="519"/>
    </row>
    <row r="247" spans="1:19" ht="14.25" customHeight="1" thickBot="1" x14ac:dyDescent="0.25">
      <c r="A247" s="58" t="s">
        <v>5</v>
      </c>
      <c r="B247" s="193" t="s">
        <v>33</v>
      </c>
      <c r="C247" s="2127" t="s">
        <v>8</v>
      </c>
      <c r="D247" s="2127"/>
      <c r="E247" s="2127"/>
      <c r="F247" s="2127"/>
      <c r="G247" s="2127"/>
      <c r="H247" s="2127"/>
      <c r="I247" s="2128"/>
      <c r="J247" s="468">
        <f>J246+J242</f>
        <v>4187.2</v>
      </c>
      <c r="K247" s="468">
        <f>K246+K242</f>
        <v>3916.8</v>
      </c>
      <c r="L247" s="468">
        <f>L246+L242</f>
        <v>4137.7</v>
      </c>
      <c r="M247" s="2218"/>
      <c r="N247" s="2218"/>
      <c r="O247" s="2218"/>
      <c r="P247" s="2219"/>
    </row>
    <row r="248" spans="1:19" ht="14.25" customHeight="1" thickBot="1" x14ac:dyDescent="0.25">
      <c r="A248" s="76" t="s">
        <v>5</v>
      </c>
      <c r="B248" s="2154" t="s">
        <v>9</v>
      </c>
      <c r="C248" s="2155"/>
      <c r="D248" s="2155"/>
      <c r="E248" s="2155"/>
      <c r="F248" s="2155"/>
      <c r="G248" s="2155"/>
      <c r="H248" s="2155"/>
      <c r="I248" s="2156"/>
      <c r="J248" s="115">
        <f>J247+J193+J144+J93</f>
        <v>29161.9</v>
      </c>
      <c r="K248" s="115">
        <f>K247+K193+K144+K93</f>
        <v>36788</v>
      </c>
      <c r="L248" s="115">
        <f>L247+L193+L144+L93</f>
        <v>28044.1</v>
      </c>
      <c r="M248" s="2157"/>
      <c r="N248" s="2157"/>
      <c r="O248" s="2157"/>
      <c r="P248" s="2158"/>
    </row>
    <row r="249" spans="1:19" ht="14.25" customHeight="1" thickBot="1" x14ac:dyDescent="0.25">
      <c r="A249" s="87" t="s">
        <v>35</v>
      </c>
      <c r="B249" s="2097" t="s">
        <v>57</v>
      </c>
      <c r="C249" s="2098"/>
      <c r="D249" s="2098"/>
      <c r="E249" s="2098"/>
      <c r="F249" s="2098"/>
      <c r="G249" s="2098"/>
      <c r="H249" s="2098"/>
      <c r="I249" s="2099"/>
      <c r="J249" s="116">
        <f>SUM(J248)</f>
        <v>29161.9</v>
      </c>
      <c r="K249" s="116">
        <f>SUM(K248)</f>
        <v>36788</v>
      </c>
      <c r="L249" s="116">
        <f t="shared" ref="L249" si="2">SUM(L248)</f>
        <v>28044.1</v>
      </c>
      <c r="M249" s="2119"/>
      <c r="N249" s="2119"/>
      <c r="O249" s="2119"/>
      <c r="P249" s="2120"/>
      <c r="R249" s="43"/>
    </row>
    <row r="250" spans="1:19" ht="14.25" customHeight="1" x14ac:dyDescent="0.2">
      <c r="A250" s="1081"/>
      <c r="B250" s="1082"/>
      <c r="C250" s="1082"/>
      <c r="D250" s="1862"/>
      <c r="E250" s="1082"/>
      <c r="F250" s="1082"/>
      <c r="G250" s="1082"/>
      <c r="H250" s="1082"/>
      <c r="I250" s="1082"/>
      <c r="J250" s="1081"/>
      <c r="K250" s="1081"/>
      <c r="L250" s="1081"/>
      <c r="M250" s="88"/>
      <c r="N250" s="88"/>
      <c r="O250" s="88"/>
      <c r="P250" s="88"/>
    </row>
    <row r="251" spans="1:19" s="4" customFormat="1" ht="12" customHeight="1" x14ac:dyDescent="0.2">
      <c r="A251" s="588"/>
      <c r="B251" s="535"/>
      <c r="C251" s="535"/>
      <c r="D251" s="1863"/>
      <c r="E251" s="535"/>
      <c r="F251" s="535"/>
      <c r="G251" s="535"/>
      <c r="H251" s="535"/>
      <c r="I251" s="535"/>
      <c r="J251" s="535"/>
      <c r="K251" s="535"/>
      <c r="L251" s="535"/>
      <c r="M251" s="535"/>
      <c r="N251" s="588"/>
      <c r="O251" s="588"/>
      <c r="P251" s="588"/>
    </row>
    <row r="252" spans="1:19" s="5" customFormat="1" ht="15" customHeight="1" thickBot="1" x14ac:dyDescent="0.25">
      <c r="A252" s="2090" t="s">
        <v>13</v>
      </c>
      <c r="B252" s="2090"/>
      <c r="C252" s="2090"/>
      <c r="D252" s="2090"/>
      <c r="E252" s="2090"/>
      <c r="F252" s="2090"/>
      <c r="G252" s="2090"/>
      <c r="H252" s="2090"/>
      <c r="I252" s="2090"/>
      <c r="J252" s="125"/>
      <c r="K252" s="125"/>
      <c r="L252" s="125"/>
      <c r="M252" s="88"/>
      <c r="N252" s="88"/>
      <c r="O252" s="88"/>
      <c r="P252" s="88"/>
    </row>
    <row r="253" spans="1:19" ht="62.25" customHeight="1" thickBot="1" x14ac:dyDescent="0.25">
      <c r="A253" s="2091" t="s">
        <v>10</v>
      </c>
      <c r="B253" s="2092"/>
      <c r="C253" s="2092"/>
      <c r="D253" s="2092"/>
      <c r="E253" s="2092"/>
      <c r="F253" s="2092"/>
      <c r="G253" s="2092"/>
      <c r="H253" s="2092"/>
      <c r="I253" s="2093"/>
      <c r="J253" s="547" t="s">
        <v>227</v>
      </c>
      <c r="K253" s="565" t="s">
        <v>158</v>
      </c>
      <c r="L253" s="565" t="s">
        <v>223</v>
      </c>
      <c r="M253" s="13"/>
      <c r="N253" s="13"/>
      <c r="O253" s="13"/>
      <c r="P253" s="13"/>
    </row>
    <row r="254" spans="1:19" ht="14.25" customHeight="1" x14ac:dyDescent="0.2">
      <c r="A254" s="2094" t="s">
        <v>14</v>
      </c>
      <c r="B254" s="2095"/>
      <c r="C254" s="2095"/>
      <c r="D254" s="2095"/>
      <c r="E254" s="2095"/>
      <c r="F254" s="2095"/>
      <c r="G254" s="2095"/>
      <c r="H254" s="2095"/>
      <c r="I254" s="2096"/>
      <c r="J254" s="548">
        <f t="shared" ref="J254" si="3">J255+J263+J264+J265+J262</f>
        <v>26454</v>
      </c>
      <c r="K254" s="548">
        <f>K255+K263+K264+K265+K262</f>
        <v>17557</v>
      </c>
      <c r="L254" s="786">
        <f t="shared" ref="L254" si="4">L255+L263+L264+L265+L262</f>
        <v>16365.4</v>
      </c>
      <c r="M254" s="13"/>
      <c r="N254" s="13"/>
      <c r="O254" s="13"/>
      <c r="P254" s="13"/>
      <c r="R254" s="1153" t="s">
        <v>361</v>
      </c>
    </row>
    <row r="255" spans="1:19" ht="14.25" customHeight="1" thickBot="1" x14ac:dyDescent="0.25">
      <c r="A255" s="2072" t="s">
        <v>91</v>
      </c>
      <c r="B255" s="2073"/>
      <c r="C255" s="2073"/>
      <c r="D255" s="2073"/>
      <c r="E255" s="2073"/>
      <c r="F255" s="2073"/>
      <c r="G255" s="2073"/>
      <c r="H255" s="2073"/>
      <c r="I255" s="2074"/>
      <c r="J255" s="549">
        <f>SUM(J256:J261)</f>
        <v>20917</v>
      </c>
      <c r="K255" s="549">
        <f t="shared" ref="K255:L255" si="5">SUM(K256:K261)</f>
        <v>12581.9</v>
      </c>
      <c r="L255" s="785">
        <f t="shared" si="5"/>
        <v>11484.2</v>
      </c>
      <c r="M255" s="13"/>
      <c r="N255" s="13"/>
      <c r="O255" s="13"/>
      <c r="P255" s="13"/>
      <c r="Q255" s="1">
        <v>2019</v>
      </c>
      <c r="R255" s="1">
        <v>2020</v>
      </c>
      <c r="S255" s="1">
        <v>2021</v>
      </c>
    </row>
    <row r="256" spans="1:19" ht="14.25" customHeight="1" thickBot="1" x14ac:dyDescent="0.25">
      <c r="A256" s="2075" t="s">
        <v>19</v>
      </c>
      <c r="B256" s="2076"/>
      <c r="C256" s="2076"/>
      <c r="D256" s="2076"/>
      <c r="E256" s="2076"/>
      <c r="F256" s="2076"/>
      <c r="G256" s="2076"/>
      <c r="H256" s="2076"/>
      <c r="I256" s="2077"/>
      <c r="J256" s="772">
        <f>SUMIF(I13:I249,"SB",J13:J249)</f>
        <v>8450</v>
      </c>
      <c r="K256" s="772">
        <f>SUMIF(I12:I249,"SB",K12:K249)</f>
        <v>10688.5</v>
      </c>
      <c r="L256" s="772">
        <f>SUMIF(I12:I249,"SB",L12:L249)</f>
        <v>9713.6</v>
      </c>
      <c r="M256" s="1152"/>
      <c r="N256" s="43"/>
      <c r="O256" s="13"/>
      <c r="P256" s="13"/>
      <c r="Q256" s="1155">
        <f>SUMIF(I95:I242,"SB(KPP)",J95:J242)</f>
        <v>1948.3</v>
      </c>
      <c r="R256" s="1155">
        <f>SUMIF(I95:I242,"SB(KPP)",K95:K242)</f>
        <v>1947.3</v>
      </c>
      <c r="S256" s="1155">
        <f>SUMIF(I95:I242,"SB(KPP)",L95:L242)</f>
        <v>1840.3</v>
      </c>
    </row>
    <row r="257" spans="1:16" ht="14.25" customHeight="1" x14ac:dyDescent="0.2">
      <c r="A257" s="2069" t="s">
        <v>20</v>
      </c>
      <c r="B257" s="2070"/>
      <c r="C257" s="2070"/>
      <c r="D257" s="2070"/>
      <c r="E257" s="2070"/>
      <c r="F257" s="2070"/>
      <c r="G257" s="2070"/>
      <c r="H257" s="2070"/>
      <c r="I257" s="2071"/>
      <c r="J257" s="49">
        <f>SUMIF(I48:I249,"SB(P)",J48:J249)</f>
        <v>0</v>
      </c>
      <c r="K257" s="49">
        <f>SUMIF(I48:I249,"SB(P)",K48:K249)</f>
        <v>0</v>
      </c>
      <c r="L257" s="49">
        <f>SUMIF(I48:I249,"SB(P)",L48:L249)</f>
        <v>0</v>
      </c>
      <c r="M257" s="894"/>
      <c r="N257" s="981"/>
      <c r="O257" s="13"/>
      <c r="P257" s="13"/>
    </row>
    <row r="258" spans="1:16" ht="14.25" customHeight="1" x14ac:dyDescent="0.2">
      <c r="A258" s="2069" t="s">
        <v>69</v>
      </c>
      <c r="B258" s="2070"/>
      <c r="C258" s="2070"/>
      <c r="D258" s="2070"/>
      <c r="E258" s="2070"/>
      <c r="F258" s="2070"/>
      <c r="G258" s="2070"/>
      <c r="H258" s="2070"/>
      <c r="I258" s="2071"/>
      <c r="J258" s="772">
        <f>SUMIF(I48:I249,"SB(VR)",J48:J249)</f>
        <v>1770.6</v>
      </c>
      <c r="K258" s="791">
        <f>SUMIF(I48:I249,"SB(VR)",K48:K249)</f>
        <v>1770.6</v>
      </c>
      <c r="L258" s="791">
        <f>SUMIF(I48:I249,"SB(VR)",L48:L249)</f>
        <v>1770.6</v>
      </c>
      <c r="M258" s="13"/>
      <c r="N258" s="13"/>
      <c r="O258" s="13"/>
      <c r="P258" s="13"/>
    </row>
    <row r="259" spans="1:16" ht="14.25" customHeight="1" x14ac:dyDescent="0.2">
      <c r="A259" s="2147" t="s">
        <v>152</v>
      </c>
      <c r="B259" s="2148"/>
      <c r="C259" s="2148"/>
      <c r="D259" s="2148"/>
      <c r="E259" s="2148"/>
      <c r="F259" s="2148"/>
      <c r="G259" s="2148"/>
      <c r="H259" s="2148"/>
      <c r="I259" s="2149"/>
      <c r="J259" s="49">
        <f>SUMIF(I13:I243,"SB(ES)",J13:J243)</f>
        <v>5830</v>
      </c>
      <c r="K259" s="49">
        <f>SUMIF(I13:I244,"SB(ES)",K13:K244)</f>
        <v>122.8</v>
      </c>
      <c r="L259" s="49">
        <f>SUMIF(I13:I243,"SB(ES)",L13:L243)</f>
        <v>0</v>
      </c>
      <c r="M259" s="13"/>
      <c r="N259" s="13"/>
      <c r="O259" s="13"/>
      <c r="P259" s="13"/>
    </row>
    <row r="260" spans="1:16" ht="14.25" customHeight="1" x14ac:dyDescent="0.2">
      <c r="A260" s="2147" t="s">
        <v>245</v>
      </c>
      <c r="B260" s="2148"/>
      <c r="C260" s="2148"/>
      <c r="D260" s="2148"/>
      <c r="E260" s="2148"/>
      <c r="F260" s="2148"/>
      <c r="G260" s="2148"/>
      <c r="H260" s="2148"/>
      <c r="I260" s="2149"/>
      <c r="J260" s="49">
        <f>SUMIF(I48:I244,"SB(VB)",J48:J244)</f>
        <v>0</v>
      </c>
      <c r="K260" s="49">
        <f>SUMIF(I48:I245,"SB(VB)",K48:K245)</f>
        <v>0</v>
      </c>
      <c r="L260" s="49">
        <f>SUMIF(I48:I244,"SB(VB)",L48:L244)</f>
        <v>0</v>
      </c>
      <c r="M260" s="13"/>
      <c r="N260" s="13"/>
      <c r="O260" s="13"/>
      <c r="P260" s="13"/>
    </row>
    <row r="261" spans="1:16" ht="15.75" customHeight="1" x14ac:dyDescent="0.2">
      <c r="A261" s="2081" t="s">
        <v>300</v>
      </c>
      <c r="B261" s="2082"/>
      <c r="C261" s="2082"/>
      <c r="D261" s="2082"/>
      <c r="E261" s="2082"/>
      <c r="F261" s="2082"/>
      <c r="G261" s="2082"/>
      <c r="H261" s="2082"/>
      <c r="I261" s="2083"/>
      <c r="J261" s="49">
        <f>SUMIF(I13:I249,"SB(KPP)",J13:J249)</f>
        <v>4866.3999999999996</v>
      </c>
      <c r="K261" s="49">
        <f>SUMIF(I48:I249,"SB(KP)",K48:K249)</f>
        <v>0</v>
      </c>
      <c r="L261" s="49">
        <f>SUMIF(I48:I249,"SB(KP)",L48:L249)</f>
        <v>0</v>
      </c>
      <c r="M261" s="13"/>
      <c r="N261" s="13"/>
      <c r="O261" s="13"/>
      <c r="P261" s="13"/>
    </row>
    <row r="262" spans="1:16" ht="15.75" customHeight="1" x14ac:dyDescent="0.2">
      <c r="A262" s="2084" t="s">
        <v>301</v>
      </c>
      <c r="B262" s="2085"/>
      <c r="C262" s="2085"/>
      <c r="D262" s="2085"/>
      <c r="E262" s="2085"/>
      <c r="F262" s="2085"/>
      <c r="G262" s="2085"/>
      <c r="H262" s="2085"/>
      <c r="I262" s="2086"/>
      <c r="J262" s="210">
        <f>SUMIF(I12:I249,"SB(KP)",J12:J249)</f>
        <v>0</v>
      </c>
      <c r="K262" s="210">
        <f>SUMIF(I10:I249,"SB(KPP)",K10:K249)</f>
        <v>4975.1000000000004</v>
      </c>
      <c r="L262" s="210">
        <f>SUMIF(I12:I249,"SB(KPP)",L12:L249)</f>
        <v>4881.2</v>
      </c>
      <c r="M262" s="13"/>
      <c r="N262" s="13"/>
      <c r="O262" s="13"/>
      <c r="P262" s="13"/>
    </row>
    <row r="263" spans="1:16" ht="14.25" customHeight="1" x14ac:dyDescent="0.2">
      <c r="A263" s="2087" t="s">
        <v>96</v>
      </c>
      <c r="B263" s="2088"/>
      <c r="C263" s="2088"/>
      <c r="D263" s="2088"/>
      <c r="E263" s="2088"/>
      <c r="F263" s="2088"/>
      <c r="G263" s="2088"/>
      <c r="H263" s="2088"/>
      <c r="I263" s="2089"/>
      <c r="J263" s="210">
        <f>SUMIF(I13:I248,"SB(VRL)",J13:J248)</f>
        <v>901</v>
      </c>
      <c r="K263" s="210">
        <f>SUMIF(I48:I248,"SB(VRL)",K48:K248)</f>
        <v>0</v>
      </c>
      <c r="L263" s="210">
        <f>SUMIF(I48:I248,"SB(VRL)",L48:L248)</f>
        <v>0</v>
      </c>
      <c r="M263" s="13"/>
      <c r="N263" s="13"/>
      <c r="O263" s="13"/>
      <c r="P263" s="13"/>
    </row>
    <row r="264" spans="1:16" ht="14.25" customHeight="1" x14ac:dyDescent="0.2">
      <c r="A264" s="2084" t="s">
        <v>97</v>
      </c>
      <c r="B264" s="2088"/>
      <c r="C264" s="2088"/>
      <c r="D264" s="2088"/>
      <c r="E264" s="2088"/>
      <c r="F264" s="2088"/>
      <c r="G264" s="2088"/>
      <c r="H264" s="2088"/>
      <c r="I264" s="2089"/>
      <c r="J264" s="210">
        <f>SUMIF(I13:I249,"SB(ŽPL)",J13:J249)</f>
        <v>480.6</v>
      </c>
      <c r="K264" s="210">
        <f>SUMIF(I13:I249,"SB(ŽPL)",K13:K249)</f>
        <v>0</v>
      </c>
      <c r="L264" s="210">
        <f>SUMIF(I13:I249,"SB(ŽPL)",L13:L249)</f>
        <v>0</v>
      </c>
      <c r="M264" s="13"/>
      <c r="N264" s="13"/>
      <c r="O264" s="13"/>
      <c r="P264" s="13"/>
    </row>
    <row r="265" spans="1:16" ht="14.25" customHeight="1" x14ac:dyDescent="0.2">
      <c r="A265" s="2141" t="s">
        <v>163</v>
      </c>
      <c r="B265" s="2142"/>
      <c r="C265" s="2142"/>
      <c r="D265" s="2142"/>
      <c r="E265" s="2142"/>
      <c r="F265" s="2142"/>
      <c r="G265" s="2142"/>
      <c r="H265" s="2142"/>
      <c r="I265" s="2143"/>
      <c r="J265" s="210">
        <f>SUMIF(I13:I249,"SB(L)",J13:J249)</f>
        <v>4155.3999999999996</v>
      </c>
      <c r="K265" s="210">
        <f>SUMIF(I13:I249,"SB(L)",K13:K249)</f>
        <v>0</v>
      </c>
      <c r="L265" s="210">
        <f>SUMIF(J13:J249,"SB(L)",L13:L249)</f>
        <v>0</v>
      </c>
      <c r="M265" s="13"/>
      <c r="N265" s="13"/>
      <c r="O265" s="13"/>
      <c r="P265" s="13"/>
    </row>
    <row r="266" spans="1:16" ht="14.25" customHeight="1" x14ac:dyDescent="0.2">
      <c r="A266" s="2144" t="s">
        <v>15</v>
      </c>
      <c r="B266" s="2145"/>
      <c r="C266" s="2145"/>
      <c r="D266" s="2145"/>
      <c r="E266" s="2145"/>
      <c r="F266" s="2145"/>
      <c r="G266" s="2145"/>
      <c r="H266" s="2145"/>
      <c r="I266" s="2146"/>
      <c r="J266" s="211">
        <f>J269+J270+J271+J267+J268</f>
        <v>2707.9</v>
      </c>
      <c r="K266" s="211">
        <f>K269+K270+K271+K267+K268</f>
        <v>19231</v>
      </c>
      <c r="L266" s="211">
        <f t="shared" ref="L266" si="6">L269+L270+L271+L267+L268</f>
        <v>11678.7</v>
      </c>
      <c r="M266" s="13"/>
      <c r="N266" s="13"/>
      <c r="O266" s="13"/>
      <c r="P266" s="13"/>
    </row>
    <row r="267" spans="1:16" ht="14.25" customHeight="1" x14ac:dyDescent="0.2">
      <c r="A267" s="2147" t="s">
        <v>21</v>
      </c>
      <c r="B267" s="2148"/>
      <c r="C267" s="2148"/>
      <c r="D267" s="2148"/>
      <c r="E267" s="2148"/>
      <c r="F267" s="2148"/>
      <c r="G267" s="2148"/>
      <c r="H267" s="2148"/>
      <c r="I267" s="2149"/>
      <c r="J267" s="49">
        <f>SUMIF(I13:I249,"ES",J13:J249)</f>
        <v>919.1</v>
      </c>
      <c r="K267" s="49">
        <f>SUMIF(I13:I249,"ES",K13:K249)</f>
        <v>2596</v>
      </c>
      <c r="L267" s="49">
        <f>SUMIF(I13:I249,"ES",L13:L249)</f>
        <v>2069.6</v>
      </c>
      <c r="M267" s="13"/>
      <c r="N267" s="13"/>
      <c r="O267" s="13"/>
      <c r="P267" s="13"/>
    </row>
    <row r="268" spans="1:16" ht="14.25" customHeight="1" x14ac:dyDescent="0.2">
      <c r="A268" s="2150" t="s">
        <v>299</v>
      </c>
      <c r="B268" s="2151"/>
      <c r="C268" s="2151"/>
      <c r="D268" s="2151"/>
      <c r="E268" s="2151"/>
      <c r="F268" s="2151"/>
      <c r="G268" s="2151"/>
      <c r="H268" s="2151"/>
      <c r="I268" s="2152"/>
      <c r="J268" s="550">
        <f>SUMIF(I12:I248,"KPP(VIP)",J12:J248)</f>
        <v>0</v>
      </c>
      <c r="K268" s="550">
        <f>SUMIF(I12:I248,"KPP(VIP)",K12:K248)</f>
        <v>10000</v>
      </c>
      <c r="L268" s="784">
        <f>SUMIF(I12:I248,"KPP(VIP)",L12:L248)</f>
        <v>0</v>
      </c>
      <c r="M268" s="13"/>
      <c r="N268" s="13"/>
      <c r="O268" s="13"/>
      <c r="P268" s="13"/>
    </row>
    <row r="269" spans="1:16" ht="14.25" customHeight="1" x14ac:dyDescent="0.2">
      <c r="A269" s="2150" t="s">
        <v>22</v>
      </c>
      <c r="B269" s="2151"/>
      <c r="C269" s="2151"/>
      <c r="D269" s="2151"/>
      <c r="E269" s="2151"/>
      <c r="F269" s="2151"/>
      <c r="G269" s="2151"/>
      <c r="H269" s="2151"/>
      <c r="I269" s="2152"/>
      <c r="J269" s="49">
        <f>SUMIF(I13:I249,"KVJUD",J13:J249)</f>
        <v>1662.4</v>
      </c>
      <c r="K269" s="49">
        <f>SUMIF(I13:I249,"KVJUD",K13:K249)</f>
        <v>1500</v>
      </c>
      <c r="L269" s="49">
        <f>SUMIF(I13:I249,"KVJUD",L13:L249)</f>
        <v>1000</v>
      </c>
      <c r="M269" s="43"/>
      <c r="N269" s="43"/>
      <c r="O269" s="43"/>
      <c r="P269" s="43"/>
    </row>
    <row r="270" spans="1:16" ht="14.25" customHeight="1" x14ac:dyDescent="0.2">
      <c r="A270" s="2069" t="s">
        <v>23</v>
      </c>
      <c r="B270" s="2070"/>
      <c r="C270" s="2070"/>
      <c r="D270" s="2070"/>
      <c r="E270" s="2070"/>
      <c r="F270" s="2070"/>
      <c r="G270" s="2070"/>
      <c r="H270" s="2070"/>
      <c r="I270" s="2071"/>
      <c r="J270" s="49">
        <f>SUMIF(I48:I249,"LRVB",J48:J249)</f>
        <v>0</v>
      </c>
      <c r="K270" s="49">
        <f>SUMIF(I13:I249,"LRVB",K13:K249)</f>
        <v>5000</v>
      </c>
      <c r="L270" s="49">
        <f>SUMIF(I13:I249,"LRVB",L13:L249)</f>
        <v>8609.1</v>
      </c>
      <c r="M270" s="43"/>
      <c r="N270" s="43"/>
      <c r="O270" s="43"/>
      <c r="P270" s="43"/>
    </row>
    <row r="271" spans="1:16" ht="14.25" customHeight="1" x14ac:dyDescent="0.2">
      <c r="A271" s="2129" t="s">
        <v>24</v>
      </c>
      <c r="B271" s="2130"/>
      <c r="C271" s="2130"/>
      <c r="D271" s="2130"/>
      <c r="E271" s="2130"/>
      <c r="F271" s="2130"/>
      <c r="G271" s="2130"/>
      <c r="H271" s="2130"/>
      <c r="I271" s="2131"/>
      <c r="J271" s="49">
        <f>SUMIF(I13:I249,"Kt",J13:J249)</f>
        <v>126.4</v>
      </c>
      <c r="K271" s="49">
        <f>SUMIF(I48:I249,"Kt",K48:K249)</f>
        <v>135</v>
      </c>
      <c r="L271" s="49">
        <f>SUMIF(I48:I249,"Kt",L48:L249)</f>
        <v>0</v>
      </c>
      <c r="M271" s="43"/>
      <c r="N271" s="43"/>
      <c r="O271" s="43"/>
      <c r="P271" s="43"/>
    </row>
    <row r="272" spans="1:16" ht="14.25" customHeight="1" thickBot="1" x14ac:dyDescent="0.25">
      <c r="A272" s="2132" t="s">
        <v>16</v>
      </c>
      <c r="B272" s="2133"/>
      <c r="C272" s="2133"/>
      <c r="D272" s="2133"/>
      <c r="E272" s="2133"/>
      <c r="F272" s="2133"/>
      <c r="G272" s="2133"/>
      <c r="H272" s="2133"/>
      <c r="I272" s="2134"/>
      <c r="J272" s="212">
        <f>SUM(J254,J266)</f>
        <v>29161.9</v>
      </c>
      <c r="K272" s="212">
        <f>SUM(K254,K266)</f>
        <v>36788</v>
      </c>
      <c r="L272" s="212">
        <f>SUM(L254,L266)</f>
        <v>28044.1</v>
      </c>
      <c r="M272" s="43"/>
      <c r="N272" s="43"/>
      <c r="O272" s="43"/>
      <c r="P272" s="43"/>
    </row>
    <row r="273" spans="9:13" x14ac:dyDescent="0.2">
      <c r="I273" s="521"/>
      <c r="J273" s="522"/>
      <c r="K273" s="522"/>
      <c r="L273" s="522"/>
      <c r="M273" s="4"/>
    </row>
    <row r="275" spans="9:13" x14ac:dyDescent="0.2">
      <c r="K275" s="13"/>
      <c r="L275" s="13"/>
    </row>
    <row r="276" spans="9:13" x14ac:dyDescent="0.2">
      <c r="J276" s="13"/>
    </row>
  </sheetData>
  <mergeCells count="330">
    <mergeCell ref="A176:A177"/>
    <mergeCell ref="F166:F168"/>
    <mergeCell ref="E119:E120"/>
    <mergeCell ref="B176:B177"/>
    <mergeCell ref="F169:F170"/>
    <mergeCell ref="E176:E178"/>
    <mergeCell ref="F171:F175"/>
    <mergeCell ref="C171:C175"/>
    <mergeCell ref="E166:E168"/>
    <mergeCell ref="C176:C177"/>
    <mergeCell ref="B136:B139"/>
    <mergeCell ref="E129:E131"/>
    <mergeCell ref="E133:E134"/>
    <mergeCell ref="D166:D168"/>
    <mergeCell ref="A119:A120"/>
    <mergeCell ref="A171:A175"/>
    <mergeCell ref="B171:B175"/>
    <mergeCell ref="A166:A168"/>
    <mergeCell ref="B166:B168"/>
    <mergeCell ref="A136:A139"/>
    <mergeCell ref="A140:A143"/>
    <mergeCell ref="B140:B143"/>
    <mergeCell ref="O159:O160"/>
    <mergeCell ref="H121:H122"/>
    <mergeCell ref="M153:M155"/>
    <mergeCell ref="G110:G111"/>
    <mergeCell ref="H112:H114"/>
    <mergeCell ref="G112:G114"/>
    <mergeCell ref="H129:H133"/>
    <mergeCell ref="H136:H139"/>
    <mergeCell ref="C145:P145"/>
    <mergeCell ref="H147:H154"/>
    <mergeCell ref="F147:F150"/>
    <mergeCell ref="M136:M138"/>
    <mergeCell ref="M144:P144"/>
    <mergeCell ref="N159:N160"/>
    <mergeCell ref="G136:G139"/>
    <mergeCell ref="P159:P160"/>
    <mergeCell ref="E121:E122"/>
    <mergeCell ref="M140:M142"/>
    <mergeCell ref="E125:E127"/>
    <mergeCell ref="C144:I144"/>
    <mergeCell ref="F112:F114"/>
    <mergeCell ref="D112:D114"/>
    <mergeCell ref="E110:E111"/>
    <mergeCell ref="C112:C114"/>
    <mergeCell ref="A112:A114"/>
    <mergeCell ref="B112:B114"/>
    <mergeCell ref="B119:B120"/>
    <mergeCell ref="E108:E109"/>
    <mergeCell ref="A9:P9"/>
    <mergeCell ref="M110:M111"/>
    <mergeCell ref="F110:F111"/>
    <mergeCell ref="C110:C111"/>
    <mergeCell ref="D110:D111"/>
    <mergeCell ref="C94:P94"/>
    <mergeCell ref="M103:M105"/>
    <mergeCell ref="A110:A111"/>
    <mergeCell ref="B110:B111"/>
    <mergeCell ref="P110:P111"/>
    <mergeCell ref="N110:N111"/>
    <mergeCell ref="O110:O111"/>
    <mergeCell ref="E112:E114"/>
    <mergeCell ref="A10:P10"/>
    <mergeCell ref="B11:P11"/>
    <mergeCell ref="C12:P12"/>
    <mergeCell ref="G119:G120"/>
    <mergeCell ref="C119:C120"/>
    <mergeCell ref="A14:A21"/>
    <mergeCell ref="B14:B21"/>
    <mergeCell ref="D179:D181"/>
    <mergeCell ref="H179:H181"/>
    <mergeCell ref="E179:E181"/>
    <mergeCell ref="G179:G181"/>
    <mergeCell ref="H196:H199"/>
    <mergeCell ref="F179:F181"/>
    <mergeCell ref="A182:A184"/>
    <mergeCell ref="B182:B184"/>
    <mergeCell ref="C182:C184"/>
    <mergeCell ref="D182:D184"/>
    <mergeCell ref="E182:E184"/>
    <mergeCell ref="F182:F184"/>
    <mergeCell ref="G182:G184"/>
    <mergeCell ref="H182:H184"/>
    <mergeCell ref="A185:A187"/>
    <mergeCell ref="B185:B187"/>
    <mergeCell ref="C185:C187"/>
    <mergeCell ref="D185:D187"/>
    <mergeCell ref="E185:E187"/>
    <mergeCell ref="F185:F187"/>
    <mergeCell ref="G185:G187"/>
    <mergeCell ref="H185:H187"/>
    <mergeCell ref="G218:G227"/>
    <mergeCell ref="D240:D241"/>
    <mergeCell ref="E240:E241"/>
    <mergeCell ref="D243:D244"/>
    <mergeCell ref="D234:D235"/>
    <mergeCell ref="A189:A191"/>
    <mergeCell ref="B189:B191"/>
    <mergeCell ref="C189:C191"/>
    <mergeCell ref="D189:D191"/>
    <mergeCell ref="E189:E191"/>
    <mergeCell ref="F189:F191"/>
    <mergeCell ref="E212:E215"/>
    <mergeCell ref="E216:E217"/>
    <mergeCell ref="F243:F246"/>
    <mergeCell ref="F237:F239"/>
    <mergeCell ref="G237:G239"/>
    <mergeCell ref="F218:F227"/>
    <mergeCell ref="E228:E229"/>
    <mergeCell ref="A216:A217"/>
    <mergeCell ref="B216:B217"/>
    <mergeCell ref="C216:C217"/>
    <mergeCell ref="D197:D203"/>
    <mergeCell ref="M1:P1"/>
    <mergeCell ref="A2:P2"/>
    <mergeCell ref="A6:A8"/>
    <mergeCell ref="B6:B8"/>
    <mergeCell ref="C6:C8"/>
    <mergeCell ref="D6:D8"/>
    <mergeCell ref="E6:E8"/>
    <mergeCell ref="F6:F8"/>
    <mergeCell ref="G6:G8"/>
    <mergeCell ref="H6:H8"/>
    <mergeCell ref="I6:I8"/>
    <mergeCell ref="J6:J8"/>
    <mergeCell ref="L6:L8"/>
    <mergeCell ref="M6:P6"/>
    <mergeCell ref="A3:P3"/>
    <mergeCell ref="M5:P5"/>
    <mergeCell ref="M7:M8"/>
    <mergeCell ref="A4:P4"/>
    <mergeCell ref="K6:K8"/>
    <mergeCell ref="N7:P7"/>
    <mergeCell ref="C14:C21"/>
    <mergeCell ref="E81:E82"/>
    <mergeCell ref="M177:M178"/>
    <mergeCell ref="H171:H175"/>
    <mergeCell ref="H176:H177"/>
    <mergeCell ref="E169:E170"/>
    <mergeCell ref="F176:F178"/>
    <mergeCell ref="E171:E175"/>
    <mergeCell ref="F119:F120"/>
    <mergeCell ref="F125:F127"/>
    <mergeCell ref="H125:H127"/>
    <mergeCell ref="E163:E164"/>
    <mergeCell ref="G83:G84"/>
    <mergeCell ref="E159:E161"/>
    <mergeCell ref="E147:E154"/>
    <mergeCell ref="E83:E84"/>
    <mergeCell ref="E89:E91"/>
    <mergeCell ref="M163:M164"/>
    <mergeCell ref="D83:D84"/>
    <mergeCell ref="H96:H100"/>
    <mergeCell ref="C93:I93"/>
    <mergeCell ref="E97:E100"/>
    <mergeCell ref="H166:H168"/>
    <mergeCell ref="E136:E138"/>
    <mergeCell ref="H159:H160"/>
    <mergeCell ref="D136:D139"/>
    <mergeCell ref="C136:C139"/>
    <mergeCell ref="H163:H164"/>
    <mergeCell ref="G166:G168"/>
    <mergeCell ref="E87:E88"/>
    <mergeCell ref="F87:F88"/>
    <mergeCell ref="C140:C143"/>
    <mergeCell ref="D140:D143"/>
    <mergeCell ref="E140:E142"/>
    <mergeCell ref="G140:G143"/>
    <mergeCell ref="H140:H143"/>
    <mergeCell ref="D119:D120"/>
    <mergeCell ref="A272:I272"/>
    <mergeCell ref="A271:I271"/>
    <mergeCell ref="A257:I257"/>
    <mergeCell ref="A270:I270"/>
    <mergeCell ref="A265:I265"/>
    <mergeCell ref="A263:I263"/>
    <mergeCell ref="A269:I269"/>
    <mergeCell ref="A266:I266"/>
    <mergeCell ref="A267:I267"/>
    <mergeCell ref="A264:I264"/>
    <mergeCell ref="A259:I259"/>
    <mergeCell ref="A260:I260"/>
    <mergeCell ref="A268:I268"/>
    <mergeCell ref="A262:I262"/>
    <mergeCell ref="A261:I261"/>
    <mergeCell ref="A258:I258"/>
    <mergeCell ref="A252:I252"/>
    <mergeCell ref="D218:D227"/>
    <mergeCell ref="A256:I256"/>
    <mergeCell ref="A255:I255"/>
    <mergeCell ref="M216:M217"/>
    <mergeCell ref="A218:A227"/>
    <mergeCell ref="B249:I249"/>
    <mergeCell ref="H243:H246"/>
    <mergeCell ref="E243:E246"/>
    <mergeCell ref="C247:I247"/>
    <mergeCell ref="G243:G246"/>
    <mergeCell ref="A253:I253"/>
    <mergeCell ref="B218:B227"/>
    <mergeCell ref="E230:E233"/>
    <mergeCell ref="M228:M229"/>
    <mergeCell ref="M219:M220"/>
    <mergeCell ref="M249:P249"/>
    <mergeCell ref="M247:P247"/>
    <mergeCell ref="M248:P248"/>
    <mergeCell ref="E218:E221"/>
    <mergeCell ref="B248:I248"/>
    <mergeCell ref="M224:M225"/>
    <mergeCell ref="C218:C227"/>
    <mergeCell ref="E234:E235"/>
    <mergeCell ref="M108:M109"/>
    <mergeCell ref="M89:M91"/>
    <mergeCell ref="E103:E105"/>
    <mergeCell ref="M99:M100"/>
    <mergeCell ref="E85:E86"/>
    <mergeCell ref="F85:F86"/>
    <mergeCell ref="G85:G86"/>
    <mergeCell ref="H85:H86"/>
    <mergeCell ref="A254:I254"/>
    <mergeCell ref="M159:M160"/>
    <mergeCell ref="D85:D86"/>
    <mergeCell ref="C166:C168"/>
    <mergeCell ref="M193:P193"/>
    <mergeCell ref="M189:M190"/>
    <mergeCell ref="A179:A181"/>
    <mergeCell ref="D205:D209"/>
    <mergeCell ref="D210:D211"/>
    <mergeCell ref="E210:E211"/>
    <mergeCell ref="C193:I193"/>
    <mergeCell ref="G189:G191"/>
    <mergeCell ref="H189:H191"/>
    <mergeCell ref="C179:C181"/>
    <mergeCell ref="B179:B181"/>
    <mergeCell ref="C194:P194"/>
    <mergeCell ref="A29:A33"/>
    <mergeCell ref="B29:B33"/>
    <mergeCell ref="C29:C33"/>
    <mergeCell ref="D29:D33"/>
    <mergeCell ref="E29:E33"/>
    <mergeCell ref="G29:G33"/>
    <mergeCell ref="A34:A38"/>
    <mergeCell ref="B34:B38"/>
    <mergeCell ref="C34:C38"/>
    <mergeCell ref="E34:E38"/>
    <mergeCell ref="G34:G38"/>
    <mergeCell ref="E14:E16"/>
    <mergeCell ref="F14:F21"/>
    <mergeCell ref="G14:G21"/>
    <mergeCell ref="H14:H20"/>
    <mergeCell ref="M14:M15"/>
    <mergeCell ref="D64:D68"/>
    <mergeCell ref="E64:E68"/>
    <mergeCell ref="G64:G68"/>
    <mergeCell ref="H64:H68"/>
    <mergeCell ref="D22:D24"/>
    <mergeCell ref="E22:E24"/>
    <mergeCell ref="F22:F24"/>
    <mergeCell ref="G22:G24"/>
    <mergeCell ref="M22:M23"/>
    <mergeCell ref="E25:E28"/>
    <mergeCell ref="M25:M26"/>
    <mergeCell ref="F26:F28"/>
    <mergeCell ref="H22:H28"/>
    <mergeCell ref="M34:M35"/>
    <mergeCell ref="F53:F55"/>
    <mergeCell ref="H34:H38"/>
    <mergeCell ref="D14:D21"/>
    <mergeCell ref="E39:E42"/>
    <mergeCell ref="F39:F41"/>
    <mergeCell ref="E74:E75"/>
    <mergeCell ref="F74:F75"/>
    <mergeCell ref="B48:B52"/>
    <mergeCell ref="D48:D52"/>
    <mergeCell ref="E48:E52"/>
    <mergeCell ref="G48:G52"/>
    <mergeCell ref="M50:M51"/>
    <mergeCell ref="E53:E55"/>
    <mergeCell ref="H53:H55"/>
    <mergeCell ref="M53:M54"/>
    <mergeCell ref="H48:H52"/>
    <mergeCell ref="F48:F50"/>
    <mergeCell ref="E69:E71"/>
    <mergeCell ref="F69:F71"/>
    <mergeCell ref="H69:H71"/>
    <mergeCell ref="G74:G75"/>
    <mergeCell ref="H74:H75"/>
    <mergeCell ref="E59:E60"/>
    <mergeCell ref="H59:H60"/>
    <mergeCell ref="M59:M60"/>
    <mergeCell ref="A61:A63"/>
    <mergeCell ref="B61:B63"/>
    <mergeCell ref="C61:C63"/>
    <mergeCell ref="D61:D63"/>
    <mergeCell ref="E61:E63"/>
    <mergeCell ref="G61:G63"/>
    <mergeCell ref="M61:M62"/>
    <mergeCell ref="E79:E80"/>
    <mergeCell ref="O79:O80"/>
    <mergeCell ref="A76:A78"/>
    <mergeCell ref="B76:B78"/>
    <mergeCell ref="C76:C78"/>
    <mergeCell ref="D76:D78"/>
    <mergeCell ref="E76:E78"/>
    <mergeCell ref="F76:F78"/>
    <mergeCell ref="G76:G78"/>
    <mergeCell ref="H76:H78"/>
    <mergeCell ref="M77:M78"/>
    <mergeCell ref="D72:D73"/>
    <mergeCell ref="E72:E73"/>
    <mergeCell ref="F72:F73"/>
    <mergeCell ref="G72:G73"/>
    <mergeCell ref="M72:M73"/>
    <mergeCell ref="D74:D75"/>
    <mergeCell ref="M40:M41"/>
    <mergeCell ref="E43:E45"/>
    <mergeCell ref="H43:H45"/>
    <mergeCell ref="M43:M44"/>
    <mergeCell ref="F44:F45"/>
    <mergeCell ref="E46:E47"/>
    <mergeCell ref="C43:C47"/>
    <mergeCell ref="A56:A58"/>
    <mergeCell ref="B56:B58"/>
    <mergeCell ref="D56:D58"/>
    <mergeCell ref="E56:E58"/>
    <mergeCell ref="F56:F58"/>
    <mergeCell ref="G56:G58"/>
    <mergeCell ref="M56:M57"/>
    <mergeCell ref="C48:C58"/>
    <mergeCell ref="A48:A52"/>
  </mergeCells>
  <phoneticPr fontId="12" type="noConversion"/>
  <printOptions horizontalCentered="1"/>
  <pageMargins left="0.59055118110236227" right="0.19685039370078741" top="0.59055118110236227" bottom="0.39370078740157483" header="0" footer="0"/>
  <pageSetup paperSize="9" scale="62" orientation="portrait" r:id="rId1"/>
  <headerFooter alignWithMargins="0"/>
  <rowBreaks count="3" manualBreakCount="3">
    <brk id="63" max="15" man="1"/>
    <brk id="124" max="15" man="1"/>
    <brk id="188"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6 programa</vt:lpstr>
      <vt:lpstr>Lyginamoji lentelė</vt:lpstr>
      <vt:lpstr>aiškinamoji lentelė </vt:lpstr>
      <vt:lpstr>'6 programa'!Print_Area</vt:lpstr>
      <vt:lpstr>'aiškinamoji lentelė '!Print_Area</vt:lpstr>
      <vt:lpstr>'Lyginamoji lentelė'!Print_Area</vt:lpstr>
      <vt:lpstr>'6 programa'!Print_Titles</vt:lpstr>
      <vt:lpstr>'aiškinamoji lentelė '!Print_Titles</vt:lpstr>
      <vt:lpstr>'Lyginamoji lentelė'!Print_Titles</vt:lpstr>
    </vt:vector>
  </TitlesOfParts>
  <Company>valdyba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Deimante Buteniene</cp:lastModifiedBy>
  <cp:lastPrinted>2019-07-04T12:47:29Z</cp:lastPrinted>
  <dcterms:created xsi:type="dcterms:W3CDTF">2007-07-27T10:32:34Z</dcterms:created>
  <dcterms:modified xsi:type="dcterms:W3CDTF">2019-07-08T08:14:58Z</dcterms:modified>
</cp:coreProperties>
</file>