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paliunaite\Desktop\sprendimų projektai (virga)\T1-261\"/>
    </mc:Choice>
  </mc:AlternateContent>
  <bookViews>
    <workbookView xWindow="480" yWindow="1095" windowWidth="19440" windowHeight="10740" activeTab="4"/>
  </bookViews>
  <sheets>
    <sheet name="1 pr. pajamos " sheetId="9" r:id="rId1"/>
    <sheet name="1 pr. asignavimai" sheetId="10" r:id="rId2"/>
    <sheet name="2 pr." sheetId="5" r:id="rId3"/>
    <sheet name="3 pr." sheetId="14" r:id="rId4"/>
    <sheet name="4 pr." sheetId="16" r:id="rId5"/>
  </sheets>
  <definedNames>
    <definedName name="_xlnm._FilterDatabase" localSheetId="1" hidden="1">'1 pr. asignavimai'!$B$3:$B$7</definedName>
    <definedName name="_xlnm._FilterDatabase" localSheetId="2" hidden="1">'2 pr.'!$C$1:$C$57</definedName>
    <definedName name="_xlnm._FilterDatabase" localSheetId="3" hidden="1">'3 pr.'!$B$1:$B$118</definedName>
    <definedName name="_xlnm.Print_Titles" localSheetId="1">'1 pr. asignavimai'!$3:$7</definedName>
    <definedName name="_xlnm.Print_Titles" localSheetId="0">'1 pr. pajamos '!$8:$9</definedName>
    <definedName name="_xlnm.Print_Titles" localSheetId="2">'2 pr.'!$5:$9</definedName>
    <definedName name="_xlnm.Print_Titles" localSheetId="3">'3 pr.'!$5:$9</definedName>
    <definedName name="_xlnm.Print_Titles" localSheetId="4">'4 pr.'!$5:$7</definedName>
  </definedNames>
  <calcPr calcId="162913" fullPrecision="0"/>
</workbook>
</file>

<file path=xl/calcChain.xml><?xml version="1.0" encoding="utf-8"?>
<calcChain xmlns="http://schemas.openxmlformats.org/spreadsheetml/2006/main">
  <c r="H102" i="10" l="1"/>
  <c r="L102" i="10"/>
  <c r="H88" i="10"/>
  <c r="L88" i="10"/>
  <c r="I18" i="10"/>
  <c r="L109" i="14" l="1"/>
  <c r="K109" i="14"/>
  <c r="J109" i="14"/>
  <c r="I109" i="14"/>
  <c r="J74" i="14"/>
  <c r="I74" i="14"/>
  <c r="H22" i="14"/>
  <c r="G22" i="14"/>
  <c r="J24" i="14"/>
  <c r="I24" i="14"/>
  <c r="J128" i="10"/>
  <c r="K33" i="5" s="1"/>
  <c r="I128" i="10"/>
  <c r="H53" i="5"/>
  <c r="I53" i="5"/>
  <c r="J53" i="5"/>
  <c r="K53" i="5"/>
  <c r="L53" i="5"/>
  <c r="M53" i="5"/>
  <c r="I54" i="5"/>
  <c r="J54" i="5"/>
  <c r="K54" i="5"/>
  <c r="L54" i="5"/>
  <c r="M54" i="5"/>
  <c r="J50" i="5"/>
  <c r="K50" i="5"/>
  <c r="L50" i="5"/>
  <c r="M50" i="5"/>
  <c r="H42" i="5"/>
  <c r="I42" i="5"/>
  <c r="J42" i="5"/>
  <c r="K42" i="5"/>
  <c r="L42" i="5"/>
  <c r="M42" i="5"/>
  <c r="H44" i="5"/>
  <c r="I44" i="5"/>
  <c r="J44" i="5"/>
  <c r="K44" i="5"/>
  <c r="L44" i="5"/>
  <c r="M44" i="5"/>
  <c r="H46" i="5"/>
  <c r="I46" i="5"/>
  <c r="J46" i="5"/>
  <c r="K46" i="5"/>
  <c r="L46" i="5"/>
  <c r="M46" i="5"/>
  <c r="H37" i="5"/>
  <c r="I37" i="5"/>
  <c r="J37" i="5"/>
  <c r="K37" i="5"/>
  <c r="L37" i="5"/>
  <c r="M37" i="5"/>
  <c r="H36" i="5"/>
  <c r="I36" i="5"/>
  <c r="J36" i="5"/>
  <c r="K36" i="5"/>
  <c r="L36" i="5"/>
  <c r="M36" i="5"/>
  <c r="I34" i="5"/>
  <c r="J34" i="5"/>
  <c r="K34" i="5"/>
  <c r="L34" i="5"/>
  <c r="M34" i="5"/>
  <c r="H24" i="5"/>
  <c r="I24" i="5"/>
  <c r="J24" i="5"/>
  <c r="K24" i="5"/>
  <c r="L24" i="5"/>
  <c r="M24" i="5"/>
  <c r="I28" i="5"/>
  <c r="J28" i="5"/>
  <c r="K28" i="5"/>
  <c r="L28" i="5"/>
  <c r="M28" i="5"/>
  <c r="H20" i="5"/>
  <c r="I20" i="5"/>
  <c r="J20" i="5"/>
  <c r="K20" i="5"/>
  <c r="L20" i="5"/>
  <c r="M20" i="5"/>
  <c r="H19" i="5"/>
  <c r="I19" i="5"/>
  <c r="J19" i="5"/>
  <c r="K19" i="5"/>
  <c r="L19" i="5"/>
  <c r="M19" i="5"/>
  <c r="H11" i="5"/>
  <c r="I11" i="5"/>
  <c r="J11" i="5"/>
  <c r="K11" i="5"/>
  <c r="L11" i="5"/>
  <c r="M11" i="5"/>
  <c r="H12" i="5"/>
  <c r="I12" i="5"/>
  <c r="J12" i="5"/>
  <c r="K12" i="5"/>
  <c r="L12" i="5"/>
  <c r="M12" i="5"/>
  <c r="I142" i="10"/>
  <c r="J45" i="5" s="1"/>
  <c r="J142" i="10"/>
  <c r="K45" i="5" s="1"/>
  <c r="L145" i="10"/>
  <c r="H145" i="10" s="1"/>
  <c r="K145" i="10"/>
  <c r="G145" i="10" s="1"/>
  <c r="L144" i="10"/>
  <c r="H144" i="10" s="1"/>
  <c r="K144" i="10"/>
  <c r="J20" i="14"/>
  <c r="J17" i="14" s="1"/>
  <c r="I20" i="14"/>
  <c r="I17" i="14" s="1"/>
  <c r="L20" i="14"/>
  <c r="H20" i="14" s="1"/>
  <c r="K20" i="14"/>
  <c r="K17" i="14" s="1"/>
  <c r="L135" i="10"/>
  <c r="H135" i="10" s="1"/>
  <c r="K135" i="10"/>
  <c r="G135" i="10" s="1"/>
  <c r="J135" i="10"/>
  <c r="J132" i="10" s="1"/>
  <c r="K40" i="5" s="1"/>
  <c r="I135" i="10"/>
  <c r="I132" i="10" s="1"/>
  <c r="J40" i="5" s="1"/>
  <c r="H111" i="14"/>
  <c r="H109" i="14" s="1"/>
  <c r="G111" i="14"/>
  <c r="G109" i="14" s="1"/>
  <c r="L134" i="10"/>
  <c r="H134" i="10" s="1"/>
  <c r="K134" i="10"/>
  <c r="H140" i="10"/>
  <c r="G140" i="10"/>
  <c r="L136" i="10"/>
  <c r="H136" i="10" s="1"/>
  <c r="K136" i="10"/>
  <c r="G136" i="10" s="1"/>
  <c r="G18" i="14"/>
  <c r="H18" i="14"/>
  <c r="H131" i="10"/>
  <c r="K131" i="10"/>
  <c r="G131" i="10" s="1"/>
  <c r="L60" i="14"/>
  <c r="L59" i="14" s="1"/>
  <c r="K60" i="14"/>
  <c r="K59" i="14" s="1"/>
  <c r="J60" i="14"/>
  <c r="J59" i="14" s="1"/>
  <c r="I60" i="14"/>
  <c r="I59" i="14" s="1"/>
  <c r="H60" i="14"/>
  <c r="H59" i="14" s="1"/>
  <c r="G60" i="14"/>
  <c r="G59" i="14" s="1"/>
  <c r="L130" i="10"/>
  <c r="L128" i="10" s="1"/>
  <c r="K130" i="10"/>
  <c r="L17" i="14" l="1"/>
  <c r="K132" i="10"/>
  <c r="H142" i="10"/>
  <c r="I45" i="5" s="1"/>
  <c r="K128" i="10"/>
  <c r="L33" i="5" s="1"/>
  <c r="K142" i="10"/>
  <c r="L45" i="5" s="1"/>
  <c r="H130" i="10"/>
  <c r="H128" i="10" s="1"/>
  <c r="I33" i="5" s="1"/>
  <c r="L40" i="5"/>
  <c r="H132" i="10"/>
  <c r="M33" i="5"/>
  <c r="L132" i="10"/>
  <c r="M40" i="5" s="1"/>
  <c r="L142" i="10"/>
  <c r="M45" i="5" s="1"/>
  <c r="I127" i="10"/>
  <c r="G134" i="10"/>
  <c r="G132" i="10" s="1"/>
  <c r="H40" i="5" s="1"/>
  <c r="J127" i="10"/>
  <c r="G144" i="10"/>
  <c r="G142" i="10" s="1"/>
  <c r="H45" i="5" s="1"/>
  <c r="G130" i="10"/>
  <c r="G128" i="10" s="1"/>
  <c r="G20" i="14"/>
  <c r="G17" i="14" s="1"/>
  <c r="H17" i="14"/>
  <c r="J33" i="5"/>
  <c r="L113" i="14"/>
  <c r="K113" i="14"/>
  <c r="J113" i="14"/>
  <c r="I113" i="14"/>
  <c r="H113" i="14"/>
  <c r="G113" i="14"/>
  <c r="H27" i="14"/>
  <c r="G27" i="14"/>
  <c r="J164" i="10"/>
  <c r="I164" i="10"/>
  <c r="H164" i="10"/>
  <c r="G164" i="10"/>
  <c r="H40" i="14"/>
  <c r="H39" i="14" s="1"/>
  <c r="I40" i="14"/>
  <c r="I39" i="14" s="1"/>
  <c r="J40" i="14"/>
  <c r="J39" i="14" s="1"/>
  <c r="K40" i="14"/>
  <c r="K39" i="14" s="1"/>
  <c r="L40" i="14"/>
  <c r="L39" i="14" s="1"/>
  <c r="G40" i="14"/>
  <c r="G39" i="14"/>
  <c r="L163" i="10"/>
  <c r="H163" i="10" s="1"/>
  <c r="K163" i="10"/>
  <c r="G168" i="10"/>
  <c r="H168" i="10"/>
  <c r="I168" i="10"/>
  <c r="J168" i="10"/>
  <c r="K168" i="10"/>
  <c r="L168" i="10"/>
  <c r="H165" i="10"/>
  <c r="K165" i="10"/>
  <c r="G165" i="10" s="1"/>
  <c r="I161" i="10" l="1"/>
  <c r="J55" i="5" s="1"/>
  <c r="J56" i="5" s="1"/>
  <c r="K127" i="10"/>
  <c r="K161" i="10"/>
  <c r="L55" i="5" s="1"/>
  <c r="L56" i="5" s="1"/>
  <c r="H127" i="10"/>
  <c r="J161" i="10"/>
  <c r="K55" i="5" s="1"/>
  <c r="K56" i="5" s="1"/>
  <c r="H161" i="10"/>
  <c r="I55" i="5" s="1"/>
  <c r="I56" i="5" s="1"/>
  <c r="L161" i="10"/>
  <c r="M55" i="5" s="1"/>
  <c r="M56" i="5" s="1"/>
  <c r="I40" i="5"/>
  <c r="L127" i="10"/>
  <c r="G163" i="10"/>
  <c r="G161" i="10" s="1"/>
  <c r="H55" i="5" s="1"/>
  <c r="G127" i="10"/>
  <c r="H33" i="5"/>
  <c r="H151" i="10"/>
  <c r="K151" i="10"/>
  <c r="L25" i="14"/>
  <c r="L24" i="14" s="1"/>
  <c r="K25" i="14"/>
  <c r="K24" i="14" s="1"/>
  <c r="J150" i="10"/>
  <c r="I150" i="10"/>
  <c r="L150" i="10"/>
  <c r="H150" i="10" s="1"/>
  <c r="K150" i="10"/>
  <c r="G150" i="10" s="1"/>
  <c r="L149" i="10"/>
  <c r="H149" i="10" s="1"/>
  <c r="K149" i="10"/>
  <c r="G149" i="10" s="1"/>
  <c r="L153" i="10"/>
  <c r="K153" i="10"/>
  <c r="J153" i="10"/>
  <c r="I153" i="10"/>
  <c r="H153" i="10"/>
  <c r="G153" i="10"/>
  <c r="L66" i="14"/>
  <c r="K66" i="14"/>
  <c r="J66" i="14"/>
  <c r="I66" i="14"/>
  <c r="G66" i="14"/>
  <c r="H67" i="14"/>
  <c r="H66" i="14" s="1"/>
  <c r="G67" i="14"/>
  <c r="J152" i="10"/>
  <c r="I152" i="10"/>
  <c r="L152" i="10"/>
  <c r="H152" i="10" s="1"/>
  <c r="K152" i="10"/>
  <c r="G152" i="10" s="1"/>
  <c r="J95" i="14"/>
  <c r="I95" i="14"/>
  <c r="G119" i="10"/>
  <c r="H34" i="5" s="1"/>
  <c r="J120" i="10"/>
  <c r="K39" i="5" s="1"/>
  <c r="I120" i="10"/>
  <c r="J39" i="5" s="1"/>
  <c r="H126" i="10"/>
  <c r="I50" i="5" s="1"/>
  <c r="G126" i="10"/>
  <c r="H50" i="5" s="1"/>
  <c r="L122" i="10"/>
  <c r="H122" i="10" s="1"/>
  <c r="H120" i="10" s="1"/>
  <c r="I39" i="5" s="1"/>
  <c r="K122" i="10"/>
  <c r="G122" i="10" s="1"/>
  <c r="G120" i="10" s="1"/>
  <c r="H39" i="5" s="1"/>
  <c r="J115" i="10"/>
  <c r="K30" i="5" s="1"/>
  <c r="I115" i="10"/>
  <c r="J30" i="5" s="1"/>
  <c r="J49" i="14"/>
  <c r="J48" i="14" s="1"/>
  <c r="I49" i="14"/>
  <c r="I48" i="14"/>
  <c r="L45" i="14"/>
  <c r="K45" i="14"/>
  <c r="J45" i="14"/>
  <c r="I45" i="14"/>
  <c r="H45" i="14"/>
  <c r="G45" i="14"/>
  <c r="L43" i="14"/>
  <c r="L42" i="14" s="1"/>
  <c r="K43" i="14"/>
  <c r="J43" i="14"/>
  <c r="I43" i="14"/>
  <c r="H43" i="14"/>
  <c r="H42" i="14" s="1"/>
  <c r="G43" i="14"/>
  <c r="L37" i="14"/>
  <c r="K37" i="14"/>
  <c r="J37" i="14"/>
  <c r="I37" i="14"/>
  <c r="H37" i="14"/>
  <c r="G37" i="14"/>
  <c r="L15" i="14"/>
  <c r="K15" i="14"/>
  <c r="J15" i="14"/>
  <c r="I15" i="14"/>
  <c r="H15" i="14"/>
  <c r="H16" i="14"/>
  <c r="G16" i="14"/>
  <c r="G15" i="14" s="1"/>
  <c r="H118" i="10"/>
  <c r="G118" i="10"/>
  <c r="L117" i="10"/>
  <c r="L115" i="10" s="1"/>
  <c r="M30" i="5" s="1"/>
  <c r="K117" i="10"/>
  <c r="G117" i="10" s="1"/>
  <c r="J111" i="10"/>
  <c r="K26" i="5" s="1"/>
  <c r="I111" i="10"/>
  <c r="J26" i="5" s="1"/>
  <c r="L50" i="14"/>
  <c r="H50" i="14" s="1"/>
  <c r="H49" i="14" s="1"/>
  <c r="H48" i="14" s="1"/>
  <c r="K50" i="14"/>
  <c r="K49" i="14" s="1"/>
  <c r="K48" i="14" s="1"/>
  <c r="L113" i="10"/>
  <c r="H113" i="10" s="1"/>
  <c r="H111" i="10" s="1"/>
  <c r="I26" i="5" s="1"/>
  <c r="K113" i="10"/>
  <c r="G113" i="10" s="1"/>
  <c r="G111" i="10" s="1"/>
  <c r="H26" i="5" s="1"/>
  <c r="L96" i="14"/>
  <c r="L95" i="14" s="1"/>
  <c r="K96" i="14"/>
  <c r="K95" i="14" s="1"/>
  <c r="L105" i="10"/>
  <c r="K105" i="10"/>
  <c r="J105" i="10"/>
  <c r="I105" i="10"/>
  <c r="H107" i="10"/>
  <c r="H105" i="10" s="1"/>
  <c r="G107" i="10"/>
  <c r="G105" i="10" s="1"/>
  <c r="D110" i="10"/>
  <c r="G25" i="14" l="1"/>
  <c r="G24" i="14" s="1"/>
  <c r="H25" i="14"/>
  <c r="H24" i="14" s="1"/>
  <c r="G96" i="14"/>
  <c r="G95" i="14" s="1"/>
  <c r="H96" i="14"/>
  <c r="H95" i="14" s="1"/>
  <c r="E110" i="10"/>
  <c r="K111" i="10"/>
  <c r="L26" i="5" s="1"/>
  <c r="I147" i="10"/>
  <c r="I146" i="10" s="1"/>
  <c r="G115" i="10"/>
  <c r="H30" i="5" s="1"/>
  <c r="J147" i="10"/>
  <c r="J146" i="10" s="1"/>
  <c r="K115" i="10"/>
  <c r="L30" i="5" s="1"/>
  <c r="K147" i="10"/>
  <c r="K146" i="10" s="1"/>
  <c r="H147" i="10"/>
  <c r="I51" i="5" s="1"/>
  <c r="I22" i="5"/>
  <c r="K22" i="5"/>
  <c r="J104" i="10"/>
  <c r="L22" i="5"/>
  <c r="K120" i="10"/>
  <c r="L39" i="5" s="1"/>
  <c r="G151" i="10"/>
  <c r="G147" i="10" s="1"/>
  <c r="L147" i="10"/>
  <c r="H22" i="5"/>
  <c r="L111" i="10"/>
  <c r="M26" i="5" s="1"/>
  <c r="L120" i="10"/>
  <c r="M39" i="5" s="1"/>
  <c r="M22" i="5"/>
  <c r="H117" i="10"/>
  <c r="H115" i="10" s="1"/>
  <c r="I30" i="5" s="1"/>
  <c r="J22" i="5"/>
  <c r="I104" i="10"/>
  <c r="L49" i="14"/>
  <c r="L48" i="14" s="1"/>
  <c r="I42" i="14"/>
  <c r="G42" i="14"/>
  <c r="K42" i="14"/>
  <c r="G50" i="14"/>
  <c r="G49" i="14" s="1"/>
  <c r="G48" i="14" s="1"/>
  <c r="J42" i="14"/>
  <c r="F110" i="10"/>
  <c r="J49" i="10"/>
  <c r="K48" i="5" s="1"/>
  <c r="I49" i="10"/>
  <c r="J48" i="5" s="1"/>
  <c r="H49" i="10"/>
  <c r="I48" i="5" s="1"/>
  <c r="G49" i="10"/>
  <c r="H48" i="5" s="1"/>
  <c r="L51" i="10"/>
  <c r="L49" i="10" s="1"/>
  <c r="M48" i="5" s="1"/>
  <c r="K51" i="10"/>
  <c r="K49" i="10" s="1"/>
  <c r="L48" i="5" s="1"/>
  <c r="G45" i="10"/>
  <c r="H28" i="5" s="1"/>
  <c r="L77" i="14"/>
  <c r="L74" i="14" s="1"/>
  <c r="K77" i="14"/>
  <c r="K74" i="14" s="1"/>
  <c r="J18" i="10"/>
  <c r="K18" i="10"/>
  <c r="G18" i="10" s="1"/>
  <c r="G77" i="14" l="1"/>
  <c r="G74" i="14" s="1"/>
  <c r="J51" i="5"/>
  <c r="L51" i="5"/>
  <c r="K51" i="5"/>
  <c r="G104" i="10"/>
  <c r="H146" i="10"/>
  <c r="H51" i="5"/>
  <c r="G146" i="10"/>
  <c r="L104" i="10"/>
  <c r="M51" i="5"/>
  <c r="L146" i="10"/>
  <c r="K104" i="10"/>
  <c r="H104" i="10"/>
  <c r="H77" i="14"/>
  <c r="H74" i="14" s="1"/>
  <c r="L63" i="14"/>
  <c r="L62" i="14" s="1"/>
  <c r="K63" i="14"/>
  <c r="K62" i="14" s="1"/>
  <c r="J63" i="14"/>
  <c r="J62" i="14" s="1"/>
  <c r="I63" i="14"/>
  <c r="I62" i="14" s="1"/>
  <c r="H63" i="14"/>
  <c r="H62" i="14" s="1"/>
  <c r="G63" i="14"/>
  <c r="G62" i="14" s="1"/>
  <c r="L12" i="14"/>
  <c r="L10" i="14" s="1"/>
  <c r="K12" i="14"/>
  <c r="K10" i="14" s="1"/>
  <c r="J12" i="14"/>
  <c r="J10" i="14" s="1"/>
  <c r="I12" i="14"/>
  <c r="I10" i="14" s="1"/>
  <c r="H12" i="14"/>
  <c r="H10" i="14" s="1"/>
  <c r="G12" i="14"/>
  <c r="G10" i="14" s="1"/>
  <c r="H20" i="10"/>
  <c r="G20" i="10"/>
  <c r="H100" i="10"/>
  <c r="I10" i="5" s="1"/>
  <c r="I13" i="5" s="1"/>
  <c r="I100" i="10"/>
  <c r="J10" i="5" s="1"/>
  <c r="J13" i="5" s="1"/>
  <c r="J100" i="10"/>
  <c r="K10" i="5" s="1"/>
  <c r="K13" i="5" s="1"/>
  <c r="L100" i="10"/>
  <c r="M10" i="5" s="1"/>
  <c r="M13" i="5" s="1"/>
  <c r="G102" i="10"/>
  <c r="G100" i="10" s="1"/>
  <c r="H10" i="5" s="1"/>
  <c r="H13" i="5" s="1"/>
  <c r="K102" i="10"/>
  <c r="K100" i="10" s="1"/>
  <c r="L35" i="14"/>
  <c r="K35" i="14"/>
  <c r="J35" i="14"/>
  <c r="I35" i="14"/>
  <c r="H35" i="14"/>
  <c r="G35" i="14"/>
  <c r="J57" i="14"/>
  <c r="I57" i="14"/>
  <c r="H57" i="14"/>
  <c r="G57" i="14"/>
  <c r="L58" i="14"/>
  <c r="L57" i="14" s="1"/>
  <c r="K58" i="14"/>
  <c r="K57" i="14" s="1"/>
  <c r="L93" i="14"/>
  <c r="K93" i="14"/>
  <c r="J93" i="14"/>
  <c r="I93" i="14"/>
  <c r="H93" i="14"/>
  <c r="G93" i="14"/>
  <c r="D103" i="10"/>
  <c r="C103" i="10"/>
  <c r="L18" i="10"/>
  <c r="L21" i="10"/>
  <c r="K21" i="10"/>
  <c r="K14" i="10" s="1"/>
  <c r="J21" i="10"/>
  <c r="J14" i="10" s="1"/>
  <c r="I21" i="10"/>
  <c r="I14" i="10" s="1"/>
  <c r="J15" i="5" s="1"/>
  <c r="H21" i="10"/>
  <c r="G21" i="10"/>
  <c r="I99" i="10" l="1"/>
  <c r="F103" i="10"/>
  <c r="H99" i="10"/>
  <c r="G14" i="10"/>
  <c r="G12" i="10" s="1"/>
  <c r="L15" i="5"/>
  <c r="K12" i="10"/>
  <c r="L10" i="5"/>
  <c r="L13" i="5" s="1"/>
  <c r="K99" i="10"/>
  <c r="C102" i="10"/>
  <c r="C100" i="10" s="1"/>
  <c r="H18" i="10"/>
  <c r="H14" i="10" s="1"/>
  <c r="L14" i="10"/>
  <c r="G99" i="10"/>
  <c r="K15" i="5"/>
  <c r="J12" i="10"/>
  <c r="J99" i="10"/>
  <c r="I12" i="10"/>
  <c r="L99" i="10"/>
  <c r="D102" i="10"/>
  <c r="E103" i="10"/>
  <c r="L9" i="10"/>
  <c r="M17" i="5" s="1"/>
  <c r="K9" i="10"/>
  <c r="L17" i="5" s="1"/>
  <c r="J9" i="10"/>
  <c r="K17" i="5" s="1"/>
  <c r="I9" i="10"/>
  <c r="H11" i="10"/>
  <c r="H9" i="10" s="1"/>
  <c r="I17" i="5" s="1"/>
  <c r="G11" i="10"/>
  <c r="G9" i="10" s="1"/>
  <c r="L33" i="14"/>
  <c r="L31" i="14" s="1"/>
  <c r="K33" i="14"/>
  <c r="K31" i="14" s="1"/>
  <c r="J33" i="14"/>
  <c r="J31" i="14" s="1"/>
  <c r="I33" i="14"/>
  <c r="I31" i="14" s="1"/>
  <c r="H33" i="14"/>
  <c r="H31" i="14" s="1"/>
  <c r="G33" i="14"/>
  <c r="G31" i="14" s="1"/>
  <c r="L54" i="14"/>
  <c r="L52" i="14" s="1"/>
  <c r="K54" i="14"/>
  <c r="K52" i="14" s="1"/>
  <c r="J54" i="14"/>
  <c r="J52" i="14" s="1"/>
  <c r="I54" i="14"/>
  <c r="I52" i="14" s="1"/>
  <c r="H54" i="14"/>
  <c r="H52" i="14" s="1"/>
  <c r="G54" i="14"/>
  <c r="G52" i="14" s="1"/>
  <c r="L68" i="14"/>
  <c r="L65" i="14" s="1"/>
  <c r="K68" i="14"/>
  <c r="K65" i="14" s="1"/>
  <c r="J68" i="14"/>
  <c r="J65" i="14" s="1"/>
  <c r="I68" i="14"/>
  <c r="I65" i="14" s="1"/>
  <c r="H68" i="14"/>
  <c r="H65" i="14" s="1"/>
  <c r="G68" i="14"/>
  <c r="G65" i="14" s="1"/>
  <c r="L71" i="14"/>
  <c r="L70" i="14" s="1"/>
  <c r="K71" i="14"/>
  <c r="K70" i="14" s="1"/>
  <c r="J71" i="14"/>
  <c r="J70" i="14" s="1"/>
  <c r="I71" i="14"/>
  <c r="I70" i="14" s="1"/>
  <c r="H71" i="14"/>
  <c r="H70" i="14" s="1"/>
  <c r="G71" i="14"/>
  <c r="G70" i="14" s="1"/>
  <c r="L74" i="10"/>
  <c r="L72" i="10" s="1"/>
  <c r="M25" i="5" s="1"/>
  <c r="M27" i="5" s="1"/>
  <c r="K74" i="10"/>
  <c r="K72" i="10" s="1"/>
  <c r="J94" i="10"/>
  <c r="K49" i="5" s="1"/>
  <c r="K52" i="5" s="1"/>
  <c r="I94" i="10"/>
  <c r="J49" i="5" s="1"/>
  <c r="J52" i="5" s="1"/>
  <c r="J90" i="10"/>
  <c r="K43" i="5" s="1"/>
  <c r="K47" i="5" s="1"/>
  <c r="I90" i="10"/>
  <c r="H90" i="10"/>
  <c r="I43" i="5" s="1"/>
  <c r="I47" i="5" s="1"/>
  <c r="G90" i="10"/>
  <c r="H43" i="5" s="1"/>
  <c r="H47" i="5" s="1"/>
  <c r="L85" i="10"/>
  <c r="M38" i="5" s="1"/>
  <c r="M41" i="5" s="1"/>
  <c r="L81" i="10"/>
  <c r="M32" i="5" s="1"/>
  <c r="M35" i="5" s="1"/>
  <c r="J81" i="10"/>
  <c r="K32" i="5" s="1"/>
  <c r="K35" i="5" s="1"/>
  <c r="I81" i="10"/>
  <c r="L77" i="10"/>
  <c r="M29" i="5" s="1"/>
  <c r="M31" i="5" s="1"/>
  <c r="J77" i="10"/>
  <c r="K29" i="5" s="1"/>
  <c r="K31" i="5" s="1"/>
  <c r="I77" i="10"/>
  <c r="J29" i="5" s="1"/>
  <c r="J31" i="5" s="1"/>
  <c r="H77" i="10"/>
  <c r="I29" i="5" s="1"/>
  <c r="I31" i="5" s="1"/>
  <c r="G77" i="10"/>
  <c r="H29" i="5" s="1"/>
  <c r="H31" i="5" s="1"/>
  <c r="J72" i="10"/>
  <c r="K25" i="5" s="1"/>
  <c r="K27" i="5" s="1"/>
  <c r="I72" i="10"/>
  <c r="H74" i="10"/>
  <c r="H72" i="10" s="1"/>
  <c r="I25" i="5" s="1"/>
  <c r="I27" i="5" s="1"/>
  <c r="L67" i="10"/>
  <c r="M21" i="5" s="1"/>
  <c r="M23" i="5" s="1"/>
  <c r="J67" i="10"/>
  <c r="K21" i="5" s="1"/>
  <c r="K23" i="5" s="1"/>
  <c r="I67" i="10"/>
  <c r="J21" i="5" s="1"/>
  <c r="J23" i="5" s="1"/>
  <c r="J56" i="10"/>
  <c r="K14" i="5" s="1"/>
  <c r="I56" i="10"/>
  <c r="G98" i="10"/>
  <c r="H54" i="5" s="1"/>
  <c r="H56" i="5" s="1"/>
  <c r="L96" i="10"/>
  <c r="L94" i="10" s="1"/>
  <c r="M49" i="5" s="1"/>
  <c r="M52" i="5" s="1"/>
  <c r="K96" i="10"/>
  <c r="K94" i="10" s="1"/>
  <c r="H96" i="10"/>
  <c r="G96" i="10"/>
  <c r="H97" i="10"/>
  <c r="G97" i="10"/>
  <c r="L93" i="10"/>
  <c r="L90" i="10" s="1"/>
  <c r="M43" i="5" s="1"/>
  <c r="M47" i="5" s="1"/>
  <c r="K93" i="10"/>
  <c r="K90" i="10" s="1"/>
  <c r="H87" i="10"/>
  <c r="H85" i="10" s="1"/>
  <c r="I38" i="5" s="1"/>
  <c r="I41" i="5" s="1"/>
  <c r="G87" i="10"/>
  <c r="K88" i="10"/>
  <c r="K85" i="10" s="1"/>
  <c r="L38" i="5" s="1"/>
  <c r="L41" i="5" s="1"/>
  <c r="G88" i="10"/>
  <c r="J88" i="10"/>
  <c r="J85" i="10" s="1"/>
  <c r="K38" i="5" s="1"/>
  <c r="K41" i="5" s="1"/>
  <c r="I88" i="10"/>
  <c r="L88" i="14"/>
  <c r="K88" i="14"/>
  <c r="K83" i="10"/>
  <c r="H83" i="10"/>
  <c r="G83" i="10"/>
  <c r="H84" i="10"/>
  <c r="G84" i="10"/>
  <c r="H94" i="10" l="1"/>
  <c r="I49" i="5" s="1"/>
  <c r="I52" i="5" s="1"/>
  <c r="H15" i="5"/>
  <c r="H81" i="10"/>
  <c r="I32" i="5" s="1"/>
  <c r="I35" i="5" s="1"/>
  <c r="G85" i="10"/>
  <c r="H38" i="5" s="1"/>
  <c r="H41" i="5" s="1"/>
  <c r="G94" i="10"/>
  <c r="H49" i="5" s="1"/>
  <c r="H52" i="5" s="1"/>
  <c r="J8" i="10"/>
  <c r="G81" i="10"/>
  <c r="H32" i="5" s="1"/>
  <c r="H35" i="5" s="1"/>
  <c r="K8" i="10"/>
  <c r="L43" i="5"/>
  <c r="L47" i="5" s="1"/>
  <c r="L25" i="5"/>
  <c r="L27" i="5" s="1"/>
  <c r="H17" i="5"/>
  <c r="G8" i="10"/>
  <c r="L49" i="5"/>
  <c r="L52" i="5" s="1"/>
  <c r="J43" i="5"/>
  <c r="J47" i="5" s="1"/>
  <c r="K81" i="10"/>
  <c r="J17" i="5"/>
  <c r="M15" i="5"/>
  <c r="L12" i="10"/>
  <c r="D10" i="5"/>
  <c r="C99" i="10"/>
  <c r="I85" i="10"/>
  <c r="H8" i="10"/>
  <c r="L8" i="10"/>
  <c r="I15" i="5"/>
  <c r="H12" i="10"/>
  <c r="J25" i="5"/>
  <c r="J27" i="5" s="1"/>
  <c r="J14" i="5"/>
  <c r="J32" i="5"/>
  <c r="J35" i="5" s="1"/>
  <c r="I8" i="10"/>
  <c r="F102" i="10"/>
  <c r="D100" i="10"/>
  <c r="E102" i="10"/>
  <c r="E100" i="10" s="1"/>
  <c r="K29" i="14"/>
  <c r="L29" i="14"/>
  <c r="I29" i="14"/>
  <c r="G29" i="14"/>
  <c r="H29" i="14"/>
  <c r="J29" i="14"/>
  <c r="K80" i="10"/>
  <c r="G74" i="10"/>
  <c r="G72" i="10" s="1"/>
  <c r="H25" i="5" s="1"/>
  <c r="H27" i="5" s="1"/>
  <c r="K69" i="10"/>
  <c r="H69" i="10"/>
  <c r="G69" i="10"/>
  <c r="K70" i="10"/>
  <c r="H70" i="10"/>
  <c r="G70" i="10"/>
  <c r="H84" i="14"/>
  <c r="G84" i="14"/>
  <c r="G67" i="10" l="1"/>
  <c r="H21" i="5" s="1"/>
  <c r="H23" i="5" s="1"/>
  <c r="L32" i="5"/>
  <c r="L35" i="5" s="1"/>
  <c r="H67" i="10"/>
  <c r="I21" i="5" s="1"/>
  <c r="I23" i="5" s="1"/>
  <c r="K77" i="10"/>
  <c r="K67" i="10"/>
  <c r="J38" i="5"/>
  <c r="J41" i="5" s="1"/>
  <c r="F10" i="5"/>
  <c r="E99" i="10"/>
  <c r="E10" i="5"/>
  <c r="D99" i="10"/>
  <c r="F100" i="10"/>
  <c r="L63" i="10"/>
  <c r="L60" i="10" s="1"/>
  <c r="M16" i="5" s="1"/>
  <c r="M18" i="5" s="1"/>
  <c r="K63" i="10"/>
  <c r="K60" i="10" s="1"/>
  <c r="J63" i="10"/>
  <c r="J60" i="10" s="1"/>
  <c r="I63" i="10"/>
  <c r="H63" i="10"/>
  <c r="H60" i="10" s="1"/>
  <c r="I16" i="5" s="1"/>
  <c r="I18" i="5" s="1"/>
  <c r="G63" i="10"/>
  <c r="G60" i="10" s="1"/>
  <c r="H16" i="5" s="1"/>
  <c r="H18" i="5" s="1"/>
  <c r="L82" i="14"/>
  <c r="L73" i="14" s="1"/>
  <c r="L115" i="14" s="1"/>
  <c r="L118" i="14" s="1"/>
  <c r="K82" i="14"/>
  <c r="J82" i="14"/>
  <c r="J73" i="14" s="1"/>
  <c r="J115" i="14" s="1"/>
  <c r="J118" i="14" s="1"/>
  <c r="I82" i="14"/>
  <c r="H82" i="14"/>
  <c r="H73" i="14" s="1"/>
  <c r="H115" i="14" s="1"/>
  <c r="H118" i="14" s="1"/>
  <c r="G82" i="14"/>
  <c r="G73" i="14" s="1"/>
  <c r="G115" i="14" s="1"/>
  <c r="G118" i="14" s="1"/>
  <c r="C11" i="14"/>
  <c r="D11" i="14"/>
  <c r="C13" i="14"/>
  <c r="D13" i="14"/>
  <c r="C14" i="14"/>
  <c r="D14" i="14"/>
  <c r="C16" i="14"/>
  <c r="C15" i="14" s="1"/>
  <c r="D16" i="14"/>
  <c r="D15" i="14" s="1"/>
  <c r="C18" i="14"/>
  <c r="D18" i="14"/>
  <c r="C19" i="14"/>
  <c r="D19" i="14"/>
  <c r="C20" i="14"/>
  <c r="D20" i="14"/>
  <c r="C21" i="14"/>
  <c r="D21" i="14"/>
  <c r="C22" i="14"/>
  <c r="C17" i="14" s="1"/>
  <c r="D22" i="14"/>
  <c r="D17" i="14" s="1"/>
  <c r="C23" i="14"/>
  <c r="D23" i="14"/>
  <c r="C25" i="14"/>
  <c r="D25" i="14"/>
  <c r="C26" i="14"/>
  <c r="D26" i="14"/>
  <c r="C27" i="14"/>
  <c r="D27" i="14"/>
  <c r="C28" i="14"/>
  <c r="D28" i="14"/>
  <c r="C30" i="14"/>
  <c r="D30" i="14"/>
  <c r="C32" i="14"/>
  <c r="D32" i="14"/>
  <c r="C34" i="14"/>
  <c r="D34" i="14"/>
  <c r="D33" i="14" s="1"/>
  <c r="C36" i="14"/>
  <c r="C35" i="14" s="1"/>
  <c r="D36" i="14"/>
  <c r="D35" i="14" s="1"/>
  <c r="C38" i="14"/>
  <c r="D38" i="14"/>
  <c r="D37" i="14" s="1"/>
  <c r="C41" i="14"/>
  <c r="D41" i="14"/>
  <c r="D40" i="14" s="1"/>
  <c r="D39" i="14" s="1"/>
  <c r="C44" i="14"/>
  <c r="D44" i="14"/>
  <c r="D43" i="14" s="1"/>
  <c r="C46" i="14"/>
  <c r="D46" i="14"/>
  <c r="D45" i="14" s="1"/>
  <c r="C47" i="14"/>
  <c r="D47" i="14"/>
  <c r="C50" i="14"/>
  <c r="D50" i="14"/>
  <c r="D49" i="14" s="1"/>
  <c r="D48" i="14" s="1"/>
  <c r="C51" i="14"/>
  <c r="D51" i="14"/>
  <c r="C53" i="14"/>
  <c r="D53" i="14"/>
  <c r="C55" i="14"/>
  <c r="D55" i="14"/>
  <c r="C56" i="14"/>
  <c r="D56" i="14"/>
  <c r="C58" i="14"/>
  <c r="D58" i="14"/>
  <c r="D57" i="14" s="1"/>
  <c r="C61" i="14"/>
  <c r="D61" i="14"/>
  <c r="C64" i="14"/>
  <c r="C63" i="14" s="1"/>
  <c r="D64" i="14"/>
  <c r="D63" i="14" s="1"/>
  <c r="D62" i="14" s="1"/>
  <c r="C67" i="14"/>
  <c r="D67" i="14"/>
  <c r="C69" i="14"/>
  <c r="D69" i="14"/>
  <c r="C72" i="14"/>
  <c r="D72" i="14"/>
  <c r="D71" i="14" s="1"/>
  <c r="D70" i="14" s="1"/>
  <c r="C75" i="14"/>
  <c r="D75" i="14"/>
  <c r="C76" i="14"/>
  <c r="D76" i="14"/>
  <c r="C77" i="14"/>
  <c r="D77" i="14"/>
  <c r="C78" i="14"/>
  <c r="D78" i="14"/>
  <c r="C79" i="14"/>
  <c r="D79" i="14"/>
  <c r="C80" i="14"/>
  <c r="D80" i="14"/>
  <c r="C81" i="14"/>
  <c r="D81" i="14"/>
  <c r="C83" i="14"/>
  <c r="D83" i="14"/>
  <c r="C84" i="14"/>
  <c r="D84" i="14"/>
  <c r="C85" i="14"/>
  <c r="D85" i="14"/>
  <c r="C86" i="14"/>
  <c r="D86" i="14"/>
  <c r="C87" i="14"/>
  <c r="D87" i="14"/>
  <c r="C88" i="14"/>
  <c r="D88" i="14"/>
  <c r="C89" i="14"/>
  <c r="D89" i="14"/>
  <c r="C90" i="14"/>
  <c r="D90" i="14"/>
  <c r="C91" i="14"/>
  <c r="D91" i="14"/>
  <c r="C92" i="14"/>
  <c r="D92" i="14"/>
  <c r="C94" i="14"/>
  <c r="D94" i="14"/>
  <c r="D93" i="14" s="1"/>
  <c r="C96" i="14"/>
  <c r="D96" i="14"/>
  <c r="C97" i="14"/>
  <c r="D97" i="14"/>
  <c r="C98" i="14"/>
  <c r="D98" i="14"/>
  <c r="C99" i="14"/>
  <c r="D99" i="14"/>
  <c r="C100" i="14"/>
  <c r="D100" i="14"/>
  <c r="C101" i="14"/>
  <c r="D101" i="14"/>
  <c r="C102" i="14"/>
  <c r="D102" i="14"/>
  <c r="C103" i="14"/>
  <c r="D103" i="14"/>
  <c r="C104" i="14"/>
  <c r="D104" i="14"/>
  <c r="C105" i="14"/>
  <c r="D105" i="14"/>
  <c r="C106" i="14"/>
  <c r="D106" i="14"/>
  <c r="C107" i="14"/>
  <c r="D107" i="14"/>
  <c r="C108" i="14"/>
  <c r="D108" i="14"/>
  <c r="C110" i="14"/>
  <c r="D110" i="14"/>
  <c r="C111" i="14"/>
  <c r="D111" i="14"/>
  <c r="C112" i="14"/>
  <c r="D112" i="14"/>
  <c r="C114" i="14"/>
  <c r="C113" i="14" s="1"/>
  <c r="D114" i="14"/>
  <c r="D113" i="14" s="1"/>
  <c r="C116" i="14"/>
  <c r="D116" i="14"/>
  <c r="E117" i="14"/>
  <c r="F117" i="14"/>
  <c r="G59" i="10"/>
  <c r="H58" i="10"/>
  <c r="G58" i="10"/>
  <c r="C58" i="10" s="1"/>
  <c r="L59" i="10"/>
  <c r="L56" i="10" s="1"/>
  <c r="K59" i="10"/>
  <c r="H59" i="10"/>
  <c r="D173" i="10"/>
  <c r="C173" i="10"/>
  <c r="D172" i="10"/>
  <c r="C172" i="10"/>
  <c r="D171" i="10"/>
  <c r="C171" i="10"/>
  <c r="D170" i="10"/>
  <c r="C170" i="10"/>
  <c r="D167" i="10"/>
  <c r="C167" i="10"/>
  <c r="D166" i="10"/>
  <c r="C166" i="10"/>
  <c r="D165" i="10"/>
  <c r="C165" i="10"/>
  <c r="D164" i="10"/>
  <c r="C164" i="10"/>
  <c r="D163" i="10"/>
  <c r="C163" i="10"/>
  <c r="D160" i="10"/>
  <c r="C160" i="10"/>
  <c r="D159" i="10"/>
  <c r="C159" i="10"/>
  <c r="D158" i="10"/>
  <c r="C158" i="10"/>
  <c r="D157" i="10"/>
  <c r="C157" i="10"/>
  <c r="D156" i="10"/>
  <c r="C156" i="10"/>
  <c r="D155" i="10"/>
  <c r="C155" i="10"/>
  <c r="D152" i="10"/>
  <c r="C152" i="10"/>
  <c r="D151" i="10"/>
  <c r="C151" i="10"/>
  <c r="D150" i="10"/>
  <c r="C150" i="10"/>
  <c r="D149" i="10"/>
  <c r="C149" i="10"/>
  <c r="D145" i="10"/>
  <c r="C145" i="10"/>
  <c r="D144" i="10"/>
  <c r="C144" i="10"/>
  <c r="D141" i="10"/>
  <c r="C141" i="10"/>
  <c r="D140" i="10"/>
  <c r="C140" i="10"/>
  <c r="D139" i="10"/>
  <c r="C139" i="10"/>
  <c r="D138" i="10"/>
  <c r="C138" i="10"/>
  <c r="D137" i="10"/>
  <c r="C137" i="10"/>
  <c r="D136" i="10"/>
  <c r="C136" i="10"/>
  <c r="D135" i="10"/>
  <c r="C135" i="10"/>
  <c r="D134" i="10"/>
  <c r="C134" i="10"/>
  <c r="D131" i="10"/>
  <c r="C131" i="10"/>
  <c r="D130" i="10"/>
  <c r="C130" i="10"/>
  <c r="D126" i="10"/>
  <c r="C126" i="10"/>
  <c r="D125" i="10"/>
  <c r="C125" i="10"/>
  <c r="D124" i="10"/>
  <c r="C124" i="10"/>
  <c r="D123" i="10"/>
  <c r="C123" i="10"/>
  <c r="D122" i="10"/>
  <c r="C122" i="10"/>
  <c r="D119" i="10"/>
  <c r="C119" i="10"/>
  <c r="D34" i="5" s="1"/>
  <c r="D118" i="10"/>
  <c r="C118" i="10"/>
  <c r="D117" i="10"/>
  <c r="C117" i="10"/>
  <c r="D114" i="10"/>
  <c r="C114" i="10"/>
  <c r="D113" i="10"/>
  <c r="C113" i="10"/>
  <c r="D109" i="10"/>
  <c r="C109" i="10"/>
  <c r="D108" i="10"/>
  <c r="C108" i="10"/>
  <c r="D107" i="10"/>
  <c r="C107" i="10"/>
  <c r="D98" i="10"/>
  <c r="C98" i="10"/>
  <c r="D97" i="10"/>
  <c r="C97" i="10"/>
  <c r="D96" i="10"/>
  <c r="C96" i="10"/>
  <c r="D93" i="10"/>
  <c r="C93" i="10"/>
  <c r="D92" i="10"/>
  <c r="C92" i="10"/>
  <c r="D89" i="10"/>
  <c r="C89" i="10"/>
  <c r="D88" i="10"/>
  <c r="C88" i="10"/>
  <c r="D87" i="10"/>
  <c r="C87" i="10"/>
  <c r="D84" i="10"/>
  <c r="C84" i="10"/>
  <c r="D83" i="10"/>
  <c r="C83" i="10"/>
  <c r="D80" i="10"/>
  <c r="C80" i="10"/>
  <c r="D79" i="10"/>
  <c r="C79" i="10"/>
  <c r="D76" i="10"/>
  <c r="C76" i="10"/>
  <c r="D75" i="10"/>
  <c r="C75" i="10"/>
  <c r="D74" i="10"/>
  <c r="C74" i="10"/>
  <c r="D71" i="10"/>
  <c r="C71" i="10"/>
  <c r="D70" i="10"/>
  <c r="C70" i="10"/>
  <c r="D69" i="10"/>
  <c r="C69" i="10"/>
  <c r="D66" i="10"/>
  <c r="C66" i="10"/>
  <c r="D65" i="10"/>
  <c r="C65" i="10"/>
  <c r="C63" i="10" s="1"/>
  <c r="D62" i="10"/>
  <c r="C62" i="10"/>
  <c r="D55" i="10"/>
  <c r="C55" i="10"/>
  <c r="D53" i="10"/>
  <c r="C53" i="10"/>
  <c r="D52" i="10"/>
  <c r="C52" i="10"/>
  <c r="D51" i="10"/>
  <c r="C51" i="10"/>
  <c r="D48" i="10"/>
  <c r="C48" i="10"/>
  <c r="D47" i="10"/>
  <c r="C47" i="10"/>
  <c r="D46" i="10"/>
  <c r="C46" i="10"/>
  <c r="D45" i="10"/>
  <c r="C45" i="10"/>
  <c r="D44" i="10"/>
  <c r="C44" i="10"/>
  <c r="D43" i="10"/>
  <c r="C43" i="10"/>
  <c r="D42" i="10"/>
  <c r="C42" i="10"/>
  <c r="D41" i="10"/>
  <c r="C41" i="10"/>
  <c r="D40" i="10"/>
  <c r="C40" i="10"/>
  <c r="D39" i="10"/>
  <c r="C39" i="10"/>
  <c r="D38" i="10"/>
  <c r="C38" i="10"/>
  <c r="D37" i="10"/>
  <c r="C37" i="10"/>
  <c r="D36" i="10"/>
  <c r="C36" i="10"/>
  <c r="D35" i="10"/>
  <c r="C35" i="10"/>
  <c r="D34" i="10"/>
  <c r="C34" i="10"/>
  <c r="D33" i="10"/>
  <c r="C33" i="10"/>
  <c r="D32" i="10"/>
  <c r="C32" i="10"/>
  <c r="D31" i="10"/>
  <c r="C31" i="10"/>
  <c r="D30" i="10"/>
  <c r="C30" i="10"/>
  <c r="D29" i="10"/>
  <c r="C29" i="10"/>
  <c r="D28" i="10"/>
  <c r="C28" i="10"/>
  <c r="D27" i="10"/>
  <c r="C27" i="10"/>
  <c r="D26" i="10"/>
  <c r="C26" i="10"/>
  <c r="D25" i="10"/>
  <c r="C25" i="10"/>
  <c r="D24" i="10"/>
  <c r="C24" i="10"/>
  <c r="D23" i="10"/>
  <c r="C23" i="10"/>
  <c r="D20" i="10"/>
  <c r="C20" i="10"/>
  <c r="D19" i="10"/>
  <c r="C19" i="10"/>
  <c r="D18" i="10"/>
  <c r="C18" i="10"/>
  <c r="D17" i="10"/>
  <c r="C17" i="10"/>
  <c r="D16" i="10"/>
  <c r="C16" i="10"/>
  <c r="D13" i="10"/>
  <c r="C13" i="10"/>
  <c r="C11" i="10"/>
  <c r="D11" i="10"/>
  <c r="N23" i="16"/>
  <c r="K23" i="16"/>
  <c r="H23" i="16"/>
  <c r="D23" i="16"/>
  <c r="C23" i="16"/>
  <c r="N22" i="16"/>
  <c r="K22" i="16"/>
  <c r="H22" i="16"/>
  <c r="D22" i="16"/>
  <c r="C22" i="16"/>
  <c r="N21" i="16"/>
  <c r="K21" i="16"/>
  <c r="H21" i="16"/>
  <c r="D21" i="16"/>
  <c r="C21" i="16"/>
  <c r="N20" i="16"/>
  <c r="K20" i="16"/>
  <c r="H20" i="16"/>
  <c r="D20" i="16"/>
  <c r="C20" i="16"/>
  <c r="M19" i="16"/>
  <c r="L19" i="16"/>
  <c r="J19" i="16"/>
  <c r="I19" i="16"/>
  <c r="G19" i="16"/>
  <c r="F19" i="16"/>
  <c r="N18" i="16"/>
  <c r="K18" i="16"/>
  <c r="H18" i="16"/>
  <c r="D18" i="16"/>
  <c r="C18" i="16"/>
  <c r="N17" i="16"/>
  <c r="K17" i="16"/>
  <c r="H17" i="16"/>
  <c r="D17" i="16"/>
  <c r="C17" i="16"/>
  <c r="N16" i="16"/>
  <c r="K16" i="16"/>
  <c r="H16" i="16"/>
  <c r="D16" i="16"/>
  <c r="C16" i="16"/>
  <c r="N15" i="16"/>
  <c r="K15" i="16"/>
  <c r="H15" i="16"/>
  <c r="D15" i="16"/>
  <c r="C15" i="16"/>
  <c r="M14" i="16"/>
  <c r="L14" i="16"/>
  <c r="J14" i="16"/>
  <c r="I14" i="16"/>
  <c r="G14" i="16"/>
  <c r="F14" i="16"/>
  <c r="N13" i="16"/>
  <c r="K13" i="16"/>
  <c r="H13" i="16"/>
  <c r="D13" i="16"/>
  <c r="C13" i="16"/>
  <c r="N12" i="16"/>
  <c r="K12" i="16"/>
  <c r="H12" i="16"/>
  <c r="D12" i="16"/>
  <c r="D10" i="16" s="1"/>
  <c r="C12" i="16"/>
  <c r="N11" i="16"/>
  <c r="K11" i="16"/>
  <c r="H11" i="16"/>
  <c r="D11" i="16"/>
  <c r="C11" i="16"/>
  <c r="M10" i="16"/>
  <c r="L10" i="16"/>
  <c r="J10" i="16"/>
  <c r="I10" i="16"/>
  <c r="G10" i="16"/>
  <c r="F10" i="16"/>
  <c r="N9" i="16"/>
  <c r="K9" i="16"/>
  <c r="H9" i="16"/>
  <c r="D9" i="16"/>
  <c r="C9" i="16"/>
  <c r="N14" i="16" l="1"/>
  <c r="J24" i="16"/>
  <c r="E17" i="16"/>
  <c r="E23" i="16"/>
  <c r="F26" i="14"/>
  <c r="E23" i="14"/>
  <c r="E21" i="14"/>
  <c r="E19" i="14"/>
  <c r="E11" i="14"/>
  <c r="E28" i="5"/>
  <c r="E37" i="5"/>
  <c r="D90" i="10"/>
  <c r="E43" i="5" s="1"/>
  <c r="D9" i="10"/>
  <c r="F9" i="10" s="1"/>
  <c r="E24" i="5"/>
  <c r="E36" i="5"/>
  <c r="E42" i="5"/>
  <c r="E12" i="5"/>
  <c r="D63" i="10"/>
  <c r="E50" i="5"/>
  <c r="E19" i="5"/>
  <c r="D72" i="10"/>
  <c r="E54" i="5"/>
  <c r="E34" i="5"/>
  <c r="G34" i="5" s="1"/>
  <c r="E44" i="5"/>
  <c r="E46" i="5"/>
  <c r="E20" i="5"/>
  <c r="E53" i="5"/>
  <c r="D85" i="10"/>
  <c r="E38" i="5" s="1"/>
  <c r="F108" i="10"/>
  <c r="F134" i="10"/>
  <c r="D168" i="10"/>
  <c r="E134" i="10"/>
  <c r="D105" i="10"/>
  <c r="D120" i="10"/>
  <c r="D132" i="10"/>
  <c r="F140" i="10"/>
  <c r="D21" i="10"/>
  <c r="D49" i="10"/>
  <c r="F63" i="10"/>
  <c r="D60" i="10"/>
  <c r="C90" i="10"/>
  <c r="C120" i="10"/>
  <c r="D50" i="5"/>
  <c r="C168" i="10"/>
  <c r="C161" i="10" s="1"/>
  <c r="D58" i="10"/>
  <c r="H56" i="10"/>
  <c r="L21" i="5"/>
  <c r="L23" i="5" s="1"/>
  <c r="D24" i="5"/>
  <c r="D36" i="5"/>
  <c r="D42" i="5"/>
  <c r="D12" i="5"/>
  <c r="D94" i="10"/>
  <c r="D54" i="5"/>
  <c r="F109" i="10"/>
  <c r="K56" i="10"/>
  <c r="L16" i="5"/>
  <c r="L18" i="5" s="1"/>
  <c r="E48" i="5"/>
  <c r="D19" i="5"/>
  <c r="C94" i="10"/>
  <c r="D14" i="10"/>
  <c r="F26" i="10"/>
  <c r="F52" i="10"/>
  <c r="C67" i="10"/>
  <c r="E71" i="10"/>
  <c r="C77" i="10"/>
  <c r="C81" i="10"/>
  <c r="C85" i="10"/>
  <c r="F85" i="10" s="1"/>
  <c r="F96" i="10"/>
  <c r="C111" i="10"/>
  <c r="C115" i="10"/>
  <c r="D44" i="5"/>
  <c r="C128" i="10"/>
  <c r="C132" i="10"/>
  <c r="E140" i="10"/>
  <c r="C142" i="10"/>
  <c r="C153" i="10"/>
  <c r="C147" i="10" s="1"/>
  <c r="D46" i="5"/>
  <c r="M14" i="5"/>
  <c r="M57" i="5" s="1"/>
  <c r="L54" i="10"/>
  <c r="C60" i="10"/>
  <c r="L29" i="5"/>
  <c r="L31" i="5" s="1"/>
  <c r="E22" i="5"/>
  <c r="K16" i="5"/>
  <c r="K18" i="5" s="1"/>
  <c r="K57" i="5" s="1"/>
  <c r="J54" i="10"/>
  <c r="D11" i="5"/>
  <c r="E13" i="10"/>
  <c r="E11" i="5"/>
  <c r="F16" i="10"/>
  <c r="F32" i="10"/>
  <c r="E17" i="5"/>
  <c r="F13" i="10"/>
  <c r="C21" i="10"/>
  <c r="D20" i="5"/>
  <c r="D28" i="5"/>
  <c r="D37" i="5"/>
  <c r="C49" i="10"/>
  <c r="D53" i="5"/>
  <c r="F65" i="10"/>
  <c r="D67" i="10"/>
  <c r="F71" i="10"/>
  <c r="D77" i="10"/>
  <c r="D81" i="10"/>
  <c r="C105" i="10"/>
  <c r="D111" i="10"/>
  <c r="D115" i="10"/>
  <c r="D128" i="10"/>
  <c r="F128" i="10" s="1"/>
  <c r="D142" i="10"/>
  <c r="F155" i="10"/>
  <c r="D153" i="10"/>
  <c r="F157" i="10"/>
  <c r="F159" i="10"/>
  <c r="F167" i="10"/>
  <c r="G56" i="10"/>
  <c r="I60" i="10"/>
  <c r="F99" i="10"/>
  <c r="G10" i="5"/>
  <c r="E51" i="14"/>
  <c r="F38" i="14"/>
  <c r="F78" i="14"/>
  <c r="E53" i="14"/>
  <c r="C109" i="14"/>
  <c r="F113" i="14"/>
  <c r="F112" i="14"/>
  <c r="F107" i="14"/>
  <c r="F105" i="14"/>
  <c r="F103" i="14"/>
  <c r="F101" i="14"/>
  <c r="F99" i="14"/>
  <c r="F97" i="14"/>
  <c r="E89" i="14"/>
  <c r="E87" i="14"/>
  <c r="E85" i="14"/>
  <c r="E83" i="14"/>
  <c r="F34" i="14"/>
  <c r="C95" i="14"/>
  <c r="C68" i="14"/>
  <c r="E13" i="14"/>
  <c r="E12" i="14" s="1"/>
  <c r="D12" i="14"/>
  <c r="C93" i="14"/>
  <c r="E67" i="14"/>
  <c r="E66" i="14" s="1"/>
  <c r="D66" i="14"/>
  <c r="C62" i="14"/>
  <c r="F56" i="14"/>
  <c r="D42" i="14"/>
  <c r="C40" i="14"/>
  <c r="F40" i="14" s="1"/>
  <c r="C37" i="14"/>
  <c r="D31" i="14"/>
  <c r="D24" i="14"/>
  <c r="C12" i="14"/>
  <c r="K73" i="14"/>
  <c r="F110" i="14"/>
  <c r="D109" i="14"/>
  <c r="F90" i="14"/>
  <c r="F86" i="14"/>
  <c r="E75" i="14"/>
  <c r="D74" i="14"/>
  <c r="E61" i="14"/>
  <c r="E60" i="14" s="1"/>
  <c r="E59" i="14" s="1"/>
  <c r="D60" i="14"/>
  <c r="C57" i="14"/>
  <c r="C54" i="14"/>
  <c r="C49" i="14"/>
  <c r="F49" i="14" s="1"/>
  <c r="I73" i="14"/>
  <c r="C74" i="14"/>
  <c r="F72" i="14"/>
  <c r="C71" i="14"/>
  <c r="F71" i="14" s="1"/>
  <c r="C60" i="14"/>
  <c r="C45" i="14"/>
  <c r="E116" i="14"/>
  <c r="F108" i="14"/>
  <c r="F106" i="14"/>
  <c r="F104" i="14"/>
  <c r="F102" i="14"/>
  <c r="F100" i="14"/>
  <c r="F98" i="14"/>
  <c r="F96" i="14"/>
  <c r="D95" i="14"/>
  <c r="E79" i="14"/>
  <c r="D68" i="14"/>
  <c r="F69" i="14"/>
  <c r="C66" i="14"/>
  <c r="E55" i="14"/>
  <c r="D54" i="14"/>
  <c r="C43" i="14"/>
  <c r="C33" i="14"/>
  <c r="F33" i="14" s="1"/>
  <c r="C24" i="14"/>
  <c r="E112" i="14"/>
  <c r="E107" i="14"/>
  <c r="E105" i="14"/>
  <c r="E103" i="14"/>
  <c r="E101" i="14"/>
  <c r="E99" i="14"/>
  <c r="E97" i="14"/>
  <c r="F76" i="14"/>
  <c r="E47" i="14"/>
  <c r="F14" i="14"/>
  <c r="F22" i="14"/>
  <c r="F145" i="10"/>
  <c r="E144" i="10"/>
  <c r="F144" i="10"/>
  <c r="F135" i="10"/>
  <c r="E135" i="10"/>
  <c r="F20" i="14"/>
  <c r="F111" i="14"/>
  <c r="E111" i="14"/>
  <c r="E141" i="10"/>
  <c r="F141" i="10"/>
  <c r="E139" i="10"/>
  <c r="F139" i="10"/>
  <c r="E138" i="10"/>
  <c r="F138" i="10"/>
  <c r="E137" i="10"/>
  <c r="F137" i="10"/>
  <c r="E136" i="10"/>
  <c r="F136" i="10"/>
  <c r="F131" i="10"/>
  <c r="F18" i="14"/>
  <c r="E110" i="14"/>
  <c r="F130" i="10"/>
  <c r="E27" i="14"/>
  <c r="F28" i="14"/>
  <c r="E41" i="14"/>
  <c r="E40" i="14" s="1"/>
  <c r="E39" i="14" s="1"/>
  <c r="F163" i="10"/>
  <c r="F171" i="10"/>
  <c r="F165" i="10"/>
  <c r="F160" i="10"/>
  <c r="F151" i="10"/>
  <c r="E25" i="14"/>
  <c r="F150" i="10"/>
  <c r="F149" i="10"/>
  <c r="F156" i="10"/>
  <c r="F158" i="10"/>
  <c r="F152" i="10"/>
  <c r="E114" i="14"/>
  <c r="E113" i="14" s="1"/>
  <c r="F114" i="14"/>
  <c r="F173" i="10"/>
  <c r="F119" i="10"/>
  <c r="E108" i="14"/>
  <c r="E106" i="14"/>
  <c r="E126" i="10"/>
  <c r="F50" i="5" s="1"/>
  <c r="F126" i="10"/>
  <c r="E104" i="14"/>
  <c r="E125" i="10"/>
  <c r="F44" i="5" s="1"/>
  <c r="F125" i="10"/>
  <c r="E102" i="14"/>
  <c r="F122" i="10"/>
  <c r="F124" i="10"/>
  <c r="F123" i="10"/>
  <c r="E100" i="14"/>
  <c r="F16" i="14"/>
  <c r="E98" i="14"/>
  <c r="F118" i="10"/>
  <c r="F117" i="10"/>
  <c r="F50" i="14"/>
  <c r="E96" i="14"/>
  <c r="F113" i="10"/>
  <c r="F114" i="10"/>
  <c r="F46" i="14"/>
  <c r="F107" i="10"/>
  <c r="E107" i="10"/>
  <c r="E108" i="10"/>
  <c r="E109" i="10"/>
  <c r="F48" i="10"/>
  <c r="E81" i="14"/>
  <c r="F46" i="10"/>
  <c r="F80" i="14"/>
  <c r="F44" i="10"/>
  <c r="E77" i="14"/>
  <c r="F64" i="14"/>
  <c r="F20" i="10"/>
  <c r="F18" i="10"/>
  <c r="F36" i="14"/>
  <c r="F58" i="14"/>
  <c r="F94" i="14"/>
  <c r="E17" i="10"/>
  <c r="F17" i="10"/>
  <c r="E16" i="10"/>
  <c r="E18" i="10"/>
  <c r="E19" i="10"/>
  <c r="F19" i="10"/>
  <c r="F42" i="10"/>
  <c r="F40" i="10"/>
  <c r="F38" i="10"/>
  <c r="F36" i="10"/>
  <c r="F34" i="10"/>
  <c r="F30" i="10"/>
  <c r="F28" i="10"/>
  <c r="F24" i="10"/>
  <c r="E11" i="10"/>
  <c r="E9" i="10" s="1"/>
  <c r="C9" i="10"/>
  <c r="D17" i="5" s="1"/>
  <c r="F92" i="14"/>
  <c r="C72" i="10"/>
  <c r="D25" i="5" s="1"/>
  <c r="F98" i="10"/>
  <c r="E98" i="10"/>
  <c r="F54" i="5" s="1"/>
  <c r="E91" i="14"/>
  <c r="E96" i="10"/>
  <c r="E97" i="10"/>
  <c r="F97" i="10"/>
  <c r="F93" i="10"/>
  <c r="F87" i="10"/>
  <c r="F89" i="10"/>
  <c r="F88" i="14"/>
  <c r="F83" i="10"/>
  <c r="F79" i="10"/>
  <c r="F75" i="10"/>
  <c r="F44" i="14"/>
  <c r="D82" i="14"/>
  <c r="E69" i="10"/>
  <c r="F69" i="10"/>
  <c r="F70" i="10"/>
  <c r="E70" i="10"/>
  <c r="F84" i="14"/>
  <c r="C82" i="14"/>
  <c r="F66" i="10"/>
  <c r="E69" i="14"/>
  <c r="E68" i="14" s="1"/>
  <c r="E94" i="14"/>
  <c r="E93" i="14" s="1"/>
  <c r="F91" i="14"/>
  <c r="E90" i="14"/>
  <c r="F87" i="14"/>
  <c r="E86" i="14"/>
  <c r="F83" i="14"/>
  <c r="F79" i="14"/>
  <c r="E78" i="14"/>
  <c r="F75" i="14"/>
  <c r="F67" i="14"/>
  <c r="F63" i="14"/>
  <c r="E58" i="14"/>
  <c r="E57" i="14" s="1"/>
  <c r="F55" i="14"/>
  <c r="F51" i="14"/>
  <c r="E50" i="14"/>
  <c r="E49" i="14" s="1"/>
  <c r="E48" i="14" s="1"/>
  <c r="F47" i="14"/>
  <c r="E46" i="14"/>
  <c r="E45" i="14" s="1"/>
  <c r="F43" i="14"/>
  <c r="E38" i="14"/>
  <c r="E37" i="14" s="1"/>
  <c r="F35" i="14"/>
  <c r="E34" i="14"/>
  <c r="E33" i="14" s="1"/>
  <c r="E30" i="14"/>
  <c r="F27" i="14"/>
  <c r="E26" i="14"/>
  <c r="F23" i="14"/>
  <c r="E22" i="14"/>
  <c r="F19" i="14"/>
  <c r="E18" i="14"/>
  <c r="F15" i="14"/>
  <c r="E14" i="14"/>
  <c r="E92" i="14"/>
  <c r="F89" i="14"/>
  <c r="E88" i="14"/>
  <c r="F85" i="14"/>
  <c r="E84" i="14"/>
  <c r="F81" i="14"/>
  <c r="E80" i="14"/>
  <c r="F77" i="14"/>
  <c r="E76" i="14"/>
  <c r="E72" i="14"/>
  <c r="E71" i="14" s="1"/>
  <c r="E70" i="14" s="1"/>
  <c r="E64" i="14"/>
  <c r="E63" i="14" s="1"/>
  <c r="E62" i="14" s="1"/>
  <c r="F61" i="14"/>
  <c r="E56" i="14"/>
  <c r="E44" i="14"/>
  <c r="E43" i="14" s="1"/>
  <c r="F41" i="14"/>
  <c r="E36" i="14"/>
  <c r="E35" i="14" s="1"/>
  <c r="E32" i="14"/>
  <c r="E28" i="14"/>
  <c r="F25" i="14"/>
  <c r="F21" i="14"/>
  <c r="E20" i="14"/>
  <c r="E16" i="14"/>
  <c r="E15" i="14" s="1"/>
  <c r="F13" i="14"/>
  <c r="E145" i="10"/>
  <c r="F11" i="10"/>
  <c r="F25" i="10"/>
  <c r="F27" i="10"/>
  <c r="F29" i="10"/>
  <c r="F31" i="10"/>
  <c r="F33" i="10"/>
  <c r="F35" i="10"/>
  <c r="F37" i="10"/>
  <c r="F39" i="10"/>
  <c r="F41" i="10"/>
  <c r="F43" i="10"/>
  <c r="F45" i="10"/>
  <c r="F47" i="10"/>
  <c r="F51" i="10"/>
  <c r="F53" i="10"/>
  <c r="E65" i="10"/>
  <c r="E63" i="10" s="1"/>
  <c r="F55" i="10"/>
  <c r="F62" i="10"/>
  <c r="F74" i="10"/>
  <c r="F76" i="10"/>
  <c r="F80" i="10"/>
  <c r="F84" i="10"/>
  <c r="F88" i="10"/>
  <c r="F92" i="10"/>
  <c r="F164" i="10"/>
  <c r="F166" i="10"/>
  <c r="F170" i="10"/>
  <c r="F172" i="10"/>
  <c r="F23" i="10"/>
  <c r="E20" i="10"/>
  <c r="C59" i="10"/>
  <c r="E58" i="10"/>
  <c r="D59" i="10"/>
  <c r="E55" i="10"/>
  <c r="F12" i="5" s="1"/>
  <c r="E173" i="10"/>
  <c r="F46" i="5" s="1"/>
  <c r="E170" i="10"/>
  <c r="E171" i="10"/>
  <c r="E172" i="10"/>
  <c r="E163" i="10"/>
  <c r="E164" i="10"/>
  <c r="E165" i="10"/>
  <c r="E166" i="10"/>
  <c r="E167" i="10"/>
  <c r="E155" i="10"/>
  <c r="E156" i="10"/>
  <c r="E157" i="10"/>
  <c r="E158" i="10"/>
  <c r="E159" i="10"/>
  <c r="E160" i="10"/>
  <c r="E149" i="10"/>
  <c r="E150" i="10"/>
  <c r="E151" i="10"/>
  <c r="E152" i="10"/>
  <c r="E130" i="10"/>
  <c r="E131" i="10"/>
  <c r="E122" i="10"/>
  <c r="E123" i="10"/>
  <c r="E124" i="10"/>
  <c r="E117" i="10"/>
  <c r="E118" i="10"/>
  <c r="E119" i="10"/>
  <c r="E113" i="10"/>
  <c r="E114" i="10"/>
  <c r="E92" i="10"/>
  <c r="E93" i="10"/>
  <c r="E87" i="10"/>
  <c r="E88" i="10"/>
  <c r="E89" i="10"/>
  <c r="E83" i="10"/>
  <c r="E84" i="10"/>
  <c r="E79" i="10"/>
  <c r="E80" i="10"/>
  <c r="E74" i="10"/>
  <c r="E75" i="10"/>
  <c r="E76" i="10"/>
  <c r="E66" i="10"/>
  <c r="F19" i="5" s="1"/>
  <c r="E62" i="10"/>
  <c r="E51" i="10"/>
  <c r="E52" i="10"/>
  <c r="E53" i="10"/>
  <c r="F53" i="5" s="1"/>
  <c r="E43" i="10"/>
  <c r="F20" i="5" s="1"/>
  <c r="E44" i="10"/>
  <c r="F24" i="5" s="1"/>
  <c r="E45" i="10"/>
  <c r="F28" i="5" s="1"/>
  <c r="E46" i="10"/>
  <c r="F36" i="5" s="1"/>
  <c r="E47" i="10"/>
  <c r="F37" i="5" s="1"/>
  <c r="E48" i="10"/>
  <c r="F42" i="5" s="1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G24" i="16"/>
  <c r="K10" i="16"/>
  <c r="F24" i="16"/>
  <c r="C10" i="16"/>
  <c r="E15" i="16"/>
  <c r="E16" i="16"/>
  <c r="N19" i="16"/>
  <c r="H14" i="16"/>
  <c r="E22" i="16"/>
  <c r="E9" i="16"/>
  <c r="E12" i="16"/>
  <c r="E20" i="16"/>
  <c r="C14" i="16"/>
  <c r="H10" i="16"/>
  <c r="L24" i="16"/>
  <c r="E13" i="16"/>
  <c r="D14" i="16"/>
  <c r="C19" i="16"/>
  <c r="H19" i="16"/>
  <c r="I24" i="16"/>
  <c r="M24" i="16"/>
  <c r="E11" i="16"/>
  <c r="N10" i="16"/>
  <c r="E18" i="16"/>
  <c r="D19" i="16"/>
  <c r="E21" i="16"/>
  <c r="E10" i="16"/>
  <c r="K14" i="16"/>
  <c r="K19" i="16"/>
  <c r="E19" i="16" l="1"/>
  <c r="E24" i="16" s="1"/>
  <c r="N24" i="16"/>
  <c r="E14" i="16"/>
  <c r="G44" i="5"/>
  <c r="G54" i="5"/>
  <c r="G20" i="5"/>
  <c r="G28" i="5"/>
  <c r="G36" i="5"/>
  <c r="G24" i="5"/>
  <c r="D8" i="10"/>
  <c r="G19" i="5"/>
  <c r="G42" i="5"/>
  <c r="F67" i="10"/>
  <c r="E25" i="5"/>
  <c r="G25" i="5" s="1"/>
  <c r="F58" i="10"/>
  <c r="E33" i="5"/>
  <c r="G46" i="5"/>
  <c r="E21" i="5"/>
  <c r="E23" i="5" s="1"/>
  <c r="G12" i="5"/>
  <c r="G50" i="5"/>
  <c r="E40" i="5"/>
  <c r="D161" i="10"/>
  <c r="F161" i="10" s="1"/>
  <c r="F34" i="5"/>
  <c r="E67" i="10"/>
  <c r="F21" i="5" s="1"/>
  <c r="E39" i="5"/>
  <c r="F168" i="10"/>
  <c r="E77" i="10"/>
  <c r="F29" i="5" s="1"/>
  <c r="E85" i="10"/>
  <c r="F38" i="5" s="1"/>
  <c r="E115" i="10"/>
  <c r="F132" i="10"/>
  <c r="G11" i="5"/>
  <c r="D12" i="10"/>
  <c r="E60" i="10"/>
  <c r="F16" i="5" s="1"/>
  <c r="E72" i="10"/>
  <c r="F25" i="5" s="1"/>
  <c r="F59" i="10"/>
  <c r="E94" i="10"/>
  <c r="F49" i="5" s="1"/>
  <c r="F153" i="10"/>
  <c r="D13" i="5"/>
  <c r="F120" i="10"/>
  <c r="E81" i="10"/>
  <c r="F32" i="5" s="1"/>
  <c r="D48" i="5"/>
  <c r="G48" i="5" s="1"/>
  <c r="D51" i="5"/>
  <c r="C146" i="10"/>
  <c r="E90" i="10"/>
  <c r="F43" i="5" s="1"/>
  <c r="E120" i="10"/>
  <c r="F39" i="5" s="1"/>
  <c r="E153" i="10"/>
  <c r="E147" i="10" s="1"/>
  <c r="E168" i="10"/>
  <c r="D127" i="10"/>
  <c r="E13" i="5"/>
  <c r="D22" i="5"/>
  <c r="G22" i="5" s="1"/>
  <c r="C104" i="10"/>
  <c r="C56" i="10"/>
  <c r="F11" i="5"/>
  <c r="F13" i="5" s="1"/>
  <c r="J174" i="10"/>
  <c r="C127" i="10"/>
  <c r="F127" i="10" s="1"/>
  <c r="D40" i="5"/>
  <c r="D26" i="5"/>
  <c r="D27" i="5" s="1"/>
  <c r="D56" i="10"/>
  <c r="F21" i="10"/>
  <c r="E29" i="5"/>
  <c r="F77" i="10"/>
  <c r="L174" i="10"/>
  <c r="L14" i="5"/>
  <c r="L57" i="5" s="1"/>
  <c r="K54" i="10"/>
  <c r="I14" i="5"/>
  <c r="I57" i="5" s="1"/>
  <c r="H54" i="10"/>
  <c r="E21" i="10"/>
  <c r="E14" i="10" s="1"/>
  <c r="E8" i="10"/>
  <c r="F17" i="5"/>
  <c r="E132" i="10"/>
  <c r="F40" i="5" s="1"/>
  <c r="J16" i="5"/>
  <c r="J18" i="5" s="1"/>
  <c r="J57" i="5" s="1"/>
  <c r="I54" i="10"/>
  <c r="G37" i="5"/>
  <c r="D16" i="5"/>
  <c r="D45" i="5"/>
  <c r="D38" i="5"/>
  <c r="G38" i="5" s="1"/>
  <c r="D29" i="5"/>
  <c r="D21" i="5"/>
  <c r="E15" i="5"/>
  <c r="F94" i="10"/>
  <c r="E49" i="5"/>
  <c r="D39" i="5"/>
  <c r="G53" i="5"/>
  <c r="E16" i="5"/>
  <c r="F60" i="10"/>
  <c r="E26" i="5"/>
  <c r="F111" i="10"/>
  <c r="D104" i="10"/>
  <c r="D55" i="5"/>
  <c r="D56" i="5" s="1"/>
  <c r="D32" i="5"/>
  <c r="F49" i="10"/>
  <c r="D43" i="5"/>
  <c r="G43" i="5" s="1"/>
  <c r="E161" i="10"/>
  <c r="F55" i="5" s="1"/>
  <c r="F56" i="5" s="1"/>
  <c r="E49" i="10"/>
  <c r="F48" i="5" s="1"/>
  <c r="E111" i="10"/>
  <c r="E128" i="10"/>
  <c r="F33" i="5" s="1"/>
  <c r="E105" i="10"/>
  <c r="E142" i="10"/>
  <c r="F45" i="5" s="1"/>
  <c r="H14" i="5"/>
  <c r="H57" i="5" s="1"/>
  <c r="G54" i="10"/>
  <c r="E45" i="5"/>
  <c r="F142" i="10"/>
  <c r="E30" i="5"/>
  <c r="F115" i="10"/>
  <c r="E32" i="5"/>
  <c r="F81" i="10"/>
  <c r="G17" i="5"/>
  <c r="F105" i="10"/>
  <c r="D33" i="5"/>
  <c r="D30" i="5"/>
  <c r="D49" i="5"/>
  <c r="C14" i="10"/>
  <c r="D147" i="10"/>
  <c r="F90" i="10"/>
  <c r="F45" i="14"/>
  <c r="F57" i="14"/>
  <c r="E95" i="14"/>
  <c r="E24" i="14"/>
  <c r="F109" i="14"/>
  <c r="F93" i="14"/>
  <c r="E109" i="14"/>
  <c r="E54" i="14"/>
  <c r="E52" i="14" s="1"/>
  <c r="F68" i="14"/>
  <c r="I115" i="14"/>
  <c r="I118" i="14" s="1"/>
  <c r="D59" i="14"/>
  <c r="F60" i="14"/>
  <c r="C65" i="14"/>
  <c r="C73" i="14"/>
  <c r="C10" i="14"/>
  <c r="D65" i="14"/>
  <c r="F66" i="14"/>
  <c r="F12" i="14"/>
  <c r="E17" i="14"/>
  <c r="C31" i="14"/>
  <c r="F31" i="14" s="1"/>
  <c r="C42" i="14"/>
  <c r="C48" i="14"/>
  <c r="D73" i="14"/>
  <c r="F74" i="14"/>
  <c r="K115" i="14"/>
  <c r="K118" i="14" s="1"/>
  <c r="F24" i="14"/>
  <c r="C39" i="14"/>
  <c r="E65" i="14"/>
  <c r="F62" i="14"/>
  <c r="C59" i="14"/>
  <c r="C52" i="14"/>
  <c r="E42" i="14"/>
  <c r="F37" i="14"/>
  <c r="E31" i="14"/>
  <c r="F95" i="14"/>
  <c r="D10" i="14"/>
  <c r="D52" i="14"/>
  <c r="F54" i="14"/>
  <c r="C70" i="14"/>
  <c r="E74" i="14"/>
  <c r="F17" i="14"/>
  <c r="C8" i="10"/>
  <c r="F72" i="10"/>
  <c r="E82" i="14"/>
  <c r="F82" i="14"/>
  <c r="E59" i="10"/>
  <c r="E56" i="10" s="1"/>
  <c r="F14" i="5" s="1"/>
  <c r="D24" i="16"/>
  <c r="C24" i="16"/>
  <c r="H24" i="16"/>
  <c r="K24" i="16"/>
  <c r="F73" i="14" l="1"/>
  <c r="E41" i="5"/>
  <c r="G40" i="5"/>
  <c r="E10" i="14"/>
  <c r="D29" i="14"/>
  <c r="F10" i="14"/>
  <c r="G33" i="5"/>
  <c r="G39" i="5"/>
  <c r="G21" i="5"/>
  <c r="E55" i="5"/>
  <c r="G55" i="5" s="1"/>
  <c r="F30" i="5"/>
  <c r="F31" i="5" s="1"/>
  <c r="F26" i="5"/>
  <c r="F27" i="5" s="1"/>
  <c r="F56" i="10"/>
  <c r="F147" i="10"/>
  <c r="F51" i="5"/>
  <c r="F52" i="5" s="1"/>
  <c r="D23" i="5"/>
  <c r="G23" i="5" s="1"/>
  <c r="G13" i="5"/>
  <c r="D47" i="5"/>
  <c r="F35" i="5"/>
  <c r="F47" i="5"/>
  <c r="F41" i="5"/>
  <c r="E146" i="10"/>
  <c r="E127" i="10"/>
  <c r="D31" i="5"/>
  <c r="G30" i="5"/>
  <c r="F15" i="5"/>
  <c r="F18" i="5" s="1"/>
  <c r="E12" i="10"/>
  <c r="G26" i="5"/>
  <c r="E27" i="5"/>
  <c r="G27" i="5" s="1"/>
  <c r="D41" i="5"/>
  <c r="G41" i="5" s="1"/>
  <c r="K174" i="10"/>
  <c r="D14" i="5"/>
  <c r="C54" i="10"/>
  <c r="D52" i="5"/>
  <c r="D15" i="5"/>
  <c r="D18" i="5" s="1"/>
  <c r="C12" i="10"/>
  <c r="E54" i="10"/>
  <c r="G32" i="5"/>
  <c r="E35" i="5"/>
  <c r="G45" i="5"/>
  <c r="F22" i="5"/>
  <c r="F23" i="5" s="1"/>
  <c r="E104" i="10"/>
  <c r="F104" i="10"/>
  <c r="I174" i="10"/>
  <c r="H174" i="10"/>
  <c r="E31" i="5"/>
  <c r="G29" i="5"/>
  <c r="E14" i="5"/>
  <c r="D54" i="10"/>
  <c r="E18" i="5"/>
  <c r="D146" i="10"/>
  <c r="E51" i="5"/>
  <c r="G174" i="10"/>
  <c r="D35" i="5"/>
  <c r="G16" i="5"/>
  <c r="G49" i="5"/>
  <c r="F14" i="10"/>
  <c r="E47" i="5"/>
  <c r="E29" i="14"/>
  <c r="F59" i="14"/>
  <c r="F65" i="14"/>
  <c r="D115" i="14"/>
  <c r="D118" i="14" s="1"/>
  <c r="E73" i="14"/>
  <c r="F52" i="14"/>
  <c r="F48" i="14"/>
  <c r="C29" i="14"/>
  <c r="F70" i="14"/>
  <c r="F39" i="14"/>
  <c r="F42" i="14"/>
  <c r="F8" i="10"/>
  <c r="E115" i="14" l="1"/>
  <c r="E118" i="14" s="1"/>
  <c r="G31" i="5"/>
  <c r="E56" i="5"/>
  <c r="G56" i="5" s="1"/>
  <c r="G47" i="5"/>
  <c r="F57" i="5"/>
  <c r="G15" i="5"/>
  <c r="F146" i="10"/>
  <c r="G18" i="5"/>
  <c r="G14" i="5"/>
  <c r="G51" i="5"/>
  <c r="E52" i="5"/>
  <c r="G52" i="5" s="1"/>
  <c r="E174" i="10"/>
  <c r="F12" i="10"/>
  <c r="D174" i="10"/>
  <c r="D57" i="5"/>
  <c r="F54" i="10"/>
  <c r="G35" i="5"/>
  <c r="C174" i="10"/>
  <c r="C115" i="14"/>
  <c r="C118" i="14" s="1"/>
  <c r="F118" i="14" s="1"/>
  <c r="F29" i="14"/>
  <c r="A9" i="10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F115" i="14" l="1"/>
  <c r="E57" i="5"/>
  <c r="F174" i="10"/>
  <c r="D73" i="9"/>
  <c r="D70" i="9" s="1"/>
  <c r="C70" i="9"/>
  <c r="G57" i="5" l="1"/>
  <c r="E73" i="9"/>
  <c r="D46" i="9" l="1"/>
  <c r="E46" i="9" s="1"/>
  <c r="D45" i="9"/>
  <c r="F45" i="9" s="1"/>
  <c r="E47" i="9"/>
  <c r="E48" i="9"/>
  <c r="E72" i="9"/>
  <c r="E71" i="9"/>
  <c r="E68" i="9"/>
  <c r="E67" i="9"/>
  <c r="E66" i="9"/>
  <c r="E65" i="9"/>
  <c r="E64" i="9"/>
  <c r="E63" i="9"/>
  <c r="E62" i="9"/>
  <c r="E61" i="9"/>
  <c r="E60" i="9"/>
  <c r="E58" i="9"/>
  <c r="E57" i="9"/>
  <c r="E56" i="9"/>
  <c r="E55" i="9"/>
  <c r="E53" i="9"/>
  <c r="E52" i="9"/>
  <c r="E51" i="9"/>
  <c r="E50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12" i="9"/>
  <c r="E13" i="9"/>
  <c r="E14" i="9"/>
  <c r="E15" i="9"/>
  <c r="E16" i="9"/>
  <c r="E17" i="9"/>
  <c r="E11" i="9"/>
  <c r="F11" i="9"/>
  <c r="F12" i="9"/>
  <c r="F13" i="9"/>
  <c r="F14" i="9"/>
  <c r="F15" i="9"/>
  <c r="F16" i="9"/>
  <c r="F17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7" i="9"/>
  <c r="F48" i="9"/>
  <c r="F50" i="9"/>
  <c r="F51" i="9"/>
  <c r="F52" i="9"/>
  <c r="F53" i="9"/>
  <c r="F55" i="9"/>
  <c r="F56" i="9"/>
  <c r="F57" i="9"/>
  <c r="F58" i="9"/>
  <c r="F62" i="9"/>
  <c r="F63" i="9"/>
  <c r="F64" i="9"/>
  <c r="F65" i="9"/>
  <c r="F66" i="9"/>
  <c r="F68" i="9"/>
  <c r="F71" i="9"/>
  <c r="F72" i="9"/>
  <c r="D19" i="9"/>
  <c r="F19" i="9" s="1"/>
  <c r="D54" i="9"/>
  <c r="C54" i="9"/>
  <c r="C59" i="9"/>
  <c r="D59" i="9"/>
  <c r="D49" i="9"/>
  <c r="C49" i="9"/>
  <c r="F59" i="9" l="1"/>
  <c r="E70" i="9"/>
  <c r="E19" i="9"/>
  <c r="E59" i="9"/>
  <c r="F49" i="9"/>
  <c r="F54" i="9"/>
  <c r="F70" i="9"/>
  <c r="F46" i="9"/>
  <c r="E45" i="9"/>
  <c r="E49" i="9"/>
  <c r="E54" i="9"/>
  <c r="E69" i="9" l="1"/>
  <c r="C69" i="9"/>
  <c r="D44" i="9"/>
  <c r="E44" i="9"/>
  <c r="C44" i="9"/>
  <c r="D21" i="9"/>
  <c r="E21" i="9"/>
  <c r="C21" i="9"/>
  <c r="D10" i="9"/>
  <c r="E10" i="9"/>
  <c r="C10" i="9"/>
  <c r="C20" i="9" l="1"/>
  <c r="C18" i="9" s="1"/>
  <c r="C74" i="9" s="1"/>
  <c r="F10" i="9"/>
  <c r="F21" i="9"/>
  <c r="F44" i="9"/>
  <c r="D69" i="9"/>
  <c r="F69" i="9" s="1"/>
  <c r="D20" i="9"/>
  <c r="D18" i="9" s="1"/>
  <c r="F18" i="9" s="1"/>
  <c r="E20" i="9"/>
  <c r="E18" i="9" s="1"/>
  <c r="E74" i="9" s="1"/>
  <c r="F20" i="9" l="1"/>
  <c r="D74" i="9"/>
  <c r="F74" i="9" s="1"/>
</calcChain>
</file>

<file path=xl/sharedStrings.xml><?xml version="1.0" encoding="utf-8"?>
<sst xmlns="http://schemas.openxmlformats.org/spreadsheetml/2006/main" count="530" uniqueCount="265">
  <si>
    <t>Eil. Nr.</t>
  </si>
  <si>
    <t>Iš viso</t>
  </si>
  <si>
    <t>iš jų:</t>
  </si>
  <si>
    <t>Savivaldybės administracija</t>
  </si>
  <si>
    <t>Miesto ūkio departamentas</t>
  </si>
  <si>
    <t>Ugdymo ir kultūros departamentas</t>
  </si>
  <si>
    <t>Socialinių reikalų departamentas</t>
  </si>
  <si>
    <t>PAJAMOS</t>
  </si>
  <si>
    <t>Pavadinimas</t>
  </si>
  <si>
    <t>MOKESČIAI (2+...+8)</t>
  </si>
  <si>
    <t xml:space="preserve">Gyventojų pajamų mokestis </t>
  </si>
  <si>
    <t>Žemės mokestis</t>
  </si>
  <si>
    <t>Paveldimo turto mokestis</t>
  </si>
  <si>
    <t>Nekilnojamojo turto mokestis</t>
  </si>
  <si>
    <t>Mokestis už aplinkos teršimą</t>
  </si>
  <si>
    <t>Valstybės rinkliavos</t>
  </si>
  <si>
    <t>Vietinės rinkliavos</t>
  </si>
  <si>
    <t>Duomenų teikimas Suteiktos valstybės pagalbos registrui</t>
  </si>
  <si>
    <t xml:space="preserve">Dalyvavimas rengiant ir vykdant mobilizaciją </t>
  </si>
  <si>
    <t>Valstybinės kalbos vartojimo ir taisyklingumo kontrolė</t>
  </si>
  <si>
    <t>Civilinės būklės aktų registravimas</t>
  </si>
  <si>
    <t>Civilinės saugos organizavimas</t>
  </si>
  <si>
    <t>Gyventojų registro tvarkymas ir duomenų valstybės registrui teikimas</t>
  </si>
  <si>
    <t>Vaikų ir jaunimo teisių apsauga</t>
  </si>
  <si>
    <t xml:space="preserve">Socialinės paslaugos </t>
  </si>
  <si>
    <t>Socialinėms išmokoms ir kompensacijoms skaičiuoti ir mokėti</t>
  </si>
  <si>
    <t>Socialinė parama mokiniams</t>
  </si>
  <si>
    <t>švietimo (be mokinio krepšelio)</t>
  </si>
  <si>
    <t>socialinės apsaugos</t>
  </si>
  <si>
    <t>Savivaldybių mokykloms (klasėms), turinčioms specialiųjų ugdymosi poreikio mokinių, finansuoti</t>
  </si>
  <si>
    <t xml:space="preserve">Palūkanos už depozitus </t>
  </si>
  <si>
    <t>Dividendai</t>
  </si>
  <si>
    <t xml:space="preserve">Mokesčiai už valstybinius gamtos išteklius </t>
  </si>
  <si>
    <t>Pajamos už prekes ir paslaugas</t>
  </si>
  <si>
    <t>Įmokos už išlaikymą švietimo, socialinės apsaugos ir kitose įstaigose</t>
  </si>
  <si>
    <t>Pajamos iš baudų ir konfiskacijos</t>
  </si>
  <si>
    <t>ASIGNAVIMAI</t>
  </si>
  <si>
    <t>Asignavimų valdytojas / programos pavadinimas</t>
  </si>
  <si>
    <t>išlaidoms</t>
  </si>
  <si>
    <t>turtui įsigyti</t>
  </si>
  <si>
    <t>Savivaldybės kontrolės ir audito  tarnyba</t>
  </si>
  <si>
    <r>
      <t xml:space="preserve">Miesto urbanistinio planavimo programa </t>
    </r>
    <r>
      <rPr>
        <sz val="12"/>
        <rFont val="Times New Roman"/>
        <family val="1"/>
        <charset val="186"/>
      </rPr>
      <t xml:space="preserve">(savivaldybės biudžeto lėšos) </t>
    </r>
  </si>
  <si>
    <t>Savivaldybės valdymo  programa</t>
  </si>
  <si>
    <t>Savivaldybės tarybos aptarnavimas (savivaldybės biudžeto lėšos)</t>
  </si>
  <si>
    <t>Savivaldybės sekretoriato aptarnavimas (savivaldybės biudžeto lėšos)</t>
  </si>
  <si>
    <t>Savivaldybės administracijos veiklos užtikrinimas ir kitų priemonių vykdymas (savivaldybės biudžeto lėšos)</t>
  </si>
  <si>
    <t xml:space="preserve">Savivaldybės administracijos direktoriaus rezervas (savivaldybės biudžeto lėšos) </t>
  </si>
  <si>
    <t>Savivaldybės valdymo  programa (asignavimų valdytojo pajamų įmokos)</t>
  </si>
  <si>
    <t>Savivaldybės valdymo  programa (specialios tikslinės dotacijos valstybinėms (valstybės perduotoms savivaldybėms) funkcijoms atlikti lėšos)</t>
  </si>
  <si>
    <t>Vaikų teisių apsauga</t>
  </si>
  <si>
    <t>Jaunimo teisių apsauga</t>
  </si>
  <si>
    <t xml:space="preserve">Socialinių paslaugų administravimas </t>
  </si>
  <si>
    <t>Socialinėms išmokoms ir kompensacijoms skaičiuoti ir mokėti administravimas</t>
  </si>
  <si>
    <t>Socialinės paramos mokiniams administravimas</t>
  </si>
  <si>
    <r>
      <rPr>
        <b/>
        <sz val="12"/>
        <rFont val="Times New Roman"/>
        <family val="1"/>
        <charset val="186"/>
      </rPr>
      <t>Susisiekimo sistemos priežiūros ir plėtros programa</t>
    </r>
    <r>
      <rPr>
        <sz val="12"/>
        <rFont val="Times New Roman"/>
        <family val="1"/>
        <charset val="186"/>
      </rPr>
      <t xml:space="preserve"> (savivaldybės biudžeto lėšos)</t>
    </r>
  </si>
  <si>
    <r>
      <rPr>
        <b/>
        <sz val="12"/>
        <rFont val="Times New Roman"/>
        <family val="1"/>
        <charset val="186"/>
      </rPr>
      <t>Miesto infrastruktūros objektų priežiūros ir modernizavimo programa</t>
    </r>
    <r>
      <rPr>
        <sz val="12"/>
        <rFont val="Times New Roman"/>
        <family val="1"/>
        <charset val="186"/>
      </rPr>
      <t xml:space="preserve"> (savivaldybės biudžeto lėšos)</t>
    </r>
  </si>
  <si>
    <r>
      <t xml:space="preserve">Socialinės atskirties mažinimo programa </t>
    </r>
    <r>
      <rPr>
        <sz val="12"/>
        <rFont val="Times New Roman"/>
        <family val="1"/>
        <charset val="186"/>
      </rPr>
      <t>(savivaldybės biudžeto lėšos)</t>
    </r>
  </si>
  <si>
    <t>Investicijų ir ekonomikos departamentas</t>
  </si>
  <si>
    <t>Savivaldybės valdymo  programa (savivaldybės biudžeto lėšos)</t>
  </si>
  <si>
    <r>
      <rPr>
        <sz val="12"/>
        <rFont val="Times New Roman"/>
        <family val="1"/>
        <charset val="186"/>
      </rPr>
      <t>Savivaldybės valdymo  programa</t>
    </r>
    <r>
      <rPr>
        <b/>
        <sz val="12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(specialios tikslinės dotacijos valstybinėms (valstybės perduotoms savivaldybėms) funkcijoms atlikti lėšos)</t>
    </r>
  </si>
  <si>
    <t xml:space="preserve">Aplinkos apsaugos programa </t>
  </si>
  <si>
    <t>Aplinkos apsaugos programa (savivaldybės biudžeto lėšos)</t>
  </si>
  <si>
    <t>Aplinkos apsaugos rėmimo specialioji programa</t>
  </si>
  <si>
    <t>Miesto infrastruktūros objektų priežiūros ir modernizavimo programa (savivaldybės biudžeto lėšos)</t>
  </si>
  <si>
    <t xml:space="preserve">Ugdymo proceso užtikrinimo programa </t>
  </si>
  <si>
    <t>Ugdymo proceso užtikrinimo programa (savivaldybės biudžeto lėšos)</t>
  </si>
  <si>
    <t xml:space="preserve">Kūno kultūros ir sporto plėtros programa </t>
  </si>
  <si>
    <t xml:space="preserve">Kūno kultūros ir sporto plėtros programa (savivaldybės biudžeto lėšos) </t>
  </si>
  <si>
    <t>Socialinės atskirties mažinimo programa (savivaldybės biudžeto lėšos)</t>
  </si>
  <si>
    <t>Urbanistinės plėtros departamentas</t>
  </si>
  <si>
    <t>Aplinkos apsaugos programa</t>
  </si>
  <si>
    <t xml:space="preserve">Miesto infrastruktūros objektų priežiūros ir modernizavimo programa </t>
  </si>
  <si>
    <t>Miesto infrastruktūros objektų priežiūros ir modernizavimo programa (asignavimų valdytojo pajamų įmokos)</t>
  </si>
  <si>
    <t>Ugdymo proceso užtikrinimo programa (specialios tikslinės dotacijos savivaldybėms perduotoms įstaigoms išlaikyti lėšos)</t>
  </si>
  <si>
    <t>Ugdymo proceso užtikrinimo programa</t>
  </si>
  <si>
    <t>Ugdymo proceso užtikrinimo programa  (savivaldybės biudžeto lėšos)</t>
  </si>
  <si>
    <t>Ugdymo proceso užtikrinimo programa (specialios tikslinės dotacijos savivaldybių mokykloms (klasėms), turinčioms specialiųjų ugdymosi poreikio mokinių, finansuoti lėšos)</t>
  </si>
  <si>
    <t>Ugdymo proceso užtikrinimo programa (asignavimų valdytojo pajamų įmokos)</t>
  </si>
  <si>
    <t>Kūno kultūros ir sporto plėtros programa</t>
  </si>
  <si>
    <t>Kūno kultūros ir sporto plėtros programa (savivaldybės biudžeto lėšos)</t>
  </si>
  <si>
    <t>Kūno kultūros ir sporto plėtros programa (asignavimų valdytojo pajamų įmokos)</t>
  </si>
  <si>
    <t>Socialinės atskirties mažinimo programa</t>
  </si>
  <si>
    <t>Socialinės atskirties mažinimo programa (specialios tikslinės dotacijos valstybinėms (valstybės perduotoms savivaldybėms) funkcijoms atlikti lėšos)</t>
  </si>
  <si>
    <t>Socialinėms išmokoms ir kompensacijoms mokėti</t>
  </si>
  <si>
    <t>Socialinės atskirties mažinimo programa (specialios tikslinės dotacijos savivaldybėms perduotoms įstaigoms išlaikyti lėšos)</t>
  </si>
  <si>
    <t>Socialinės atskirties mažinimo programa (asignavimų valdytojo pajamų įmokos)</t>
  </si>
  <si>
    <t>Socialinės atskirties mažinimo programa (asignavimų valdytojo pajamų už gyvenamųjų patalpų nuomą įmokos)</t>
  </si>
  <si>
    <t>Sveikatos apsaugos programa</t>
  </si>
  <si>
    <t>Sveikatos apsaugos programa (specialios tikslinės dotacijos valstybinėms (valstybės perduotoms savivaldybėms) funkcijoms atlikti lėšos)</t>
  </si>
  <si>
    <t>Visuomenės sveikatos rėmimo specialioji programa</t>
  </si>
  <si>
    <t>Visuomenės sveikatos rėmimo specialioji programa (savivaldybės biudžeto lėšos)</t>
  </si>
  <si>
    <t xml:space="preserve">Iš viso </t>
  </si>
  <si>
    <t>Programos pavadinimas</t>
  </si>
  <si>
    <t>Asignavimų valdytojas</t>
  </si>
  <si>
    <t>Smulkiojo ir vidutinio verslo plėtros programa</t>
  </si>
  <si>
    <t>Susisiekimo sistemos priežiūros ir plėtros programa</t>
  </si>
  <si>
    <t>14.</t>
  </si>
  <si>
    <t>1.</t>
  </si>
  <si>
    <t>Miesto urbanistinio planavimo programa</t>
  </si>
  <si>
    <t>Iš viso programai</t>
  </si>
  <si>
    <t>2.</t>
  </si>
  <si>
    <t>Subalansuoto turizmo skatinimo ir vystymo programa</t>
  </si>
  <si>
    <t>3.</t>
  </si>
  <si>
    <t>5.</t>
  </si>
  <si>
    <t>6.</t>
  </si>
  <si>
    <t>7.</t>
  </si>
  <si>
    <t>9.</t>
  </si>
  <si>
    <t>Jaunimo politikos plėtros programa</t>
  </si>
  <si>
    <t>10.</t>
  </si>
  <si>
    <t>11.</t>
  </si>
  <si>
    <t>12.</t>
  </si>
  <si>
    <t xml:space="preserve">Iš viso: </t>
  </si>
  <si>
    <t>8.</t>
  </si>
  <si>
    <t>Gyvenamosios vietos deklaravimo ir gyvenamosios vietos neturinčių asmenų apskaitos duomenų tvarkymas</t>
  </si>
  <si>
    <r>
      <t xml:space="preserve">Smulkiojo ir vidutinio verslo plėtros programa </t>
    </r>
    <r>
      <rPr>
        <sz val="12"/>
        <rFont val="Times New Roman"/>
        <family val="1"/>
        <charset val="186"/>
      </rPr>
      <t>(savivaldybės biudžeto lėšos)</t>
    </r>
  </si>
  <si>
    <t xml:space="preserve">Aplinkos apsaugos programa (savivaldybės biudžeto lėšos) </t>
  </si>
  <si>
    <r>
      <rPr>
        <b/>
        <sz val="12"/>
        <rFont val="Times New Roman"/>
        <family val="1"/>
        <charset val="186"/>
      </rPr>
      <t>Kūno kultūros ir sporto plėtros programa</t>
    </r>
    <r>
      <rPr>
        <sz val="12"/>
        <rFont val="Times New Roman"/>
        <family val="1"/>
        <charset val="186"/>
      </rPr>
      <t xml:space="preserve"> (savivaldybės biudžeto lėšos)</t>
    </r>
  </si>
  <si>
    <t>Sveikatos apsaugos programa  (savivaldybės biudžeto lėšos)</t>
  </si>
  <si>
    <t>Sveikatos apsaugos programa (asignavimų valdytojo pajamų įmokos)</t>
  </si>
  <si>
    <t>Savivaldybei priskirtų archyvinių dokumentų tvarkymas</t>
  </si>
  <si>
    <t>Žemės ūkio funkcijoms atlikti</t>
  </si>
  <si>
    <t>Nuomos mokestis už valstybinę žemę</t>
  </si>
  <si>
    <t>Tūkst. Eur</t>
  </si>
  <si>
    <t>Iš viso:</t>
  </si>
  <si>
    <t>paskoloms grąžinti</t>
  </si>
  <si>
    <t>1. Asignavimų valdytojų pajamų įmokų likučio metų pradžioje lėšos</t>
  </si>
  <si>
    <t xml:space="preserve">Ugdymo ir kultūros departamentas </t>
  </si>
  <si>
    <t>2. Tikslinės paskirties lėšų likučio metų pradžioje lėšos</t>
  </si>
  <si>
    <t>2.1. Aplinkos apsaugos rėmimo specialiosios programos lėšų likučio metų pradžioje lėšos</t>
  </si>
  <si>
    <t xml:space="preserve">2.3. Vietinės rinkliavos už komunalinių atliekų surinkimą iš atliekų turėtojų ir atliekų tvarkytojų lėšų likučio metų pradžioje lėšos </t>
  </si>
  <si>
    <t xml:space="preserve">Miesto urbanistinio planavimo programa </t>
  </si>
  <si>
    <t>2.2. Visuomenės sveikatos rėmimo specialiosios programos lėšų likučio metų pradžioje lėšos</t>
  </si>
  <si>
    <t>3. Savivaldybės biudžeto lėšų likučio metų pradžioje lėšos</t>
  </si>
  <si>
    <t>Miesto infrastruktūros objektų priežiūros ir modernizavimo programa</t>
  </si>
  <si>
    <t>Kitos neišvardytos pajamos</t>
  </si>
  <si>
    <t>Finansavimo šaltinis / asignavimų valdytojas / programos pavadinimas</t>
  </si>
  <si>
    <t>Neveiksnių asmenų būklės peržiūrėjimui užtikrinti</t>
  </si>
  <si>
    <t xml:space="preserve">Savivaldybės valdymo  programa  </t>
  </si>
  <si>
    <r>
      <t xml:space="preserve">Kultūros plėtros programa </t>
    </r>
    <r>
      <rPr>
        <sz val="12"/>
        <rFont val="Times New Roman"/>
        <family val="1"/>
        <charset val="186"/>
      </rPr>
      <t>(savivaldybės biudžeto lėšos)</t>
    </r>
  </si>
  <si>
    <t>Kultūros plėtros programa (savivaldybės biudžeto lėšos)</t>
  </si>
  <si>
    <t xml:space="preserve">Kultūros plėtros programa </t>
  </si>
  <si>
    <t>Kultūros plėtros programa (asignavimų valdytojo pajamų įmokos)</t>
  </si>
  <si>
    <t>Subalansuoto turizmo skatinimo ir vystymo programa  (savivaldybės biudžeto lėšos)</t>
  </si>
  <si>
    <t xml:space="preserve">Subalansuoto turizmo skatinimo ir vystymo programa </t>
  </si>
  <si>
    <t xml:space="preserve">Miesto urbanistinio planavimo programa (savivaldybės biudžeto lėšos) </t>
  </si>
  <si>
    <t xml:space="preserve">Socialinės atskirties mažinimo programa </t>
  </si>
  <si>
    <t>2.4. Vietinės rinkliavos už naudojimąsi nustatytomis mokamomis vietomis automobiliams statyti Klaipėdos mieste lėšos</t>
  </si>
  <si>
    <t xml:space="preserve">2.5. Už žemės pardavimą gautų lėšų likučio metų pradžioje lėšos </t>
  </si>
  <si>
    <t>iš jų kreditiniam įsiskolinimui dengti bei paskoloms grąžinti</t>
  </si>
  <si>
    <t>iš jų kreditiniam įsiskolinimui dengti</t>
  </si>
  <si>
    <t>13.</t>
  </si>
  <si>
    <r>
      <t xml:space="preserve">Sveikatos apsaugos programa </t>
    </r>
    <r>
      <rPr>
        <sz val="12"/>
        <rFont val="Times New Roman"/>
        <family val="1"/>
        <charset val="186"/>
      </rPr>
      <t>(savivaldybės biudžeto lėšos)</t>
    </r>
  </si>
  <si>
    <r>
      <t xml:space="preserve">Ugdymo proceso užtikrinimo programa </t>
    </r>
    <r>
      <rPr>
        <sz val="12"/>
        <rFont val="Times New Roman"/>
        <family val="1"/>
        <charset val="186"/>
      </rPr>
      <t>(savivaldybės biudžeto lėšos)</t>
    </r>
  </si>
  <si>
    <t>4.</t>
  </si>
  <si>
    <t>Pajamos už ilgalaikio ir trumpalaikio materialiojo turto nuomą</t>
  </si>
  <si>
    <t>Žemės realizavimo pajamos</t>
  </si>
  <si>
    <t>Pastatų ir statinių realizavimo pajamos</t>
  </si>
  <si>
    <r>
      <rPr>
        <b/>
        <sz val="12"/>
        <rFont val="Times New Roman"/>
        <family val="1"/>
        <charset val="186"/>
      </rPr>
      <t>Aplinkos apsaugos programa</t>
    </r>
    <r>
      <rPr>
        <sz val="12"/>
        <rFont val="Times New Roman"/>
        <family val="1"/>
        <charset val="186"/>
      </rPr>
      <t xml:space="preserve"> (savivaldybės biudžeto lėšos) </t>
    </r>
  </si>
  <si>
    <r>
      <rPr>
        <b/>
        <sz val="12"/>
        <rFont val="Times New Roman"/>
        <family val="1"/>
        <charset val="186"/>
      </rPr>
      <t xml:space="preserve">Kūno kultūros ir sporto plėtros programa </t>
    </r>
    <r>
      <rPr>
        <sz val="12"/>
        <rFont val="Times New Roman"/>
        <family val="1"/>
        <charset val="186"/>
      </rPr>
      <t xml:space="preserve">(savivaldybės biudžeto lėšos) </t>
    </r>
  </si>
  <si>
    <r>
      <t xml:space="preserve">Sveikatos apsaugos programa </t>
    </r>
    <r>
      <rPr>
        <sz val="12"/>
        <rFont val="Times New Roman"/>
        <family val="1"/>
        <charset val="186"/>
      </rPr>
      <t xml:space="preserve"> (savivaldybės biudžeto lėšos)</t>
    </r>
  </si>
  <si>
    <r>
      <rPr>
        <b/>
        <sz val="12"/>
        <rFont val="Times New Roman"/>
        <family val="1"/>
        <charset val="186"/>
      </rPr>
      <t xml:space="preserve">Kūno kultūros ir sporto plėtros programa </t>
    </r>
    <r>
      <rPr>
        <sz val="12"/>
        <rFont val="Times New Roman"/>
        <family val="1"/>
        <charset val="186"/>
      </rPr>
      <t>(savivaldybės biudžeto lėšos)</t>
    </r>
  </si>
  <si>
    <t>Savivaldybių patvirtintoms užimtumo didinimo programoms įgyvendinti</t>
  </si>
  <si>
    <t>Valstybės garantuojamos pirminės teisinės pagalbos teikimas</t>
  </si>
  <si>
    <t xml:space="preserve">Būsto nuomos mokesčio daliai kompensuoti </t>
  </si>
  <si>
    <t>Savivaldybei priskirtos valstybinės žemės ir kito valstybės turto valdymo, naudojimo ir disponavimo juo patikėjimo teise užtikrinimas</t>
  </si>
  <si>
    <t xml:space="preserve">Dotacija krantotvarkos programos priemonėms įgyvendinti </t>
  </si>
  <si>
    <t>Aplinkos apsaugos programa (dotacijos krantotvarkos programos priemonėms įgyvendinti lėšos)</t>
  </si>
  <si>
    <t xml:space="preserve">Jaunimo politikos plėtros programa </t>
  </si>
  <si>
    <t xml:space="preserve">2.6. Vietinės rinkliavos už leidimo prekiauti ar teikti paslaugas miesto viešosiose vietose išdavimą lėšų  likučio metų pradžioje lėšos </t>
  </si>
  <si>
    <t>Mokymo reikmėms finansuoti</t>
  </si>
  <si>
    <t>Ugdymo proceso užtikrinimo programa (specialios tikslinės dotacijos mokymo reikmėms finansuoti lėšos)</t>
  </si>
  <si>
    <t>Klaipėdos „Versmės“ progimnazijos sporto aikštyno atnaujinimas, I. Simonaitytės g. 2, Klaipėda</t>
  </si>
  <si>
    <r>
      <rPr>
        <b/>
        <sz val="12"/>
        <rFont val="Times New Roman"/>
        <family val="1"/>
        <charset val="186"/>
      </rPr>
      <t xml:space="preserve">Jaunimo politikos plėtros programa </t>
    </r>
    <r>
      <rPr>
        <sz val="12"/>
        <rFont val="Times New Roman"/>
        <family val="1"/>
        <charset val="186"/>
      </rPr>
      <t>(savivaldybės biudžeto lėšos)</t>
    </r>
  </si>
  <si>
    <t xml:space="preserve">2.8. Europos Sąjungos finansinės paramos lėšų likučio metų pradžioje lėšos </t>
  </si>
  <si>
    <t>Savivaldybių patvirtintoms užimtumo didinimo programoms įgyvendinti administravimas</t>
  </si>
  <si>
    <t>Būsto nuomos mokesčio daliai kompensuoti administravimas</t>
  </si>
  <si>
    <t>Stiprinti sveikos gyvensenos įgūdžius bendruomenėse bei vykdyti visuomenės sveikatos stebėseną savivaldybėse</t>
  </si>
  <si>
    <t>Plėtoti sveiką gyvenseną ir stiprinti mokinių sveikatos įgūdžius ugdymo įstaigose</t>
  </si>
  <si>
    <t>Savivaldybės valdymo  programa (specialios tikslinės dotacijos savivaldybėms perduotoms įstaigoms išlaikyti lėšos)</t>
  </si>
  <si>
    <t xml:space="preserve">iš jų kreditiniam įsiskolinimui dengti </t>
  </si>
  <si>
    <t xml:space="preserve">2.7. Vietinės rinkliavos už leidimo atlikti kasinėjimo darbus Savivaldybės viešojo naudojimo teritorijoje lėšų  likučio metų pradžioje lėšos </t>
  </si>
  <si>
    <t>Iš viso asignavimų (106-108):</t>
  </si>
  <si>
    <t>2.9. Už privatizuotus butus gautų lėšų likučio metų pradžioje lėšos</t>
  </si>
  <si>
    <t>Specialios tikslinės dotacijos (12+34+35+38+39+40)</t>
  </si>
  <si>
    <t>Valstybinėms (valstybės perduotoms savivaldybėms) funkcijoms atlikti (13+...+33)</t>
  </si>
  <si>
    <t>Savivaldybės erdvinių duomenų tvarkymas</t>
  </si>
  <si>
    <t>Savivaldybėms perduotoms įstaigoms išlaikyti (36+37)</t>
  </si>
  <si>
    <t xml:space="preserve">Vietinės reikšmės keliams (gatvėms) tiesti, rekonstruoti, taisyti (remontuoti), prižiūrėti ir saugaus eismo sąlygoms užtikrinti </t>
  </si>
  <si>
    <t>Klaipėdos Simono Dacho progimnazijos, Kuršių a. 3, Klaipėda, modernizavimas</t>
  </si>
  <si>
    <t>Dotacija išlaidoms, susijusioms su pedagoginių darbuotojų skaičiaus optimizavimu, apmokėti</t>
  </si>
  <si>
    <t xml:space="preserve">Europos Sąjungos finansinės paramos ir bendrojo finansavimo lėšos </t>
  </si>
  <si>
    <t>Ilgalaikiam materialiajam ir nematerialiajam turtui įsigyti (41+42+43)</t>
  </si>
  <si>
    <r>
      <rPr>
        <b/>
        <sz val="12"/>
        <rFont val="Times New Roman"/>
        <family val="1"/>
        <charset val="186"/>
      </rPr>
      <t>Susisiekimo sistemos priežiūros ir plėtros programa</t>
    </r>
    <r>
      <rPr>
        <sz val="12"/>
        <rFont val="Times New Roman"/>
        <family val="1"/>
        <charset val="186"/>
      </rPr>
      <t xml:space="preserve"> </t>
    </r>
  </si>
  <si>
    <t>Susisiekimo sistemos priežiūros ir plėtros programa (savivaldybės biudžeto lėšos)</t>
  </si>
  <si>
    <t>Susisiekimo sistemos priežiūros ir plėtros programa (specialios tikslinės dotacijos vietinės reikšmės keliams (gatvėms) tiesti, rekonstruoti, taisyti (remontuoti), prižiūrėti ir saugaus eismo sąlygoms užtikrinti lėšos)</t>
  </si>
  <si>
    <t>Ugdymo proceso užtikrinimo programa (specialios tikslinės dotacijos  ilgalaikiam materialiajam ir nematerialiajam turtui įsigyti lėšos)</t>
  </si>
  <si>
    <t>Ugdymo proceso užtikrinimo programa (dotacijos išlaidoms, susijusioms su pedagoginių darbuotojų skaičiaus optimizavimu, apmokėti lėšos)</t>
  </si>
  <si>
    <t>Sveikatos apsaugos programa (Europos Sąjungos finansinės paramos ir bendrojo finansavimo lėšos)</t>
  </si>
  <si>
    <t>Socialinės atskirties mažinimo programa (Europos Sąjungos finansinės paramos ir bendrojo finansavimo lėšos)</t>
  </si>
  <si>
    <t>Ugdymo proceso užtikrinimo programa (Europos Sąjungos finansinės paramos ir bendrojo finansavimo lėšos)</t>
  </si>
  <si>
    <t>Miesto urbanistinio planavimo programa  (Europos Sąjungos finansinės paramos ir bendrojo finansavimo lėšos)</t>
  </si>
  <si>
    <t>Kūno kultūros ir sporto plėtros programa (Europos Sąjungos finansinės paramos ir bendrojo finansavimo lėšos)</t>
  </si>
  <si>
    <t>Kultūros plėtros programa (Europos Sąjungos finansinės paramos ir bendrojo finansavimo lėšos)</t>
  </si>
  <si>
    <t>Susisiekimo sistemos priežiūros ir plėtros programa (Europos Sąjungos finansinės paramos ir bendrojo finansavimo lėšos)</t>
  </si>
  <si>
    <t>Aplinkos apsaugos programa (Europos Sąjungos finansinės paramos ir bendrojo finansavimo lėšos)</t>
  </si>
  <si>
    <t>Subalansuoto turizmo skatinimo ir vystymo programa  (Europos Sąjungos finansinės paramos ir bendrojo finansavimo lėšos)</t>
  </si>
  <si>
    <t>Asignavimų valdytojo pavadinimas</t>
  </si>
  <si>
    <t>2</t>
  </si>
  <si>
    <t>4</t>
  </si>
  <si>
    <t>6</t>
  </si>
  <si>
    <t>Biudžetinė įstaiga „Klaipėdos paplūdimiai“</t>
  </si>
  <si>
    <t>švietimo įstaigos</t>
  </si>
  <si>
    <t>sporto įstaigos</t>
  </si>
  <si>
    <t>kultūros įstaigos</t>
  </si>
  <si>
    <t>Socialinių reikalų departamentas (pajamos už gyvenamųjų patalpų nuomą)</t>
  </si>
  <si>
    <t>socialinės apsaugos įstaigos</t>
  </si>
  <si>
    <t>sveikatos apsaugos įstaigos</t>
  </si>
  <si>
    <t>Patikslintas planas</t>
  </si>
  <si>
    <t>Plano įvykdymas</t>
  </si>
  <si>
    <t>Rezultatas (pasikeitimas +, -)</t>
  </si>
  <si>
    <t>Įvykdyta procentais (kartais)</t>
  </si>
  <si>
    <t>KLAIPĖDOS MIESTO SAVIVALDYBĖS 2018 METŲ BIUDŽETO ĮVYKDYMO ATASKAITA</t>
  </si>
  <si>
    <t>Politinių kalinių ir tremtinių šeimų sugrįžimo į Lietuvą ir jų aprūpinimo programos įgyvendinimas savivaldybėse</t>
  </si>
  <si>
    <t xml:space="preserve">Dotacija neformaliajam vaikų švietimui </t>
  </si>
  <si>
    <t>Dotacija padangų atliekų transportavimui iki atliekų naudotojo</t>
  </si>
  <si>
    <t>Kito ilgalaikio turto ir atsargų realizavimo pajamos</t>
  </si>
  <si>
    <t>DOTACIJOS (10+11+45)</t>
  </si>
  <si>
    <t>Kitos dotacijos ir lėšos iš kitų valdymo lygių (46+...+49)</t>
  </si>
  <si>
    <t>KITOS PAJAMOS (51+...+59)</t>
  </si>
  <si>
    <t>MATERIALIOJO IR NEMATERIALIOJO TURTO REALIZAVIMO PAJAMOS (61)</t>
  </si>
  <si>
    <t>Ilgalaikio materialiojo turto realizavimo pajamos (62+63+64)</t>
  </si>
  <si>
    <t>Iš viso pajamų (1+9+50+60)</t>
  </si>
  <si>
    <t>5,0 karto</t>
  </si>
  <si>
    <t>2,6 karto</t>
  </si>
  <si>
    <t xml:space="preserve">2,3 karto </t>
  </si>
  <si>
    <t>ASIGNAVIMŲ IŠ APYVARTINIŲ LĖŠŲ 2018 M. SAUSIO 1 D. LIKUČIO ĮVYKDYMO ATASKAITA</t>
  </si>
  <si>
    <r>
      <t>Socialinės atskirties mažinimo programa</t>
    </r>
    <r>
      <rPr>
        <sz val="12"/>
        <rFont val="Times New Roman"/>
        <family val="1"/>
        <charset val="186"/>
      </rPr>
      <t xml:space="preserve"> </t>
    </r>
  </si>
  <si>
    <t xml:space="preserve"> Socialinės atskirties mažinimo programa (specialios tikslinės dotacijos ilgalaikiam materialiajam ir nematerialiajam turtui įsigyti lėšos)</t>
  </si>
  <si>
    <t>Miesto infrastruktūros objektų priežiūros ir modernizavimo programa  (Europos Sąjungos finansinės paramos ir bendrojo finansavimo lėšos)</t>
  </si>
  <si>
    <t>Aplinkos apsaugos programa (dotacijos padangų atliekų transportavimui iki atliekų naudotojo lėšos)</t>
  </si>
  <si>
    <t>Ugdymo proceso užtikrinimo programa (dotacijos   neformaliajam vaikų švietimui lėšos)</t>
  </si>
  <si>
    <t xml:space="preserve">Patikslintas planas </t>
  </si>
  <si>
    <t>Įvykdyta</t>
  </si>
  <si>
    <t>Rezultatas (pasikeiti-mas +,-)</t>
  </si>
  <si>
    <t>Įvykdyta procentais</t>
  </si>
  <si>
    <t>iš jų</t>
  </si>
  <si>
    <t>iš jų darbo užmokesčiui</t>
  </si>
  <si>
    <t>2018 METŲ ASIGNAVIMŲ VALDYTOJŲ PAJAMŲ ĮMOKŲ Į SAVIVALDYBĖS BIUDŽETĄ ĮVYKDYMO ATASKAITA</t>
  </si>
  <si>
    <t xml:space="preserve">Įmokos už išlaikymą švietimo, socialinės apsaugos ir kitose įstaigose </t>
  </si>
  <si>
    <t xml:space="preserve">Pajamos už prekes ir paslaugas </t>
  </si>
  <si>
    <t xml:space="preserve">Pajamos už patalpų nuomą </t>
  </si>
  <si>
    <t>Rezultatas (pasikeiti-mas +, -)</t>
  </si>
  <si>
    <t>8</t>
  </si>
  <si>
    <t>10</t>
  </si>
  <si>
    <t>12</t>
  </si>
  <si>
    <t>14</t>
  </si>
  <si>
    <t>Ugdymo proceso užtikrinimo programa (specialios tikslinės dotacijos ilgalaikiam materialiajam ir nematerialiajam turtui įsigyti lėšos)</t>
  </si>
  <si>
    <t xml:space="preserve">Patikslin-tas planas </t>
  </si>
  <si>
    <t>Rezulta-tas (pasikeiti-mas +,-)</t>
  </si>
  <si>
    <t>Įvykdyta procen-tais</t>
  </si>
  <si>
    <t>Patikslin-tas planas</t>
  </si>
  <si>
    <t>PATVIRTINTA</t>
  </si>
  <si>
    <t xml:space="preserve">Klaipėdos miesto savivaldybės </t>
  </si>
  <si>
    <t>tarybos sprendimu Nr.</t>
  </si>
  <si>
    <t>KLAIPĖDOS MIESTO SAVIVALDYBĖS 2018 METŲ BIUDŽETO ASIGNAVIMŲ PANAUDOJIMAS PAGAL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</si>
</sst>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General\."/>
  </numFmts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10"/>
      <name val="Arial"/>
      <family val="2"/>
      <charset val="186"/>
    </font>
    <font>
      <sz val="12"/>
      <color indexed="8"/>
      <name val="Times New Roman"/>
      <family val="1"/>
      <charset val="186"/>
    </font>
    <font>
      <sz val="12"/>
      <name val="Arial"/>
      <family val="2"/>
      <charset val="186"/>
    </font>
    <font>
      <sz val="12"/>
      <color theme="1"/>
      <name val="Times New Roman"/>
      <family val="1"/>
      <charset val="186"/>
    </font>
    <font>
      <i/>
      <sz val="12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1" applyFont="1"/>
    <xf numFmtId="0" fontId="1" fillId="0" borderId="0" xfId="1"/>
    <xf numFmtId="49" fontId="4" fillId="0" borderId="2" xfId="3" applyNumberFormat="1" applyFont="1" applyFill="1" applyBorder="1" applyAlignment="1" applyProtection="1">
      <alignment horizontal="left" wrapText="1"/>
      <protection hidden="1"/>
    </xf>
    <xf numFmtId="49" fontId="2" fillId="0" borderId="2" xfId="3" applyNumberFormat="1" applyFont="1" applyFill="1" applyBorder="1" applyAlignment="1" applyProtection="1">
      <alignment horizontal="left" wrapText="1"/>
      <protection hidden="1"/>
    </xf>
    <xf numFmtId="0" fontId="5" fillId="0" borderId="0" xfId="1" applyFont="1"/>
    <xf numFmtId="0" fontId="2" fillId="0" borderId="2" xfId="1" applyFont="1" applyFill="1" applyBorder="1" applyAlignment="1">
      <alignment horizontal="left" wrapText="1"/>
    </xf>
    <xf numFmtId="0" fontId="4" fillId="0" borderId="2" xfId="1" applyFont="1" applyFill="1" applyBorder="1" applyAlignment="1">
      <alignment horizontal="left" wrapText="1"/>
    </xf>
    <xf numFmtId="0" fontId="2" fillId="0" borderId="0" xfId="1" applyFont="1" applyFill="1"/>
    <xf numFmtId="0" fontId="1" fillId="0" borderId="0" xfId="1" applyFont="1"/>
    <xf numFmtId="0" fontId="4" fillId="0" borderId="2" xfId="1" applyFont="1" applyFill="1" applyBorder="1" applyAlignment="1">
      <alignment wrapText="1"/>
    </xf>
    <xf numFmtId="0" fontId="2" fillId="0" borderId="2" xfId="1" applyFont="1" applyFill="1" applyBorder="1" applyAlignment="1">
      <alignment wrapText="1"/>
    </xf>
    <xf numFmtId="165" fontId="2" fillId="0" borderId="2" xfId="1" applyNumberFormat="1" applyFont="1" applyFill="1" applyBorder="1" applyAlignment="1">
      <alignment horizontal="center"/>
    </xf>
    <xf numFmtId="164" fontId="6" fillId="0" borderId="2" xfId="1" applyNumberFormat="1" applyFont="1" applyFill="1" applyBorder="1" applyAlignment="1">
      <alignment horizontal="left" wrapText="1"/>
    </xf>
    <xf numFmtId="164" fontId="4" fillId="0" borderId="2" xfId="1" applyNumberFormat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center" vertical="top" wrapText="1"/>
    </xf>
    <xf numFmtId="0" fontId="7" fillId="0" borderId="0" xfId="1" applyFont="1" applyAlignment="1">
      <alignment horizontal="center"/>
    </xf>
    <xf numFmtId="0" fontId="1" fillId="0" borderId="1" xfId="1" applyBorder="1"/>
    <xf numFmtId="164" fontId="4" fillId="0" borderId="2" xfId="1" applyNumberFormat="1" applyFont="1" applyFill="1" applyBorder="1"/>
    <xf numFmtId="164" fontId="2" fillId="0" borderId="2" xfId="1" applyNumberFormat="1" applyFont="1" applyFill="1" applyBorder="1"/>
    <xf numFmtId="164" fontId="2" fillId="0" borderId="2" xfId="1" applyNumberFormat="1" applyFont="1" applyFill="1" applyBorder="1" applyAlignment="1">
      <alignment horizontal="left" wrapText="1"/>
    </xf>
    <xf numFmtId="0" fontId="2" fillId="0" borderId="0" xfId="1" applyFont="1" applyFill="1" applyAlignment="1">
      <alignment horizontal="center"/>
    </xf>
    <xf numFmtId="0" fontId="4" fillId="0" borderId="0" xfId="1" applyFont="1" applyFill="1" applyAlignment="1"/>
    <xf numFmtId="0" fontId="2" fillId="0" borderId="2" xfId="0" applyFont="1" applyFill="1" applyBorder="1" applyAlignment="1">
      <alignment wrapText="1"/>
    </xf>
    <xf numFmtId="164" fontId="2" fillId="0" borderId="2" xfId="1" applyNumberFormat="1" applyFont="1" applyFill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right" wrapText="1"/>
    </xf>
    <xf numFmtId="164" fontId="2" fillId="0" borderId="2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right" wrapText="1"/>
    </xf>
    <xf numFmtId="164" fontId="4" fillId="0" borderId="2" xfId="1" applyNumberFormat="1" applyFont="1" applyFill="1" applyBorder="1" applyAlignment="1">
      <alignment horizontal="right"/>
    </xf>
    <xf numFmtId="164" fontId="1" fillId="0" borderId="0" xfId="1" applyNumberFormat="1"/>
    <xf numFmtId="49" fontId="2" fillId="0" borderId="2" xfId="3" applyNumberFormat="1" applyFont="1" applyFill="1" applyBorder="1" applyAlignment="1" applyProtection="1">
      <alignment horizontal="center" wrapText="1"/>
      <protection hidden="1"/>
    </xf>
    <xf numFmtId="0" fontId="9" fillId="0" borderId="2" xfId="1" applyFont="1" applyFill="1" applyBorder="1" applyAlignment="1">
      <alignment horizontal="left" wrapText="1"/>
    </xf>
    <xf numFmtId="49" fontId="9" fillId="0" borderId="2" xfId="3" applyNumberFormat="1" applyFont="1" applyFill="1" applyBorder="1" applyAlignment="1" applyProtection="1">
      <alignment horizontal="left" wrapText="1"/>
      <protection hidden="1"/>
    </xf>
    <xf numFmtId="0" fontId="0" fillId="0" borderId="1" xfId="0" applyBorder="1"/>
    <xf numFmtId="9" fontId="1" fillId="0" borderId="0" xfId="8" applyFont="1"/>
    <xf numFmtId="0" fontId="4" fillId="0" borderId="2" xfId="0" applyFont="1" applyFill="1" applyBorder="1" applyAlignment="1">
      <alignment wrapText="1"/>
    </xf>
    <xf numFmtId="0" fontId="4" fillId="0" borderId="0" xfId="1" applyFont="1" applyFill="1" applyAlignment="1">
      <alignment horizontal="center" wrapText="1"/>
    </xf>
    <xf numFmtId="164" fontId="2" fillId="0" borderId="2" xfId="1" applyNumberFormat="1" applyFont="1" applyBorder="1"/>
    <xf numFmtId="164" fontId="4" fillId="0" borderId="2" xfId="1" applyNumberFormat="1" applyFont="1" applyBorder="1"/>
    <xf numFmtId="0" fontId="1" fillId="0" borderId="0" xfId="1" applyFill="1"/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justify" vertical="justify"/>
    </xf>
    <xf numFmtId="0" fontId="4" fillId="0" borderId="0" xfId="1" applyFont="1" applyFill="1" applyBorder="1" applyAlignment="1"/>
    <xf numFmtId="0" fontId="2" fillId="0" borderId="0" xfId="1" applyFont="1" applyFill="1" applyBorder="1"/>
    <xf numFmtId="22" fontId="2" fillId="0" borderId="0" xfId="1" applyNumberFormat="1" applyFont="1" applyFill="1" applyBorder="1"/>
    <xf numFmtId="0" fontId="4" fillId="0" borderId="0" xfId="1" applyFont="1" applyFill="1" applyBorder="1"/>
    <xf numFmtId="0" fontId="2" fillId="0" borderId="0" xfId="1" applyFont="1" applyBorder="1"/>
    <xf numFmtId="49" fontId="2" fillId="0" borderId="2" xfId="3" applyNumberFormat="1" applyFont="1" applyFill="1" applyBorder="1" applyAlignment="1" applyProtection="1">
      <alignment horizontal="center" wrapText="1"/>
      <protection locked="0"/>
    </xf>
    <xf numFmtId="165" fontId="2" fillId="0" borderId="2" xfId="3" applyNumberFormat="1" applyFont="1" applyFill="1" applyBorder="1" applyAlignment="1" applyProtection="1">
      <alignment horizontal="center" vertical="center"/>
      <protection hidden="1"/>
    </xf>
    <xf numFmtId="0" fontId="5" fillId="0" borderId="0" xfId="1" applyFont="1" applyFill="1" applyBorder="1"/>
    <xf numFmtId="0" fontId="1" fillId="0" borderId="0" xfId="1" applyFont="1" applyFill="1" applyBorder="1"/>
    <xf numFmtId="0" fontId="2" fillId="0" borderId="0" xfId="1" applyFont="1" applyFill="1" applyBorder="1" applyAlignment="1"/>
    <xf numFmtId="164" fontId="2" fillId="0" borderId="2" xfId="1" applyNumberFormat="1" applyFont="1" applyBorder="1" applyAlignment="1">
      <alignment horizontal="right"/>
    </xf>
    <xf numFmtId="0" fontId="5" fillId="0" borderId="0" xfId="1" applyFont="1" applyFill="1"/>
    <xf numFmtId="0" fontId="4" fillId="0" borderId="0" xfId="1" applyFont="1" applyFill="1"/>
    <xf numFmtId="0" fontId="4" fillId="0" borderId="0" xfId="1" applyFont="1" applyFill="1" applyAlignment="1">
      <alignment wrapText="1"/>
    </xf>
    <xf numFmtId="0" fontId="2" fillId="0" borderId="1" xfId="7" applyFont="1" applyFill="1" applyBorder="1"/>
    <xf numFmtId="0" fontId="1" fillId="0" borderId="1" xfId="1" applyFont="1" applyFill="1" applyBorder="1"/>
    <xf numFmtId="164" fontId="1" fillId="0" borderId="1" xfId="1" applyNumberFormat="1" applyBorder="1"/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/>
    </xf>
    <xf numFmtId="164" fontId="2" fillId="0" borderId="2" xfId="3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Font="1" applyFill="1"/>
    <xf numFmtId="0" fontId="4" fillId="0" borderId="0" xfId="1" applyFont="1" applyFill="1" applyAlignment="1">
      <alignment horizontal="left"/>
    </xf>
    <xf numFmtId="0" fontId="8" fillId="0" borderId="0" xfId="0" applyFont="1" applyAlignment="1"/>
    <xf numFmtId="0" fontId="2" fillId="0" borderId="2" xfId="1" applyFont="1" applyFill="1" applyBorder="1" applyAlignment="1">
      <alignment vertical="center"/>
    </xf>
    <xf numFmtId="0" fontId="2" fillId="0" borderId="2" xfId="1" applyFont="1" applyFill="1" applyBorder="1" applyAlignment="1">
      <alignment vertical="center" wrapText="1"/>
    </xf>
    <xf numFmtId="0" fontId="8" fillId="0" borderId="0" xfId="0" applyFont="1" applyFill="1"/>
    <xf numFmtId="0" fontId="11" fillId="0" borderId="0" xfId="1" applyFont="1" applyFill="1"/>
    <xf numFmtId="0" fontId="8" fillId="0" borderId="0" xfId="0" applyFont="1" applyAlignment="1"/>
    <xf numFmtId="0" fontId="4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wrapText="1"/>
    </xf>
    <xf numFmtId="165" fontId="2" fillId="0" borderId="2" xfId="1" applyNumberFormat="1" applyFont="1" applyFill="1" applyBorder="1" applyAlignment="1">
      <alignment horizontal="center" vertical="center"/>
    </xf>
    <xf numFmtId="49" fontId="2" fillId="0" borderId="3" xfId="3" applyNumberFormat="1" applyFont="1" applyFill="1" applyBorder="1" applyAlignment="1" applyProtection="1">
      <alignment horizontal="center" vertical="center" wrapText="1"/>
      <protection hidden="1"/>
    </xf>
    <xf numFmtId="49" fontId="2" fillId="0" borderId="5" xfId="3" applyNumberFormat="1" applyFont="1" applyFill="1" applyBorder="1" applyAlignment="1" applyProtection="1">
      <alignment horizontal="center" vertical="center" wrapText="1"/>
      <protection hidden="1"/>
    </xf>
    <xf numFmtId="49" fontId="2" fillId="0" borderId="4" xfId="3" applyNumberFormat="1" applyFont="1" applyFill="1" applyBorder="1" applyAlignment="1" applyProtection="1">
      <alignment horizontal="center" vertical="center" wrapText="1"/>
      <protection hidden="1"/>
    </xf>
    <xf numFmtId="49" fontId="2" fillId="0" borderId="2" xfId="3" applyNumberFormat="1" applyFont="1" applyFill="1" applyBorder="1" applyAlignment="1" applyProtection="1">
      <alignment horizontal="center" vertical="center" wrapText="1"/>
      <protection hidden="1"/>
    </xf>
    <xf numFmtId="164" fontId="2" fillId="0" borderId="2" xfId="3" applyNumberFormat="1" applyFont="1" applyFill="1" applyBorder="1" applyAlignment="1" applyProtection="1">
      <alignment horizontal="center" vertical="justify" wrapText="1"/>
      <protection hidden="1"/>
    </xf>
    <xf numFmtId="164" fontId="2" fillId="0" borderId="2" xfId="3" applyNumberFormat="1" applyFont="1" applyFill="1" applyBorder="1" applyAlignment="1" applyProtection="1">
      <alignment horizontal="center" vertical="center" wrapText="1"/>
      <protection hidden="1"/>
    </xf>
  </cellXfs>
  <cellStyles count="9">
    <cellStyle name="Įprastas" xfId="0" builtinId="0"/>
    <cellStyle name="Įprastas 2" xfId="1"/>
    <cellStyle name="Įprastas 3" xfId="2"/>
    <cellStyle name="Įprastas 3 2" xfId="7"/>
    <cellStyle name="Normal 2" xfId="4"/>
    <cellStyle name="Normal_SAVAPYSsssss" xfId="3"/>
    <cellStyle name="Procentai" xfId="8" builtinId="5"/>
    <cellStyle name="Procentai 2" xfId="5"/>
    <cellStyle name="Procentai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opLeftCell="B1" zoomScale="115" zoomScaleNormal="115" workbookViewId="0">
      <selection activeCell="F10" sqref="F10"/>
    </sheetView>
  </sheetViews>
  <sheetFormatPr defaultRowHeight="12.75" x14ac:dyDescent="0.2"/>
  <cols>
    <col min="1" max="1" width="9.140625" style="2"/>
    <col min="2" max="2" width="60" style="2" customWidth="1"/>
    <col min="3" max="3" width="13.28515625" style="2" customWidth="1"/>
    <col min="4" max="4" width="11.42578125" style="2" customWidth="1"/>
    <col min="5" max="5" width="13.140625" style="2" customWidth="1"/>
    <col min="6" max="6" width="11.5703125" style="2" customWidth="1"/>
    <col min="7" max="141" width="9.140625" style="2"/>
    <col min="142" max="142" width="60" style="2" customWidth="1"/>
    <col min="143" max="143" width="17.28515625" style="2" customWidth="1"/>
    <col min="144" max="144" width="13.28515625" style="2" customWidth="1"/>
    <col min="145" max="145" width="12" style="2" customWidth="1"/>
    <col min="146" max="397" width="9.140625" style="2"/>
    <col min="398" max="398" width="60" style="2" customWidth="1"/>
    <col min="399" max="399" width="17.28515625" style="2" customWidth="1"/>
    <col min="400" max="400" width="13.28515625" style="2" customWidth="1"/>
    <col min="401" max="401" width="12" style="2" customWidth="1"/>
    <col min="402" max="653" width="9.140625" style="2"/>
    <col min="654" max="654" width="60" style="2" customWidth="1"/>
    <col min="655" max="655" width="17.28515625" style="2" customWidth="1"/>
    <col min="656" max="656" width="13.28515625" style="2" customWidth="1"/>
    <col min="657" max="657" width="12" style="2" customWidth="1"/>
    <col min="658" max="909" width="9.140625" style="2"/>
    <col min="910" max="910" width="60" style="2" customWidth="1"/>
    <col min="911" max="911" width="17.28515625" style="2" customWidth="1"/>
    <col min="912" max="912" width="13.28515625" style="2" customWidth="1"/>
    <col min="913" max="913" width="12" style="2" customWidth="1"/>
    <col min="914" max="1165" width="9.140625" style="2"/>
    <col min="1166" max="1166" width="60" style="2" customWidth="1"/>
    <col min="1167" max="1167" width="17.28515625" style="2" customWidth="1"/>
    <col min="1168" max="1168" width="13.28515625" style="2" customWidth="1"/>
    <col min="1169" max="1169" width="12" style="2" customWidth="1"/>
    <col min="1170" max="1421" width="9.140625" style="2"/>
    <col min="1422" max="1422" width="60" style="2" customWidth="1"/>
    <col min="1423" max="1423" width="17.28515625" style="2" customWidth="1"/>
    <col min="1424" max="1424" width="13.28515625" style="2" customWidth="1"/>
    <col min="1425" max="1425" width="12" style="2" customWidth="1"/>
    <col min="1426" max="1677" width="9.140625" style="2"/>
    <col min="1678" max="1678" width="60" style="2" customWidth="1"/>
    <col min="1679" max="1679" width="17.28515625" style="2" customWidth="1"/>
    <col min="1680" max="1680" width="13.28515625" style="2" customWidth="1"/>
    <col min="1681" max="1681" width="12" style="2" customWidth="1"/>
    <col min="1682" max="1933" width="9.140625" style="2"/>
    <col min="1934" max="1934" width="60" style="2" customWidth="1"/>
    <col min="1935" max="1935" width="17.28515625" style="2" customWidth="1"/>
    <col min="1936" max="1936" width="13.28515625" style="2" customWidth="1"/>
    <col min="1937" max="1937" width="12" style="2" customWidth="1"/>
    <col min="1938" max="2189" width="9.140625" style="2"/>
    <col min="2190" max="2190" width="60" style="2" customWidth="1"/>
    <col min="2191" max="2191" width="17.28515625" style="2" customWidth="1"/>
    <col min="2192" max="2192" width="13.28515625" style="2" customWidth="1"/>
    <col min="2193" max="2193" width="12" style="2" customWidth="1"/>
    <col min="2194" max="2445" width="9.140625" style="2"/>
    <col min="2446" max="2446" width="60" style="2" customWidth="1"/>
    <col min="2447" max="2447" width="17.28515625" style="2" customWidth="1"/>
    <col min="2448" max="2448" width="13.28515625" style="2" customWidth="1"/>
    <col min="2449" max="2449" width="12" style="2" customWidth="1"/>
    <col min="2450" max="2701" width="9.140625" style="2"/>
    <col min="2702" max="2702" width="60" style="2" customWidth="1"/>
    <col min="2703" max="2703" width="17.28515625" style="2" customWidth="1"/>
    <col min="2704" max="2704" width="13.28515625" style="2" customWidth="1"/>
    <col min="2705" max="2705" width="12" style="2" customWidth="1"/>
    <col min="2706" max="2957" width="9.140625" style="2"/>
    <col min="2958" max="2958" width="60" style="2" customWidth="1"/>
    <col min="2959" max="2959" width="17.28515625" style="2" customWidth="1"/>
    <col min="2960" max="2960" width="13.28515625" style="2" customWidth="1"/>
    <col min="2961" max="2961" width="12" style="2" customWidth="1"/>
    <col min="2962" max="3213" width="9.140625" style="2"/>
    <col min="3214" max="3214" width="60" style="2" customWidth="1"/>
    <col min="3215" max="3215" width="17.28515625" style="2" customWidth="1"/>
    <col min="3216" max="3216" width="13.28515625" style="2" customWidth="1"/>
    <col min="3217" max="3217" width="12" style="2" customWidth="1"/>
    <col min="3218" max="3469" width="9.140625" style="2"/>
    <col min="3470" max="3470" width="60" style="2" customWidth="1"/>
    <col min="3471" max="3471" width="17.28515625" style="2" customWidth="1"/>
    <col min="3472" max="3472" width="13.28515625" style="2" customWidth="1"/>
    <col min="3473" max="3473" width="12" style="2" customWidth="1"/>
    <col min="3474" max="3725" width="9.140625" style="2"/>
    <col min="3726" max="3726" width="60" style="2" customWidth="1"/>
    <col min="3727" max="3727" width="17.28515625" style="2" customWidth="1"/>
    <col min="3728" max="3728" width="13.28515625" style="2" customWidth="1"/>
    <col min="3729" max="3729" width="12" style="2" customWidth="1"/>
    <col min="3730" max="3981" width="9.140625" style="2"/>
    <col min="3982" max="3982" width="60" style="2" customWidth="1"/>
    <col min="3983" max="3983" width="17.28515625" style="2" customWidth="1"/>
    <col min="3984" max="3984" width="13.28515625" style="2" customWidth="1"/>
    <col min="3985" max="3985" width="12" style="2" customWidth="1"/>
    <col min="3986" max="4237" width="9.140625" style="2"/>
    <col min="4238" max="4238" width="60" style="2" customWidth="1"/>
    <col min="4239" max="4239" width="17.28515625" style="2" customWidth="1"/>
    <col min="4240" max="4240" width="13.28515625" style="2" customWidth="1"/>
    <col min="4241" max="4241" width="12" style="2" customWidth="1"/>
    <col min="4242" max="4493" width="9.140625" style="2"/>
    <col min="4494" max="4494" width="60" style="2" customWidth="1"/>
    <col min="4495" max="4495" width="17.28515625" style="2" customWidth="1"/>
    <col min="4496" max="4496" width="13.28515625" style="2" customWidth="1"/>
    <col min="4497" max="4497" width="12" style="2" customWidth="1"/>
    <col min="4498" max="4749" width="9.140625" style="2"/>
    <col min="4750" max="4750" width="60" style="2" customWidth="1"/>
    <col min="4751" max="4751" width="17.28515625" style="2" customWidth="1"/>
    <col min="4752" max="4752" width="13.28515625" style="2" customWidth="1"/>
    <col min="4753" max="4753" width="12" style="2" customWidth="1"/>
    <col min="4754" max="5005" width="9.140625" style="2"/>
    <col min="5006" max="5006" width="60" style="2" customWidth="1"/>
    <col min="5007" max="5007" width="17.28515625" style="2" customWidth="1"/>
    <col min="5008" max="5008" width="13.28515625" style="2" customWidth="1"/>
    <col min="5009" max="5009" width="12" style="2" customWidth="1"/>
    <col min="5010" max="5261" width="9.140625" style="2"/>
    <col min="5262" max="5262" width="60" style="2" customWidth="1"/>
    <col min="5263" max="5263" width="17.28515625" style="2" customWidth="1"/>
    <col min="5264" max="5264" width="13.28515625" style="2" customWidth="1"/>
    <col min="5265" max="5265" width="12" style="2" customWidth="1"/>
    <col min="5266" max="5517" width="9.140625" style="2"/>
    <col min="5518" max="5518" width="60" style="2" customWidth="1"/>
    <col min="5519" max="5519" width="17.28515625" style="2" customWidth="1"/>
    <col min="5520" max="5520" width="13.28515625" style="2" customWidth="1"/>
    <col min="5521" max="5521" width="12" style="2" customWidth="1"/>
    <col min="5522" max="5773" width="9.140625" style="2"/>
    <col min="5774" max="5774" width="60" style="2" customWidth="1"/>
    <col min="5775" max="5775" width="17.28515625" style="2" customWidth="1"/>
    <col min="5776" max="5776" width="13.28515625" style="2" customWidth="1"/>
    <col min="5777" max="5777" width="12" style="2" customWidth="1"/>
    <col min="5778" max="6029" width="9.140625" style="2"/>
    <col min="6030" max="6030" width="60" style="2" customWidth="1"/>
    <col min="6031" max="6031" width="17.28515625" style="2" customWidth="1"/>
    <col min="6032" max="6032" width="13.28515625" style="2" customWidth="1"/>
    <col min="6033" max="6033" width="12" style="2" customWidth="1"/>
    <col min="6034" max="6285" width="9.140625" style="2"/>
    <col min="6286" max="6286" width="60" style="2" customWidth="1"/>
    <col min="6287" max="6287" width="17.28515625" style="2" customWidth="1"/>
    <col min="6288" max="6288" width="13.28515625" style="2" customWidth="1"/>
    <col min="6289" max="6289" width="12" style="2" customWidth="1"/>
    <col min="6290" max="6541" width="9.140625" style="2"/>
    <col min="6542" max="6542" width="60" style="2" customWidth="1"/>
    <col min="6543" max="6543" width="17.28515625" style="2" customWidth="1"/>
    <col min="6544" max="6544" width="13.28515625" style="2" customWidth="1"/>
    <col min="6545" max="6545" width="12" style="2" customWidth="1"/>
    <col min="6546" max="6797" width="9.140625" style="2"/>
    <col min="6798" max="6798" width="60" style="2" customWidth="1"/>
    <col min="6799" max="6799" width="17.28515625" style="2" customWidth="1"/>
    <col min="6800" max="6800" width="13.28515625" style="2" customWidth="1"/>
    <col min="6801" max="6801" width="12" style="2" customWidth="1"/>
    <col min="6802" max="7053" width="9.140625" style="2"/>
    <col min="7054" max="7054" width="60" style="2" customWidth="1"/>
    <col min="7055" max="7055" width="17.28515625" style="2" customWidth="1"/>
    <col min="7056" max="7056" width="13.28515625" style="2" customWidth="1"/>
    <col min="7057" max="7057" width="12" style="2" customWidth="1"/>
    <col min="7058" max="7309" width="9.140625" style="2"/>
    <col min="7310" max="7310" width="60" style="2" customWidth="1"/>
    <col min="7311" max="7311" width="17.28515625" style="2" customWidth="1"/>
    <col min="7312" max="7312" width="13.28515625" style="2" customWidth="1"/>
    <col min="7313" max="7313" width="12" style="2" customWidth="1"/>
    <col min="7314" max="7565" width="9.140625" style="2"/>
    <col min="7566" max="7566" width="60" style="2" customWidth="1"/>
    <col min="7567" max="7567" width="17.28515625" style="2" customWidth="1"/>
    <col min="7568" max="7568" width="13.28515625" style="2" customWidth="1"/>
    <col min="7569" max="7569" width="12" style="2" customWidth="1"/>
    <col min="7570" max="7821" width="9.140625" style="2"/>
    <col min="7822" max="7822" width="60" style="2" customWidth="1"/>
    <col min="7823" max="7823" width="17.28515625" style="2" customWidth="1"/>
    <col min="7824" max="7824" width="13.28515625" style="2" customWidth="1"/>
    <col min="7825" max="7825" width="12" style="2" customWidth="1"/>
    <col min="7826" max="8077" width="9.140625" style="2"/>
    <col min="8078" max="8078" width="60" style="2" customWidth="1"/>
    <col min="8079" max="8079" width="17.28515625" style="2" customWidth="1"/>
    <col min="8080" max="8080" width="13.28515625" style="2" customWidth="1"/>
    <col min="8081" max="8081" width="12" style="2" customWidth="1"/>
    <col min="8082" max="8333" width="9.140625" style="2"/>
    <col min="8334" max="8334" width="60" style="2" customWidth="1"/>
    <col min="8335" max="8335" width="17.28515625" style="2" customWidth="1"/>
    <col min="8336" max="8336" width="13.28515625" style="2" customWidth="1"/>
    <col min="8337" max="8337" width="12" style="2" customWidth="1"/>
    <col min="8338" max="8589" width="9.140625" style="2"/>
    <col min="8590" max="8590" width="60" style="2" customWidth="1"/>
    <col min="8591" max="8591" width="17.28515625" style="2" customWidth="1"/>
    <col min="8592" max="8592" width="13.28515625" style="2" customWidth="1"/>
    <col min="8593" max="8593" width="12" style="2" customWidth="1"/>
    <col min="8594" max="8845" width="9.140625" style="2"/>
    <col min="8846" max="8846" width="60" style="2" customWidth="1"/>
    <col min="8847" max="8847" width="17.28515625" style="2" customWidth="1"/>
    <col min="8848" max="8848" width="13.28515625" style="2" customWidth="1"/>
    <col min="8849" max="8849" width="12" style="2" customWidth="1"/>
    <col min="8850" max="9101" width="9.140625" style="2"/>
    <col min="9102" max="9102" width="60" style="2" customWidth="1"/>
    <col min="9103" max="9103" width="17.28515625" style="2" customWidth="1"/>
    <col min="9104" max="9104" width="13.28515625" style="2" customWidth="1"/>
    <col min="9105" max="9105" width="12" style="2" customWidth="1"/>
    <col min="9106" max="9357" width="9.140625" style="2"/>
    <col min="9358" max="9358" width="60" style="2" customWidth="1"/>
    <col min="9359" max="9359" width="17.28515625" style="2" customWidth="1"/>
    <col min="9360" max="9360" width="13.28515625" style="2" customWidth="1"/>
    <col min="9361" max="9361" width="12" style="2" customWidth="1"/>
    <col min="9362" max="9613" width="9.140625" style="2"/>
    <col min="9614" max="9614" width="60" style="2" customWidth="1"/>
    <col min="9615" max="9615" width="17.28515625" style="2" customWidth="1"/>
    <col min="9616" max="9616" width="13.28515625" style="2" customWidth="1"/>
    <col min="9617" max="9617" width="12" style="2" customWidth="1"/>
    <col min="9618" max="9869" width="9.140625" style="2"/>
    <col min="9870" max="9870" width="60" style="2" customWidth="1"/>
    <col min="9871" max="9871" width="17.28515625" style="2" customWidth="1"/>
    <col min="9872" max="9872" width="13.28515625" style="2" customWidth="1"/>
    <col min="9873" max="9873" width="12" style="2" customWidth="1"/>
    <col min="9874" max="10125" width="9.140625" style="2"/>
    <col min="10126" max="10126" width="60" style="2" customWidth="1"/>
    <col min="10127" max="10127" width="17.28515625" style="2" customWidth="1"/>
    <col min="10128" max="10128" width="13.28515625" style="2" customWidth="1"/>
    <col min="10129" max="10129" width="12" style="2" customWidth="1"/>
    <col min="10130" max="10381" width="9.140625" style="2"/>
    <col min="10382" max="10382" width="60" style="2" customWidth="1"/>
    <col min="10383" max="10383" width="17.28515625" style="2" customWidth="1"/>
    <col min="10384" max="10384" width="13.28515625" style="2" customWidth="1"/>
    <col min="10385" max="10385" width="12" style="2" customWidth="1"/>
    <col min="10386" max="10637" width="9.140625" style="2"/>
    <col min="10638" max="10638" width="60" style="2" customWidth="1"/>
    <col min="10639" max="10639" width="17.28515625" style="2" customWidth="1"/>
    <col min="10640" max="10640" width="13.28515625" style="2" customWidth="1"/>
    <col min="10641" max="10641" width="12" style="2" customWidth="1"/>
    <col min="10642" max="10893" width="9.140625" style="2"/>
    <col min="10894" max="10894" width="60" style="2" customWidth="1"/>
    <col min="10895" max="10895" width="17.28515625" style="2" customWidth="1"/>
    <col min="10896" max="10896" width="13.28515625" style="2" customWidth="1"/>
    <col min="10897" max="10897" width="12" style="2" customWidth="1"/>
    <col min="10898" max="11149" width="9.140625" style="2"/>
    <col min="11150" max="11150" width="60" style="2" customWidth="1"/>
    <col min="11151" max="11151" width="17.28515625" style="2" customWidth="1"/>
    <col min="11152" max="11152" width="13.28515625" style="2" customWidth="1"/>
    <col min="11153" max="11153" width="12" style="2" customWidth="1"/>
    <col min="11154" max="11405" width="9.140625" style="2"/>
    <col min="11406" max="11406" width="60" style="2" customWidth="1"/>
    <col min="11407" max="11407" width="17.28515625" style="2" customWidth="1"/>
    <col min="11408" max="11408" width="13.28515625" style="2" customWidth="1"/>
    <col min="11409" max="11409" width="12" style="2" customWidth="1"/>
    <col min="11410" max="11661" width="9.140625" style="2"/>
    <col min="11662" max="11662" width="60" style="2" customWidth="1"/>
    <col min="11663" max="11663" width="17.28515625" style="2" customWidth="1"/>
    <col min="11664" max="11664" width="13.28515625" style="2" customWidth="1"/>
    <col min="11665" max="11665" width="12" style="2" customWidth="1"/>
    <col min="11666" max="11917" width="9.140625" style="2"/>
    <col min="11918" max="11918" width="60" style="2" customWidth="1"/>
    <col min="11919" max="11919" width="17.28515625" style="2" customWidth="1"/>
    <col min="11920" max="11920" width="13.28515625" style="2" customWidth="1"/>
    <col min="11921" max="11921" width="12" style="2" customWidth="1"/>
    <col min="11922" max="12173" width="9.140625" style="2"/>
    <col min="12174" max="12174" width="60" style="2" customWidth="1"/>
    <col min="12175" max="12175" width="17.28515625" style="2" customWidth="1"/>
    <col min="12176" max="12176" width="13.28515625" style="2" customWidth="1"/>
    <col min="12177" max="12177" width="12" style="2" customWidth="1"/>
    <col min="12178" max="12429" width="9.140625" style="2"/>
    <col min="12430" max="12430" width="60" style="2" customWidth="1"/>
    <col min="12431" max="12431" width="17.28515625" style="2" customWidth="1"/>
    <col min="12432" max="12432" width="13.28515625" style="2" customWidth="1"/>
    <col min="12433" max="12433" width="12" style="2" customWidth="1"/>
    <col min="12434" max="12685" width="9.140625" style="2"/>
    <col min="12686" max="12686" width="60" style="2" customWidth="1"/>
    <col min="12687" max="12687" width="17.28515625" style="2" customWidth="1"/>
    <col min="12688" max="12688" width="13.28515625" style="2" customWidth="1"/>
    <col min="12689" max="12689" width="12" style="2" customWidth="1"/>
    <col min="12690" max="12941" width="9.140625" style="2"/>
    <col min="12942" max="12942" width="60" style="2" customWidth="1"/>
    <col min="12943" max="12943" width="17.28515625" style="2" customWidth="1"/>
    <col min="12944" max="12944" width="13.28515625" style="2" customWidth="1"/>
    <col min="12945" max="12945" width="12" style="2" customWidth="1"/>
    <col min="12946" max="13197" width="9.140625" style="2"/>
    <col min="13198" max="13198" width="60" style="2" customWidth="1"/>
    <col min="13199" max="13199" width="17.28515625" style="2" customWidth="1"/>
    <col min="13200" max="13200" width="13.28515625" style="2" customWidth="1"/>
    <col min="13201" max="13201" width="12" style="2" customWidth="1"/>
    <col min="13202" max="13453" width="9.140625" style="2"/>
    <col min="13454" max="13454" width="60" style="2" customWidth="1"/>
    <col min="13455" max="13455" width="17.28515625" style="2" customWidth="1"/>
    <col min="13456" max="13456" width="13.28515625" style="2" customWidth="1"/>
    <col min="13457" max="13457" width="12" style="2" customWidth="1"/>
    <col min="13458" max="13709" width="9.140625" style="2"/>
    <col min="13710" max="13710" width="60" style="2" customWidth="1"/>
    <col min="13711" max="13711" width="17.28515625" style="2" customWidth="1"/>
    <col min="13712" max="13712" width="13.28515625" style="2" customWidth="1"/>
    <col min="13713" max="13713" width="12" style="2" customWidth="1"/>
    <col min="13714" max="13965" width="9.140625" style="2"/>
    <col min="13966" max="13966" width="60" style="2" customWidth="1"/>
    <col min="13967" max="13967" width="17.28515625" style="2" customWidth="1"/>
    <col min="13968" max="13968" width="13.28515625" style="2" customWidth="1"/>
    <col min="13969" max="13969" width="12" style="2" customWidth="1"/>
    <col min="13970" max="14221" width="9.140625" style="2"/>
    <col min="14222" max="14222" width="60" style="2" customWidth="1"/>
    <col min="14223" max="14223" width="17.28515625" style="2" customWidth="1"/>
    <col min="14224" max="14224" width="13.28515625" style="2" customWidth="1"/>
    <col min="14225" max="14225" width="12" style="2" customWidth="1"/>
    <col min="14226" max="14477" width="9.140625" style="2"/>
    <col min="14478" max="14478" width="60" style="2" customWidth="1"/>
    <col min="14479" max="14479" width="17.28515625" style="2" customWidth="1"/>
    <col min="14480" max="14480" width="13.28515625" style="2" customWidth="1"/>
    <col min="14481" max="14481" width="12" style="2" customWidth="1"/>
    <col min="14482" max="14733" width="9.140625" style="2"/>
    <col min="14734" max="14734" width="60" style="2" customWidth="1"/>
    <col min="14735" max="14735" width="17.28515625" style="2" customWidth="1"/>
    <col min="14736" max="14736" width="13.28515625" style="2" customWidth="1"/>
    <col min="14737" max="14737" width="12" style="2" customWidth="1"/>
    <col min="14738" max="14989" width="9.140625" style="2"/>
    <col min="14990" max="14990" width="60" style="2" customWidth="1"/>
    <col min="14991" max="14991" width="17.28515625" style="2" customWidth="1"/>
    <col min="14992" max="14992" width="13.28515625" style="2" customWidth="1"/>
    <col min="14993" max="14993" width="12" style="2" customWidth="1"/>
    <col min="14994" max="15245" width="9.140625" style="2"/>
    <col min="15246" max="15246" width="60" style="2" customWidth="1"/>
    <col min="15247" max="15247" width="17.28515625" style="2" customWidth="1"/>
    <col min="15248" max="15248" width="13.28515625" style="2" customWidth="1"/>
    <col min="15249" max="15249" width="12" style="2" customWidth="1"/>
    <col min="15250" max="15501" width="9.140625" style="2"/>
    <col min="15502" max="15502" width="60" style="2" customWidth="1"/>
    <col min="15503" max="15503" width="17.28515625" style="2" customWidth="1"/>
    <col min="15504" max="15504" width="13.28515625" style="2" customWidth="1"/>
    <col min="15505" max="15505" width="12" style="2" customWidth="1"/>
    <col min="15506" max="15757" width="9.140625" style="2"/>
    <col min="15758" max="15758" width="60" style="2" customWidth="1"/>
    <col min="15759" max="15759" width="17.28515625" style="2" customWidth="1"/>
    <col min="15760" max="15760" width="13.28515625" style="2" customWidth="1"/>
    <col min="15761" max="15761" width="12" style="2" customWidth="1"/>
    <col min="15762" max="16013" width="9.140625" style="2"/>
    <col min="16014" max="16014" width="60" style="2" customWidth="1"/>
    <col min="16015" max="16015" width="17.28515625" style="2" customWidth="1"/>
    <col min="16016" max="16016" width="13.28515625" style="2" customWidth="1"/>
    <col min="16017" max="16017" width="12" style="2" customWidth="1"/>
    <col min="16018" max="16384" width="9.140625" style="2"/>
  </cols>
  <sheetData>
    <row r="1" spans="1:6" ht="12.75" customHeight="1" x14ac:dyDescent="0.25">
      <c r="A1" s="40"/>
      <c r="B1" s="41"/>
      <c r="C1" s="41"/>
      <c r="D1" s="75" t="s">
        <v>261</v>
      </c>
      <c r="E1" s="75"/>
      <c r="F1" s="1"/>
    </row>
    <row r="2" spans="1:6" ht="12.75" customHeight="1" x14ac:dyDescent="0.25">
      <c r="A2" s="40"/>
      <c r="B2" s="41"/>
      <c r="C2" s="41"/>
      <c r="D2" s="70" t="s">
        <v>262</v>
      </c>
      <c r="E2" s="70"/>
      <c r="F2" s="1"/>
    </row>
    <row r="3" spans="1:6" ht="12.75" customHeight="1" x14ac:dyDescent="0.25">
      <c r="A3" s="40"/>
      <c r="B3" s="41"/>
      <c r="C3" s="41"/>
      <c r="D3" s="75" t="s">
        <v>263</v>
      </c>
      <c r="E3" s="75"/>
      <c r="F3" s="1"/>
    </row>
    <row r="4" spans="1:6" ht="12.75" customHeight="1" x14ac:dyDescent="0.25">
      <c r="A4" s="40"/>
      <c r="B4" s="41"/>
      <c r="C4" s="41"/>
      <c r="D4" s="1"/>
      <c r="E4" s="1"/>
      <c r="F4" s="1"/>
    </row>
    <row r="5" spans="1:6" ht="15.75" x14ac:dyDescent="0.25">
      <c r="A5" s="76" t="s">
        <v>221</v>
      </c>
      <c r="B5" s="76"/>
      <c r="C5" s="76"/>
      <c r="D5" s="76"/>
      <c r="E5" s="76"/>
      <c r="F5" s="76"/>
    </row>
    <row r="6" spans="1:6" ht="11.25" customHeight="1" x14ac:dyDescent="0.25">
      <c r="A6" s="40"/>
      <c r="B6" s="42"/>
      <c r="C6" s="44"/>
      <c r="D6" s="1"/>
      <c r="E6" s="1"/>
      <c r="F6" s="1"/>
    </row>
    <row r="7" spans="1:6" ht="15.75" x14ac:dyDescent="0.25">
      <c r="A7" s="40"/>
      <c r="B7" s="45" t="s">
        <v>7</v>
      </c>
      <c r="C7" s="43"/>
      <c r="D7" s="1"/>
      <c r="E7" s="1"/>
      <c r="F7" s="51" t="s">
        <v>122</v>
      </c>
    </row>
    <row r="8" spans="1:6" ht="42.75" customHeight="1" x14ac:dyDescent="0.25">
      <c r="A8" s="59" t="s">
        <v>0</v>
      </c>
      <c r="B8" s="59" t="s">
        <v>8</v>
      </c>
      <c r="C8" s="60" t="s">
        <v>217</v>
      </c>
      <c r="D8" s="60" t="s">
        <v>218</v>
      </c>
      <c r="E8" s="59" t="s">
        <v>219</v>
      </c>
      <c r="F8" s="60" t="s">
        <v>220</v>
      </c>
    </row>
    <row r="9" spans="1:6" s="9" customFormat="1" ht="15.75" x14ac:dyDescent="0.25">
      <c r="A9" s="60">
        <v>1</v>
      </c>
      <c r="B9" s="60">
        <v>2</v>
      </c>
      <c r="C9" s="60">
        <v>3</v>
      </c>
      <c r="D9" s="61">
        <v>4</v>
      </c>
      <c r="E9" s="61">
        <v>5</v>
      </c>
      <c r="F9" s="61">
        <v>6</v>
      </c>
    </row>
    <row r="10" spans="1:6" ht="15.75" customHeight="1" x14ac:dyDescent="0.25">
      <c r="A10" s="12">
        <v>1</v>
      </c>
      <c r="B10" s="10" t="s">
        <v>9</v>
      </c>
      <c r="C10" s="25">
        <f>SUM(C11:C17)</f>
        <v>104030.2</v>
      </c>
      <c r="D10" s="25">
        <f t="shared" ref="D10:E10" si="0">SUM(D11:D17)</f>
        <v>106587</v>
      </c>
      <c r="E10" s="25">
        <f t="shared" si="0"/>
        <v>2556.8000000000002</v>
      </c>
      <c r="F10" s="38">
        <f>+D10/C10*100</f>
        <v>102.5</v>
      </c>
    </row>
    <row r="11" spans="1:6" ht="15" customHeight="1" x14ac:dyDescent="0.25">
      <c r="A11" s="12">
        <v>2</v>
      </c>
      <c r="B11" s="11" t="s">
        <v>10</v>
      </c>
      <c r="C11" s="26">
        <v>88201</v>
      </c>
      <c r="D11" s="37">
        <v>89432.6</v>
      </c>
      <c r="E11" s="37">
        <f>+D11-C11</f>
        <v>1231.5999999999999</v>
      </c>
      <c r="F11" s="37">
        <f t="shared" ref="F11:F74" si="1">+D11/C11*100</f>
        <v>101.4</v>
      </c>
    </row>
    <row r="12" spans="1:6" ht="15" customHeight="1" x14ac:dyDescent="0.25">
      <c r="A12" s="12">
        <v>3</v>
      </c>
      <c r="B12" s="11" t="s">
        <v>11</v>
      </c>
      <c r="C12" s="26">
        <v>370</v>
      </c>
      <c r="D12" s="37">
        <v>472.3</v>
      </c>
      <c r="E12" s="37">
        <f t="shared" ref="E12:E19" si="2">+D12-C12</f>
        <v>102.3</v>
      </c>
      <c r="F12" s="37">
        <f t="shared" si="1"/>
        <v>127.6</v>
      </c>
    </row>
    <row r="13" spans="1:6" ht="15" customHeight="1" x14ac:dyDescent="0.25">
      <c r="A13" s="12">
        <v>4</v>
      </c>
      <c r="B13" s="11" t="s">
        <v>12</v>
      </c>
      <c r="C13" s="26">
        <v>65</v>
      </c>
      <c r="D13" s="37">
        <v>101.9</v>
      </c>
      <c r="E13" s="37">
        <f t="shared" si="2"/>
        <v>36.9</v>
      </c>
      <c r="F13" s="37">
        <f t="shared" si="1"/>
        <v>156.80000000000001</v>
      </c>
    </row>
    <row r="14" spans="1:6" ht="15" customHeight="1" x14ac:dyDescent="0.25">
      <c r="A14" s="12">
        <v>5</v>
      </c>
      <c r="B14" s="11" t="s">
        <v>13</v>
      </c>
      <c r="C14" s="26">
        <v>7960</v>
      </c>
      <c r="D14" s="37">
        <v>8474.4</v>
      </c>
      <c r="E14" s="37">
        <f t="shared" si="2"/>
        <v>514.4</v>
      </c>
      <c r="F14" s="37">
        <f t="shared" si="1"/>
        <v>106.5</v>
      </c>
    </row>
    <row r="15" spans="1:6" ht="15" customHeight="1" x14ac:dyDescent="0.25">
      <c r="A15" s="12">
        <v>6</v>
      </c>
      <c r="B15" s="11" t="s">
        <v>14</v>
      </c>
      <c r="C15" s="26">
        <v>385</v>
      </c>
      <c r="D15" s="37">
        <v>429.6</v>
      </c>
      <c r="E15" s="37">
        <f t="shared" si="2"/>
        <v>44.6</v>
      </c>
      <c r="F15" s="37">
        <f t="shared" si="1"/>
        <v>111.6</v>
      </c>
    </row>
    <row r="16" spans="1:6" ht="15" customHeight="1" x14ac:dyDescent="0.25">
      <c r="A16" s="12">
        <v>7</v>
      </c>
      <c r="B16" s="11" t="s">
        <v>15</v>
      </c>
      <c r="C16" s="26">
        <v>128</v>
      </c>
      <c r="D16" s="37">
        <v>156.4</v>
      </c>
      <c r="E16" s="37">
        <f t="shared" si="2"/>
        <v>28.4</v>
      </c>
      <c r="F16" s="37">
        <f t="shared" si="1"/>
        <v>122.2</v>
      </c>
    </row>
    <row r="17" spans="1:6" ht="15.75" x14ac:dyDescent="0.25">
      <c r="A17" s="12">
        <v>8</v>
      </c>
      <c r="B17" s="11" t="s">
        <v>16</v>
      </c>
      <c r="C17" s="26">
        <v>6921.2</v>
      </c>
      <c r="D17" s="37">
        <v>7519.8</v>
      </c>
      <c r="E17" s="37">
        <f t="shared" si="2"/>
        <v>598.6</v>
      </c>
      <c r="F17" s="37">
        <f t="shared" si="1"/>
        <v>108.6</v>
      </c>
    </row>
    <row r="18" spans="1:6" ht="15.75" x14ac:dyDescent="0.25">
      <c r="A18" s="12">
        <v>9</v>
      </c>
      <c r="B18" s="10" t="s">
        <v>226</v>
      </c>
      <c r="C18" s="25">
        <f>+C19+C20+C54</f>
        <v>53602.2</v>
      </c>
      <c r="D18" s="25">
        <f t="shared" ref="D18:E18" si="3">+D19+D20+D54</f>
        <v>52968.9</v>
      </c>
      <c r="E18" s="25">
        <f t="shared" si="3"/>
        <v>-633.29999999999995</v>
      </c>
      <c r="F18" s="38">
        <f t="shared" si="1"/>
        <v>98.8</v>
      </c>
    </row>
    <row r="19" spans="1:6" ht="31.5" x14ac:dyDescent="0.25">
      <c r="A19" s="12">
        <v>10</v>
      </c>
      <c r="B19" s="10" t="s">
        <v>190</v>
      </c>
      <c r="C19" s="25">
        <v>4852.3</v>
      </c>
      <c r="D19" s="38">
        <f>1899.1+3508.1</f>
        <v>5407.2</v>
      </c>
      <c r="E19" s="38">
        <f t="shared" si="2"/>
        <v>554.9</v>
      </c>
      <c r="F19" s="38">
        <f t="shared" si="1"/>
        <v>111.4</v>
      </c>
    </row>
    <row r="20" spans="1:6" ht="15.75" customHeight="1" x14ac:dyDescent="0.25">
      <c r="A20" s="12">
        <v>11</v>
      </c>
      <c r="B20" s="10" t="s">
        <v>183</v>
      </c>
      <c r="C20" s="25">
        <f>+C21+C43+C44+C48+C47+C49</f>
        <v>48530.9</v>
      </c>
      <c r="D20" s="25">
        <f t="shared" ref="D20:E20" si="4">+D21+D43+D44+D48+D47+D49</f>
        <v>47344.1</v>
      </c>
      <c r="E20" s="25">
        <f t="shared" si="4"/>
        <v>-1186.8</v>
      </c>
      <c r="F20" s="38">
        <f t="shared" si="1"/>
        <v>97.6</v>
      </c>
    </row>
    <row r="21" spans="1:6" ht="33.75" customHeight="1" x14ac:dyDescent="0.25">
      <c r="A21" s="12">
        <v>12</v>
      </c>
      <c r="B21" s="11" t="s">
        <v>184</v>
      </c>
      <c r="C21" s="27">
        <f>SUM(C22:C42)</f>
        <v>6422.2</v>
      </c>
      <c r="D21" s="27">
        <f t="shared" ref="D21:E21" si="5">SUM(D22:D42)</f>
        <v>5872</v>
      </c>
      <c r="E21" s="27">
        <f t="shared" si="5"/>
        <v>-550.20000000000005</v>
      </c>
      <c r="F21" s="37">
        <f t="shared" si="1"/>
        <v>91.4</v>
      </c>
    </row>
    <row r="22" spans="1:6" ht="15.75" x14ac:dyDescent="0.25">
      <c r="A22" s="12">
        <v>13</v>
      </c>
      <c r="B22" s="6" t="s">
        <v>17</v>
      </c>
      <c r="C22" s="26">
        <v>0.6</v>
      </c>
      <c r="D22" s="37">
        <v>0.5</v>
      </c>
      <c r="E22" s="37">
        <f t="shared" ref="E22:E43" si="6">+D22-C22</f>
        <v>-0.1</v>
      </c>
      <c r="F22" s="37">
        <f t="shared" si="1"/>
        <v>83.3</v>
      </c>
    </row>
    <row r="23" spans="1:6" ht="15.75" customHeight="1" x14ac:dyDescent="0.25">
      <c r="A23" s="12">
        <v>14</v>
      </c>
      <c r="B23" s="6" t="s">
        <v>18</v>
      </c>
      <c r="C23" s="26">
        <v>17.899999999999999</v>
      </c>
      <c r="D23" s="37">
        <v>17.8</v>
      </c>
      <c r="E23" s="37">
        <f t="shared" si="6"/>
        <v>-0.1</v>
      </c>
      <c r="F23" s="37">
        <f t="shared" si="1"/>
        <v>99.4</v>
      </c>
    </row>
    <row r="24" spans="1:6" ht="15.75" customHeight="1" x14ac:dyDescent="0.25">
      <c r="A24" s="12">
        <v>15</v>
      </c>
      <c r="B24" s="6" t="s">
        <v>21</v>
      </c>
      <c r="C24" s="26">
        <v>61</v>
      </c>
      <c r="D24" s="37">
        <v>60.9</v>
      </c>
      <c r="E24" s="37">
        <f t="shared" si="6"/>
        <v>-0.1</v>
      </c>
      <c r="F24" s="37">
        <f t="shared" si="1"/>
        <v>99.8</v>
      </c>
    </row>
    <row r="25" spans="1:6" ht="15.75" customHeight="1" x14ac:dyDescent="0.25">
      <c r="A25" s="12">
        <v>16</v>
      </c>
      <c r="B25" s="6" t="s">
        <v>19</v>
      </c>
      <c r="C25" s="26">
        <v>9.8000000000000007</v>
      </c>
      <c r="D25" s="37">
        <v>9.6999999999999993</v>
      </c>
      <c r="E25" s="37">
        <f t="shared" si="6"/>
        <v>-0.1</v>
      </c>
      <c r="F25" s="37">
        <f t="shared" si="1"/>
        <v>99</v>
      </c>
    </row>
    <row r="26" spans="1:6" ht="15.75" customHeight="1" x14ac:dyDescent="0.25">
      <c r="A26" s="12">
        <v>17</v>
      </c>
      <c r="B26" s="6" t="s">
        <v>119</v>
      </c>
      <c r="C26" s="26">
        <v>71.900000000000006</v>
      </c>
      <c r="D26" s="37">
        <v>71.5</v>
      </c>
      <c r="E26" s="37">
        <f t="shared" si="6"/>
        <v>-0.4</v>
      </c>
      <c r="F26" s="37">
        <f t="shared" si="1"/>
        <v>99.4</v>
      </c>
    </row>
    <row r="27" spans="1:6" ht="15.75" customHeight="1" x14ac:dyDescent="0.25">
      <c r="A27" s="12">
        <v>18</v>
      </c>
      <c r="B27" s="6" t="s">
        <v>162</v>
      </c>
      <c r="C27" s="26">
        <v>30.5</v>
      </c>
      <c r="D27" s="37">
        <v>30.3</v>
      </c>
      <c r="E27" s="37">
        <f t="shared" si="6"/>
        <v>-0.2</v>
      </c>
      <c r="F27" s="37">
        <f t="shared" si="1"/>
        <v>99.3</v>
      </c>
    </row>
    <row r="28" spans="1:6" ht="15.75" customHeight="1" x14ac:dyDescent="0.25">
      <c r="A28" s="12">
        <v>19</v>
      </c>
      <c r="B28" s="6" t="s">
        <v>20</v>
      </c>
      <c r="C28" s="26">
        <v>81.5</v>
      </c>
      <c r="D28" s="37">
        <v>80.3</v>
      </c>
      <c r="E28" s="37">
        <f t="shared" si="6"/>
        <v>-1.2</v>
      </c>
      <c r="F28" s="37">
        <f t="shared" si="1"/>
        <v>98.5</v>
      </c>
    </row>
    <row r="29" spans="1:6" ht="32.25" customHeight="1" x14ac:dyDescent="0.25">
      <c r="A29" s="12">
        <v>20</v>
      </c>
      <c r="B29" s="6" t="s">
        <v>113</v>
      </c>
      <c r="C29" s="26">
        <v>21.1</v>
      </c>
      <c r="D29" s="37">
        <v>20.399999999999999</v>
      </c>
      <c r="E29" s="37">
        <f t="shared" si="6"/>
        <v>-0.7</v>
      </c>
      <c r="F29" s="37">
        <f t="shared" si="1"/>
        <v>96.7</v>
      </c>
    </row>
    <row r="30" spans="1:6" ht="34.5" customHeight="1" x14ac:dyDescent="0.25">
      <c r="A30" s="12">
        <v>21</v>
      </c>
      <c r="B30" s="6" t="s">
        <v>22</v>
      </c>
      <c r="C30" s="26">
        <v>2.6</v>
      </c>
      <c r="D30" s="37">
        <v>1.6</v>
      </c>
      <c r="E30" s="37">
        <f t="shared" si="6"/>
        <v>-1</v>
      </c>
      <c r="F30" s="37">
        <f t="shared" si="1"/>
        <v>61.5</v>
      </c>
    </row>
    <row r="31" spans="1:6" ht="47.25" x14ac:dyDescent="0.25">
      <c r="A31" s="12">
        <v>22</v>
      </c>
      <c r="B31" s="6" t="s">
        <v>164</v>
      </c>
      <c r="C31" s="26">
        <v>0.4</v>
      </c>
      <c r="D31" s="37"/>
      <c r="E31" s="37">
        <f t="shared" si="6"/>
        <v>-0.4</v>
      </c>
      <c r="F31" s="37">
        <f t="shared" si="1"/>
        <v>0</v>
      </c>
    </row>
    <row r="32" spans="1:6" ht="15.75" customHeight="1" x14ac:dyDescent="0.25">
      <c r="A32" s="12">
        <v>23</v>
      </c>
      <c r="B32" s="6" t="s">
        <v>120</v>
      </c>
      <c r="C32" s="26">
        <v>5.2</v>
      </c>
      <c r="D32" s="37">
        <v>5.2</v>
      </c>
      <c r="E32" s="37">
        <f t="shared" si="6"/>
        <v>0</v>
      </c>
      <c r="F32" s="37">
        <f t="shared" si="1"/>
        <v>100</v>
      </c>
    </row>
    <row r="33" spans="1:6" ht="19.5" customHeight="1" x14ac:dyDescent="0.25">
      <c r="A33" s="12">
        <v>24</v>
      </c>
      <c r="B33" s="11" t="s">
        <v>23</v>
      </c>
      <c r="C33" s="26">
        <v>202.1</v>
      </c>
      <c r="D33" s="37">
        <v>200.1</v>
      </c>
      <c r="E33" s="37">
        <f t="shared" si="6"/>
        <v>-2</v>
      </c>
      <c r="F33" s="37">
        <f t="shared" si="1"/>
        <v>99</v>
      </c>
    </row>
    <row r="34" spans="1:6" ht="31.5" x14ac:dyDescent="0.25">
      <c r="A34" s="12">
        <v>25</v>
      </c>
      <c r="B34" s="6" t="s">
        <v>161</v>
      </c>
      <c r="C34" s="26">
        <v>247.9</v>
      </c>
      <c r="D34" s="37">
        <v>225.9</v>
      </c>
      <c r="E34" s="37">
        <f t="shared" si="6"/>
        <v>-22</v>
      </c>
      <c r="F34" s="37">
        <f t="shared" si="1"/>
        <v>91.1</v>
      </c>
    </row>
    <row r="35" spans="1:6" ht="15.75" customHeight="1" x14ac:dyDescent="0.25">
      <c r="A35" s="12">
        <v>26</v>
      </c>
      <c r="B35" s="6" t="s">
        <v>24</v>
      </c>
      <c r="C35" s="26">
        <v>3966.1</v>
      </c>
      <c r="D35" s="37">
        <v>3664.9</v>
      </c>
      <c r="E35" s="37">
        <f t="shared" si="6"/>
        <v>-301.2</v>
      </c>
      <c r="F35" s="37">
        <f t="shared" si="1"/>
        <v>92.4</v>
      </c>
    </row>
    <row r="36" spans="1:6" ht="15.75" x14ac:dyDescent="0.25">
      <c r="A36" s="12">
        <v>27</v>
      </c>
      <c r="B36" s="6" t="s">
        <v>25</v>
      </c>
      <c r="C36" s="26">
        <v>726.8</v>
      </c>
      <c r="D36" s="37">
        <v>623.9</v>
      </c>
      <c r="E36" s="37">
        <f t="shared" si="6"/>
        <v>-102.9</v>
      </c>
      <c r="F36" s="37">
        <f t="shared" si="1"/>
        <v>85.8</v>
      </c>
    </row>
    <row r="37" spans="1:6" ht="15.75" customHeight="1" x14ac:dyDescent="0.25">
      <c r="A37" s="12">
        <v>28</v>
      </c>
      <c r="B37" s="6" t="s">
        <v>26</v>
      </c>
      <c r="C37" s="26">
        <v>402.7</v>
      </c>
      <c r="D37" s="37">
        <v>306.8</v>
      </c>
      <c r="E37" s="37">
        <f t="shared" si="6"/>
        <v>-95.9</v>
      </c>
      <c r="F37" s="37">
        <f t="shared" si="1"/>
        <v>76.2</v>
      </c>
    </row>
    <row r="38" spans="1:6" ht="15.75" x14ac:dyDescent="0.25">
      <c r="A38" s="12">
        <v>29</v>
      </c>
      <c r="B38" s="6" t="s">
        <v>163</v>
      </c>
      <c r="C38" s="26">
        <v>54.7</v>
      </c>
      <c r="D38" s="37">
        <v>36</v>
      </c>
      <c r="E38" s="37">
        <f t="shared" si="6"/>
        <v>-18.7</v>
      </c>
      <c r="F38" s="37">
        <f t="shared" si="1"/>
        <v>65.8</v>
      </c>
    </row>
    <row r="39" spans="1:6" ht="32.25" customHeight="1" x14ac:dyDescent="0.25">
      <c r="A39" s="12">
        <v>30</v>
      </c>
      <c r="B39" s="6" t="s">
        <v>177</v>
      </c>
      <c r="C39" s="26">
        <v>372.6</v>
      </c>
      <c r="D39" s="37">
        <v>372.3</v>
      </c>
      <c r="E39" s="37">
        <f t="shared" si="6"/>
        <v>-0.3</v>
      </c>
      <c r="F39" s="37">
        <f t="shared" si="1"/>
        <v>99.9</v>
      </c>
    </row>
    <row r="40" spans="1:6" ht="30" customHeight="1" x14ac:dyDescent="0.25">
      <c r="A40" s="12">
        <v>31</v>
      </c>
      <c r="B40" s="6" t="s">
        <v>176</v>
      </c>
      <c r="C40" s="26">
        <v>119.4</v>
      </c>
      <c r="D40" s="37">
        <v>118.7</v>
      </c>
      <c r="E40" s="37">
        <f t="shared" si="6"/>
        <v>-0.7</v>
      </c>
      <c r="F40" s="37">
        <f t="shared" si="1"/>
        <v>99.4</v>
      </c>
    </row>
    <row r="41" spans="1:6" ht="18" customHeight="1" x14ac:dyDescent="0.25">
      <c r="A41" s="12">
        <v>32</v>
      </c>
      <c r="B41" s="6" t="s">
        <v>136</v>
      </c>
      <c r="C41" s="26">
        <v>3.9</v>
      </c>
      <c r="D41" s="37">
        <v>3.9</v>
      </c>
      <c r="E41" s="37">
        <f t="shared" si="6"/>
        <v>0</v>
      </c>
      <c r="F41" s="37">
        <f t="shared" si="1"/>
        <v>100</v>
      </c>
    </row>
    <row r="42" spans="1:6" ht="15" customHeight="1" x14ac:dyDescent="0.25">
      <c r="A42" s="12">
        <v>33</v>
      </c>
      <c r="B42" s="6" t="s">
        <v>185</v>
      </c>
      <c r="C42" s="26">
        <v>23.5</v>
      </c>
      <c r="D42" s="37">
        <v>21.3</v>
      </c>
      <c r="E42" s="37">
        <f t="shared" si="6"/>
        <v>-2.2000000000000002</v>
      </c>
      <c r="F42" s="37">
        <f t="shared" si="1"/>
        <v>90.6</v>
      </c>
    </row>
    <row r="43" spans="1:6" ht="15" customHeight="1" x14ac:dyDescent="0.25">
      <c r="A43" s="12">
        <v>34</v>
      </c>
      <c r="B43" s="11" t="s">
        <v>169</v>
      </c>
      <c r="C43" s="27">
        <v>36644.699999999997</v>
      </c>
      <c r="D43" s="37">
        <v>36035</v>
      </c>
      <c r="E43" s="37">
        <f t="shared" si="6"/>
        <v>-609.70000000000005</v>
      </c>
      <c r="F43" s="37">
        <f t="shared" si="1"/>
        <v>98.3</v>
      </c>
    </row>
    <row r="44" spans="1:6" ht="16.5" customHeight="1" x14ac:dyDescent="0.25">
      <c r="A44" s="12">
        <v>35</v>
      </c>
      <c r="B44" s="11" t="s">
        <v>186</v>
      </c>
      <c r="C44" s="26">
        <f>+C45+C46</f>
        <v>1236.4000000000001</v>
      </c>
      <c r="D44" s="26">
        <f t="shared" ref="D44:E44" si="7">+D45+D46</f>
        <v>1227.5999999999999</v>
      </c>
      <c r="E44" s="26">
        <f t="shared" si="7"/>
        <v>-8.8000000000000007</v>
      </c>
      <c r="F44" s="37">
        <f t="shared" si="1"/>
        <v>99.3</v>
      </c>
    </row>
    <row r="45" spans="1:6" ht="14.25" customHeight="1" x14ac:dyDescent="0.25">
      <c r="A45" s="12">
        <v>36</v>
      </c>
      <c r="B45" s="11" t="s">
        <v>27</v>
      </c>
      <c r="C45" s="26">
        <v>991</v>
      </c>
      <c r="D45" s="37">
        <f>991-6.4</f>
        <v>984.6</v>
      </c>
      <c r="E45" s="37">
        <f t="shared" ref="E45:E48" si="8">+D45-C45</f>
        <v>-6.4</v>
      </c>
      <c r="F45" s="37">
        <f t="shared" si="1"/>
        <v>99.4</v>
      </c>
    </row>
    <row r="46" spans="1:6" ht="15.75" x14ac:dyDescent="0.25">
      <c r="A46" s="12">
        <v>37</v>
      </c>
      <c r="B46" s="11" t="s">
        <v>28</v>
      </c>
      <c r="C46" s="26">
        <v>245.4</v>
      </c>
      <c r="D46" s="37">
        <f>245.4-2.4</f>
        <v>243</v>
      </c>
      <c r="E46" s="37">
        <f t="shared" si="8"/>
        <v>-2.4</v>
      </c>
      <c r="F46" s="37">
        <f t="shared" si="1"/>
        <v>99</v>
      </c>
    </row>
    <row r="47" spans="1:6" ht="31.5" x14ac:dyDescent="0.25">
      <c r="A47" s="12">
        <v>38</v>
      </c>
      <c r="B47" s="11" t="s">
        <v>29</v>
      </c>
      <c r="C47" s="27">
        <v>2.5</v>
      </c>
      <c r="D47" s="37">
        <v>2.5</v>
      </c>
      <c r="E47" s="37">
        <f t="shared" si="8"/>
        <v>0</v>
      </c>
      <c r="F47" s="37">
        <f t="shared" si="1"/>
        <v>100</v>
      </c>
    </row>
    <row r="48" spans="1:6" ht="31.5" x14ac:dyDescent="0.25">
      <c r="A48" s="12">
        <v>39</v>
      </c>
      <c r="B48" s="11" t="s">
        <v>187</v>
      </c>
      <c r="C48" s="26">
        <v>1522</v>
      </c>
      <c r="D48" s="37">
        <v>1503.9</v>
      </c>
      <c r="E48" s="37">
        <f t="shared" si="8"/>
        <v>-18.100000000000001</v>
      </c>
      <c r="F48" s="37">
        <f t="shared" si="1"/>
        <v>98.8</v>
      </c>
    </row>
    <row r="49" spans="1:6" ht="31.5" x14ac:dyDescent="0.25">
      <c r="A49" s="12">
        <v>40</v>
      </c>
      <c r="B49" s="11" t="s">
        <v>191</v>
      </c>
      <c r="C49" s="27">
        <f>SUM(C50:C53)</f>
        <v>2703.1</v>
      </c>
      <c r="D49" s="27">
        <f t="shared" ref="D49:E49" si="9">SUM(D50:D53)</f>
        <v>2703.1</v>
      </c>
      <c r="E49" s="27">
        <f t="shared" si="9"/>
        <v>0</v>
      </c>
      <c r="F49" s="37">
        <f t="shared" si="1"/>
        <v>100</v>
      </c>
    </row>
    <row r="50" spans="1:6" ht="31.5" x14ac:dyDescent="0.25">
      <c r="A50" s="12">
        <v>41</v>
      </c>
      <c r="B50" s="11" t="s">
        <v>171</v>
      </c>
      <c r="C50" s="26">
        <v>128</v>
      </c>
      <c r="D50" s="37">
        <v>128</v>
      </c>
      <c r="E50" s="37">
        <f t="shared" ref="E50:E53" si="10">+D50-C50</f>
        <v>0</v>
      </c>
      <c r="F50" s="37">
        <f t="shared" si="1"/>
        <v>100</v>
      </c>
    </row>
    <row r="51" spans="1:6" ht="31.5" x14ac:dyDescent="0.25">
      <c r="A51" s="12">
        <v>42</v>
      </c>
      <c r="B51" s="11" t="s">
        <v>188</v>
      </c>
      <c r="C51" s="26">
        <v>50</v>
      </c>
      <c r="D51" s="37">
        <v>50</v>
      </c>
      <c r="E51" s="37">
        <f t="shared" si="10"/>
        <v>0</v>
      </c>
      <c r="F51" s="37">
        <f t="shared" si="1"/>
        <v>100</v>
      </c>
    </row>
    <row r="52" spans="1:6" ht="31.5" x14ac:dyDescent="0.25">
      <c r="A52" s="12">
        <v>43</v>
      </c>
      <c r="B52" s="11" t="s">
        <v>187</v>
      </c>
      <c r="C52" s="27">
        <v>2477.1</v>
      </c>
      <c r="D52" s="37">
        <v>2477.1</v>
      </c>
      <c r="E52" s="37">
        <f t="shared" si="10"/>
        <v>0</v>
      </c>
      <c r="F52" s="37">
        <f t="shared" si="1"/>
        <v>100</v>
      </c>
    </row>
    <row r="53" spans="1:6" ht="31.5" x14ac:dyDescent="0.25">
      <c r="A53" s="12">
        <v>44</v>
      </c>
      <c r="B53" s="11" t="s">
        <v>222</v>
      </c>
      <c r="C53" s="27">
        <v>48</v>
      </c>
      <c r="D53" s="37">
        <v>48</v>
      </c>
      <c r="E53" s="37">
        <f t="shared" si="10"/>
        <v>0</v>
      </c>
      <c r="F53" s="37">
        <f t="shared" si="1"/>
        <v>100</v>
      </c>
    </row>
    <row r="54" spans="1:6" ht="17.25" customHeight="1" x14ac:dyDescent="0.25">
      <c r="A54" s="12">
        <v>45</v>
      </c>
      <c r="B54" s="35" t="s">
        <v>227</v>
      </c>
      <c r="C54" s="28">
        <f>SUM(C55:C58)</f>
        <v>219</v>
      </c>
      <c r="D54" s="28">
        <f t="shared" ref="D54:E54" si="11">SUM(D55:D58)</f>
        <v>217.6</v>
      </c>
      <c r="E54" s="28">
        <f t="shared" si="11"/>
        <v>-1.4</v>
      </c>
      <c r="F54" s="38">
        <f t="shared" si="1"/>
        <v>99.4</v>
      </c>
    </row>
    <row r="55" spans="1:6" ht="15.75" x14ac:dyDescent="0.25">
      <c r="A55" s="12">
        <v>46</v>
      </c>
      <c r="B55" s="23" t="s">
        <v>165</v>
      </c>
      <c r="C55" s="26">
        <v>10</v>
      </c>
      <c r="D55" s="37">
        <v>10</v>
      </c>
      <c r="E55" s="37">
        <f t="shared" ref="E55:E58" si="12">+D55-C55</f>
        <v>0</v>
      </c>
      <c r="F55" s="37">
        <f t="shared" si="1"/>
        <v>100</v>
      </c>
    </row>
    <row r="56" spans="1:6" ht="29.25" customHeight="1" x14ac:dyDescent="0.25">
      <c r="A56" s="12">
        <v>47</v>
      </c>
      <c r="B56" s="23" t="s">
        <v>189</v>
      </c>
      <c r="C56" s="26">
        <v>132.1</v>
      </c>
      <c r="D56" s="37">
        <v>130.69999999999999</v>
      </c>
      <c r="E56" s="37">
        <f t="shared" si="12"/>
        <v>-1.4</v>
      </c>
      <c r="F56" s="37">
        <f t="shared" si="1"/>
        <v>98.9</v>
      </c>
    </row>
    <row r="57" spans="1:6" ht="15.75" x14ac:dyDescent="0.25">
      <c r="A57" s="12">
        <v>48</v>
      </c>
      <c r="B57" s="6" t="s">
        <v>223</v>
      </c>
      <c r="C57" s="26">
        <v>71.7</v>
      </c>
      <c r="D57" s="37">
        <v>71.7</v>
      </c>
      <c r="E57" s="37">
        <f t="shared" si="12"/>
        <v>0</v>
      </c>
      <c r="F57" s="37">
        <f t="shared" si="1"/>
        <v>100</v>
      </c>
    </row>
    <row r="58" spans="1:6" ht="15.75" x14ac:dyDescent="0.25">
      <c r="A58" s="12">
        <v>49</v>
      </c>
      <c r="B58" s="6" t="s">
        <v>224</v>
      </c>
      <c r="C58" s="26">
        <v>5.2</v>
      </c>
      <c r="D58" s="37">
        <v>5.2</v>
      </c>
      <c r="E58" s="37">
        <f t="shared" si="12"/>
        <v>0</v>
      </c>
      <c r="F58" s="37">
        <f t="shared" si="1"/>
        <v>100</v>
      </c>
    </row>
    <row r="59" spans="1:6" ht="15.75" x14ac:dyDescent="0.25">
      <c r="A59" s="12">
        <v>50</v>
      </c>
      <c r="B59" s="10" t="s">
        <v>228</v>
      </c>
      <c r="C59" s="28">
        <f>SUM(C60:C68)</f>
        <v>11153.6</v>
      </c>
      <c r="D59" s="28">
        <f t="shared" ref="D59:E59" si="13">SUM(D60:D68)</f>
        <v>12371.1</v>
      </c>
      <c r="E59" s="28">
        <f t="shared" si="13"/>
        <v>1217.5</v>
      </c>
      <c r="F59" s="38">
        <f t="shared" si="1"/>
        <v>110.9</v>
      </c>
    </row>
    <row r="60" spans="1:6" ht="15.75" x14ac:dyDescent="0.25">
      <c r="A60" s="12">
        <v>51</v>
      </c>
      <c r="B60" s="11" t="s">
        <v>30</v>
      </c>
      <c r="C60" s="26">
        <v>10</v>
      </c>
      <c r="D60" s="37">
        <v>23.2</v>
      </c>
      <c r="E60" s="37">
        <f t="shared" ref="E60:E68" si="14">+D60-C60</f>
        <v>13.2</v>
      </c>
      <c r="F60" s="52" t="s">
        <v>234</v>
      </c>
    </row>
    <row r="61" spans="1:6" ht="15.75" x14ac:dyDescent="0.25">
      <c r="A61" s="12">
        <v>52</v>
      </c>
      <c r="B61" s="11" t="s">
        <v>31</v>
      </c>
      <c r="C61" s="26">
        <v>204</v>
      </c>
      <c r="D61" s="37">
        <v>1010.4</v>
      </c>
      <c r="E61" s="37">
        <f t="shared" si="14"/>
        <v>806.4</v>
      </c>
      <c r="F61" s="52" t="s">
        <v>232</v>
      </c>
    </row>
    <row r="62" spans="1:6" ht="15" customHeight="1" x14ac:dyDescent="0.25">
      <c r="A62" s="12">
        <v>53</v>
      </c>
      <c r="B62" s="11" t="s">
        <v>121</v>
      </c>
      <c r="C62" s="26">
        <v>2070</v>
      </c>
      <c r="D62" s="37">
        <v>2118.1999999999998</v>
      </c>
      <c r="E62" s="37">
        <f t="shared" si="14"/>
        <v>48.2</v>
      </c>
      <c r="F62" s="37">
        <f t="shared" si="1"/>
        <v>102.3</v>
      </c>
    </row>
    <row r="63" spans="1:6" ht="15.75" customHeight="1" x14ac:dyDescent="0.25">
      <c r="A63" s="12">
        <v>54</v>
      </c>
      <c r="B63" s="11" t="s">
        <v>32</v>
      </c>
      <c r="C63" s="26">
        <v>120</v>
      </c>
      <c r="D63" s="37">
        <v>122.1</v>
      </c>
      <c r="E63" s="37">
        <f t="shared" si="14"/>
        <v>2.1</v>
      </c>
      <c r="F63" s="37">
        <f t="shared" si="1"/>
        <v>101.8</v>
      </c>
    </row>
    <row r="64" spans="1:6" ht="15.75" x14ac:dyDescent="0.25">
      <c r="A64" s="12">
        <v>55</v>
      </c>
      <c r="B64" s="11" t="s">
        <v>33</v>
      </c>
      <c r="C64" s="26">
        <v>1510.8</v>
      </c>
      <c r="D64" s="37">
        <v>1478</v>
      </c>
      <c r="E64" s="37">
        <f t="shared" si="14"/>
        <v>-32.799999999999997</v>
      </c>
      <c r="F64" s="37">
        <f t="shared" si="1"/>
        <v>97.8</v>
      </c>
    </row>
    <row r="65" spans="1:6" ht="15.75" x14ac:dyDescent="0.25">
      <c r="A65" s="12">
        <v>56</v>
      </c>
      <c r="B65" s="11" t="s">
        <v>154</v>
      </c>
      <c r="C65" s="26">
        <v>1423.6</v>
      </c>
      <c r="D65" s="37">
        <v>1445.8</v>
      </c>
      <c r="E65" s="37">
        <f t="shared" si="14"/>
        <v>22.2</v>
      </c>
      <c r="F65" s="37">
        <f t="shared" si="1"/>
        <v>101.6</v>
      </c>
    </row>
    <row r="66" spans="1:6" ht="31.5" x14ac:dyDescent="0.25">
      <c r="A66" s="12">
        <v>57</v>
      </c>
      <c r="B66" s="11" t="s">
        <v>34</v>
      </c>
      <c r="C66" s="26">
        <v>5405.2</v>
      </c>
      <c r="D66" s="37">
        <v>5245.7</v>
      </c>
      <c r="E66" s="37">
        <f t="shared" si="14"/>
        <v>-159.5</v>
      </c>
      <c r="F66" s="37">
        <f t="shared" si="1"/>
        <v>97</v>
      </c>
    </row>
    <row r="67" spans="1:6" ht="15.75" x14ac:dyDescent="0.25">
      <c r="A67" s="12">
        <v>58</v>
      </c>
      <c r="B67" s="11" t="s">
        <v>35</v>
      </c>
      <c r="C67" s="26">
        <v>250</v>
      </c>
      <c r="D67" s="37">
        <v>640</v>
      </c>
      <c r="E67" s="37">
        <f t="shared" si="14"/>
        <v>390</v>
      </c>
      <c r="F67" s="52" t="s">
        <v>233</v>
      </c>
    </row>
    <row r="68" spans="1:6" ht="15.75" x14ac:dyDescent="0.25">
      <c r="A68" s="12">
        <v>59</v>
      </c>
      <c r="B68" s="11" t="s">
        <v>134</v>
      </c>
      <c r="C68" s="26">
        <v>160</v>
      </c>
      <c r="D68" s="37">
        <v>287.7</v>
      </c>
      <c r="E68" s="37">
        <f t="shared" si="14"/>
        <v>127.7</v>
      </c>
      <c r="F68" s="37">
        <f t="shared" si="1"/>
        <v>179.8</v>
      </c>
    </row>
    <row r="69" spans="1:6" ht="31.5" x14ac:dyDescent="0.25">
      <c r="A69" s="12">
        <v>60</v>
      </c>
      <c r="B69" s="10" t="s">
        <v>229</v>
      </c>
      <c r="C69" s="38">
        <f>+C70</f>
        <v>1350</v>
      </c>
      <c r="D69" s="38">
        <f t="shared" ref="D69:E69" si="15">+D70</f>
        <v>1503.3</v>
      </c>
      <c r="E69" s="38">
        <f t="shared" si="15"/>
        <v>153.30000000000001</v>
      </c>
      <c r="F69" s="38">
        <f t="shared" si="1"/>
        <v>111.4</v>
      </c>
    </row>
    <row r="70" spans="1:6" ht="15.75" x14ac:dyDescent="0.25">
      <c r="A70" s="12">
        <v>61</v>
      </c>
      <c r="B70" s="10" t="s">
        <v>230</v>
      </c>
      <c r="C70" s="38">
        <f>SUM(C71:C73)</f>
        <v>1350</v>
      </c>
      <c r="D70" s="38">
        <f t="shared" ref="D70:F70" si="16">SUM(D71:D73)</f>
        <v>1503.3</v>
      </c>
      <c r="E70" s="38">
        <f t="shared" si="16"/>
        <v>153.30000000000001</v>
      </c>
      <c r="F70" s="38">
        <f t="shared" si="16"/>
        <v>235.8</v>
      </c>
    </row>
    <row r="71" spans="1:6" ht="15.75" x14ac:dyDescent="0.25">
      <c r="A71" s="12">
        <v>62</v>
      </c>
      <c r="B71" s="11" t="s">
        <v>155</v>
      </c>
      <c r="C71" s="37">
        <v>500</v>
      </c>
      <c r="D71" s="37">
        <v>731.6</v>
      </c>
      <c r="E71" s="37">
        <f t="shared" ref="E71:E72" si="17">+D71-C71</f>
        <v>231.6</v>
      </c>
      <c r="F71" s="37">
        <f t="shared" si="1"/>
        <v>146.30000000000001</v>
      </c>
    </row>
    <row r="72" spans="1:6" ht="15.75" x14ac:dyDescent="0.25">
      <c r="A72" s="12">
        <v>63</v>
      </c>
      <c r="B72" s="11" t="s">
        <v>156</v>
      </c>
      <c r="C72" s="37">
        <v>850</v>
      </c>
      <c r="D72" s="37">
        <v>760.4</v>
      </c>
      <c r="E72" s="37">
        <f t="shared" si="17"/>
        <v>-89.6</v>
      </c>
      <c r="F72" s="37">
        <f t="shared" si="1"/>
        <v>89.5</v>
      </c>
    </row>
    <row r="73" spans="1:6" ht="15.75" x14ac:dyDescent="0.25">
      <c r="A73" s="12">
        <v>64</v>
      </c>
      <c r="B73" s="11" t="s">
        <v>225</v>
      </c>
      <c r="C73" s="37"/>
      <c r="D73" s="37">
        <f>10.5+0.7+0.1</f>
        <v>11.3</v>
      </c>
      <c r="E73" s="37">
        <f t="shared" ref="E73" si="18">+D73-C73</f>
        <v>11.3</v>
      </c>
      <c r="F73" s="37"/>
    </row>
    <row r="74" spans="1:6" ht="15.75" x14ac:dyDescent="0.25">
      <c r="A74" s="12">
        <v>65</v>
      </c>
      <c r="B74" s="10" t="s">
        <v>231</v>
      </c>
      <c r="C74" s="38">
        <f>+C10+C18+C59+C69</f>
        <v>170136</v>
      </c>
      <c r="D74" s="38">
        <f>+D10+D18+D59+D69</f>
        <v>173430.3</v>
      </c>
      <c r="E74" s="38">
        <f>+E10+E18+E59+E69</f>
        <v>3294.3</v>
      </c>
      <c r="F74" s="38">
        <f t="shared" si="1"/>
        <v>101.9</v>
      </c>
    </row>
  </sheetData>
  <mergeCells count="3">
    <mergeCell ref="D1:E1"/>
    <mergeCell ref="D3:E3"/>
    <mergeCell ref="A5:F5"/>
  </mergeCells>
  <pageMargins left="0.9055118110236221" right="0.31496062992125984" top="0.74803149606299213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6"/>
  <sheetViews>
    <sheetView showZeros="0" zoomScaleNormal="100" workbookViewId="0">
      <pane xSplit="2" ySplit="6" topLeftCell="C130" activePane="bottomRight" state="frozen"/>
      <selection pane="topRight" activeCell="C1" sqref="C1"/>
      <selection pane="bottomLeft" activeCell="A7" sqref="A7"/>
      <selection pane="bottomRight" activeCell="S111" sqref="S111"/>
    </sheetView>
  </sheetViews>
  <sheetFormatPr defaultColWidth="10.140625" defaultRowHeight="15" x14ac:dyDescent="0.2"/>
  <cols>
    <col min="1" max="1" width="8" style="16" customWidth="1"/>
    <col min="2" max="2" width="44" style="2" customWidth="1"/>
    <col min="3" max="3" width="10.85546875" style="2" customWidth="1"/>
    <col min="4" max="6" width="10.140625" style="2"/>
    <col min="7" max="7" width="11" style="2" customWidth="1"/>
    <col min="8" max="8" width="9.7109375" style="2" customWidth="1"/>
    <col min="9" max="9" width="11" style="2" customWidth="1"/>
    <col min="10" max="10" width="8.7109375" style="2" customWidth="1"/>
    <col min="11" max="11" width="10.7109375" style="2" customWidth="1"/>
    <col min="12" max="12" width="9.140625" style="2" customWidth="1"/>
    <col min="13" max="79" width="10.140625" style="2"/>
    <col min="80" max="80" width="6" style="2" customWidth="1"/>
    <col min="81" max="81" width="44" style="2" customWidth="1"/>
    <col min="82" max="82" width="10.7109375" style="2" customWidth="1"/>
    <col min="83" max="83" width="10.140625" style="2" customWidth="1"/>
    <col min="84" max="84" width="10.7109375" style="2" customWidth="1"/>
    <col min="85" max="85" width="11.85546875" style="2" customWidth="1"/>
    <col min="86" max="335" width="10.140625" style="2"/>
    <col min="336" max="336" width="6" style="2" customWidth="1"/>
    <col min="337" max="337" width="44" style="2" customWidth="1"/>
    <col min="338" max="338" width="10.7109375" style="2" customWidth="1"/>
    <col min="339" max="339" width="10.140625" style="2" customWidth="1"/>
    <col min="340" max="340" width="10.7109375" style="2" customWidth="1"/>
    <col min="341" max="341" width="11.85546875" style="2" customWidth="1"/>
    <col min="342" max="591" width="10.140625" style="2"/>
    <col min="592" max="592" width="6" style="2" customWidth="1"/>
    <col min="593" max="593" width="44" style="2" customWidth="1"/>
    <col min="594" max="594" width="10.7109375" style="2" customWidth="1"/>
    <col min="595" max="595" width="10.140625" style="2" customWidth="1"/>
    <col min="596" max="596" width="10.7109375" style="2" customWidth="1"/>
    <col min="597" max="597" width="11.85546875" style="2" customWidth="1"/>
    <col min="598" max="847" width="10.140625" style="2"/>
    <col min="848" max="848" width="6" style="2" customWidth="1"/>
    <col min="849" max="849" width="44" style="2" customWidth="1"/>
    <col min="850" max="850" width="10.7109375" style="2" customWidth="1"/>
    <col min="851" max="851" width="10.140625" style="2" customWidth="1"/>
    <col min="852" max="852" width="10.7109375" style="2" customWidth="1"/>
    <col min="853" max="853" width="11.85546875" style="2" customWidth="1"/>
    <col min="854" max="1103" width="10.140625" style="2"/>
    <col min="1104" max="1104" width="6" style="2" customWidth="1"/>
    <col min="1105" max="1105" width="44" style="2" customWidth="1"/>
    <col min="1106" max="1106" width="10.7109375" style="2" customWidth="1"/>
    <col min="1107" max="1107" width="10.140625" style="2" customWidth="1"/>
    <col min="1108" max="1108" width="10.7109375" style="2" customWidth="1"/>
    <col min="1109" max="1109" width="11.85546875" style="2" customWidth="1"/>
    <col min="1110" max="1359" width="10.140625" style="2"/>
    <col min="1360" max="1360" width="6" style="2" customWidth="1"/>
    <col min="1361" max="1361" width="44" style="2" customWidth="1"/>
    <col min="1362" max="1362" width="10.7109375" style="2" customWidth="1"/>
    <col min="1363" max="1363" width="10.140625" style="2" customWidth="1"/>
    <col min="1364" max="1364" width="10.7109375" style="2" customWidth="1"/>
    <col min="1365" max="1365" width="11.85546875" style="2" customWidth="1"/>
    <col min="1366" max="1615" width="10.140625" style="2"/>
    <col min="1616" max="1616" width="6" style="2" customWidth="1"/>
    <col min="1617" max="1617" width="44" style="2" customWidth="1"/>
    <col min="1618" max="1618" width="10.7109375" style="2" customWidth="1"/>
    <col min="1619" max="1619" width="10.140625" style="2" customWidth="1"/>
    <col min="1620" max="1620" width="10.7109375" style="2" customWidth="1"/>
    <col min="1621" max="1621" width="11.85546875" style="2" customWidth="1"/>
    <col min="1622" max="1871" width="10.140625" style="2"/>
    <col min="1872" max="1872" width="6" style="2" customWidth="1"/>
    <col min="1873" max="1873" width="44" style="2" customWidth="1"/>
    <col min="1874" max="1874" width="10.7109375" style="2" customWidth="1"/>
    <col min="1875" max="1875" width="10.140625" style="2" customWidth="1"/>
    <col min="1876" max="1876" width="10.7109375" style="2" customWidth="1"/>
    <col min="1877" max="1877" width="11.85546875" style="2" customWidth="1"/>
    <col min="1878" max="2127" width="10.140625" style="2"/>
    <col min="2128" max="2128" width="6" style="2" customWidth="1"/>
    <col min="2129" max="2129" width="44" style="2" customWidth="1"/>
    <col min="2130" max="2130" width="10.7109375" style="2" customWidth="1"/>
    <col min="2131" max="2131" width="10.140625" style="2" customWidth="1"/>
    <col min="2132" max="2132" width="10.7109375" style="2" customWidth="1"/>
    <col min="2133" max="2133" width="11.85546875" style="2" customWidth="1"/>
    <col min="2134" max="2383" width="10.140625" style="2"/>
    <col min="2384" max="2384" width="6" style="2" customWidth="1"/>
    <col min="2385" max="2385" width="44" style="2" customWidth="1"/>
    <col min="2386" max="2386" width="10.7109375" style="2" customWidth="1"/>
    <col min="2387" max="2387" width="10.140625" style="2" customWidth="1"/>
    <col min="2388" max="2388" width="10.7109375" style="2" customWidth="1"/>
    <col min="2389" max="2389" width="11.85546875" style="2" customWidth="1"/>
    <col min="2390" max="2639" width="10.140625" style="2"/>
    <col min="2640" max="2640" width="6" style="2" customWidth="1"/>
    <col min="2641" max="2641" width="44" style="2" customWidth="1"/>
    <col min="2642" max="2642" width="10.7109375" style="2" customWidth="1"/>
    <col min="2643" max="2643" width="10.140625" style="2" customWidth="1"/>
    <col min="2644" max="2644" width="10.7109375" style="2" customWidth="1"/>
    <col min="2645" max="2645" width="11.85546875" style="2" customWidth="1"/>
    <col min="2646" max="2895" width="10.140625" style="2"/>
    <col min="2896" max="2896" width="6" style="2" customWidth="1"/>
    <col min="2897" max="2897" width="44" style="2" customWidth="1"/>
    <col min="2898" max="2898" width="10.7109375" style="2" customWidth="1"/>
    <col min="2899" max="2899" width="10.140625" style="2" customWidth="1"/>
    <col min="2900" max="2900" width="10.7109375" style="2" customWidth="1"/>
    <col min="2901" max="2901" width="11.85546875" style="2" customWidth="1"/>
    <col min="2902" max="3151" width="10.140625" style="2"/>
    <col min="3152" max="3152" width="6" style="2" customWidth="1"/>
    <col min="3153" max="3153" width="44" style="2" customWidth="1"/>
    <col min="3154" max="3154" width="10.7109375" style="2" customWidth="1"/>
    <col min="3155" max="3155" width="10.140625" style="2" customWidth="1"/>
    <col min="3156" max="3156" width="10.7109375" style="2" customWidth="1"/>
    <col min="3157" max="3157" width="11.85546875" style="2" customWidth="1"/>
    <col min="3158" max="3407" width="10.140625" style="2"/>
    <col min="3408" max="3408" width="6" style="2" customWidth="1"/>
    <col min="3409" max="3409" width="44" style="2" customWidth="1"/>
    <col min="3410" max="3410" width="10.7109375" style="2" customWidth="1"/>
    <col min="3411" max="3411" width="10.140625" style="2" customWidth="1"/>
    <col min="3412" max="3412" width="10.7109375" style="2" customWidth="1"/>
    <col min="3413" max="3413" width="11.85546875" style="2" customWidth="1"/>
    <col min="3414" max="3663" width="10.140625" style="2"/>
    <col min="3664" max="3664" width="6" style="2" customWidth="1"/>
    <col min="3665" max="3665" width="44" style="2" customWidth="1"/>
    <col min="3666" max="3666" width="10.7109375" style="2" customWidth="1"/>
    <col min="3667" max="3667" width="10.140625" style="2" customWidth="1"/>
    <col min="3668" max="3668" width="10.7109375" style="2" customWidth="1"/>
    <col min="3669" max="3669" width="11.85546875" style="2" customWidth="1"/>
    <col min="3670" max="3919" width="10.140625" style="2"/>
    <col min="3920" max="3920" width="6" style="2" customWidth="1"/>
    <col min="3921" max="3921" width="44" style="2" customWidth="1"/>
    <col min="3922" max="3922" width="10.7109375" style="2" customWidth="1"/>
    <col min="3923" max="3923" width="10.140625" style="2" customWidth="1"/>
    <col min="3924" max="3924" width="10.7109375" style="2" customWidth="1"/>
    <col min="3925" max="3925" width="11.85546875" style="2" customWidth="1"/>
    <col min="3926" max="4175" width="10.140625" style="2"/>
    <col min="4176" max="4176" width="6" style="2" customWidth="1"/>
    <col min="4177" max="4177" width="44" style="2" customWidth="1"/>
    <col min="4178" max="4178" width="10.7109375" style="2" customWidth="1"/>
    <col min="4179" max="4179" width="10.140625" style="2" customWidth="1"/>
    <col min="4180" max="4180" width="10.7109375" style="2" customWidth="1"/>
    <col min="4181" max="4181" width="11.85546875" style="2" customWidth="1"/>
    <col min="4182" max="4431" width="10.140625" style="2"/>
    <col min="4432" max="4432" width="6" style="2" customWidth="1"/>
    <col min="4433" max="4433" width="44" style="2" customWidth="1"/>
    <col min="4434" max="4434" width="10.7109375" style="2" customWidth="1"/>
    <col min="4435" max="4435" width="10.140625" style="2" customWidth="1"/>
    <col min="4436" max="4436" width="10.7109375" style="2" customWidth="1"/>
    <col min="4437" max="4437" width="11.85546875" style="2" customWidth="1"/>
    <col min="4438" max="4687" width="10.140625" style="2"/>
    <col min="4688" max="4688" width="6" style="2" customWidth="1"/>
    <col min="4689" max="4689" width="44" style="2" customWidth="1"/>
    <col min="4690" max="4690" width="10.7109375" style="2" customWidth="1"/>
    <col min="4691" max="4691" width="10.140625" style="2" customWidth="1"/>
    <col min="4692" max="4692" width="10.7109375" style="2" customWidth="1"/>
    <col min="4693" max="4693" width="11.85546875" style="2" customWidth="1"/>
    <col min="4694" max="4943" width="10.140625" style="2"/>
    <col min="4944" max="4944" width="6" style="2" customWidth="1"/>
    <col min="4945" max="4945" width="44" style="2" customWidth="1"/>
    <col min="4946" max="4946" width="10.7109375" style="2" customWidth="1"/>
    <col min="4947" max="4947" width="10.140625" style="2" customWidth="1"/>
    <col min="4948" max="4948" width="10.7109375" style="2" customWidth="1"/>
    <col min="4949" max="4949" width="11.85546875" style="2" customWidth="1"/>
    <col min="4950" max="5199" width="10.140625" style="2"/>
    <col min="5200" max="5200" width="6" style="2" customWidth="1"/>
    <col min="5201" max="5201" width="44" style="2" customWidth="1"/>
    <col min="5202" max="5202" width="10.7109375" style="2" customWidth="1"/>
    <col min="5203" max="5203" width="10.140625" style="2" customWidth="1"/>
    <col min="5204" max="5204" width="10.7109375" style="2" customWidth="1"/>
    <col min="5205" max="5205" width="11.85546875" style="2" customWidth="1"/>
    <col min="5206" max="5455" width="10.140625" style="2"/>
    <col min="5456" max="5456" width="6" style="2" customWidth="1"/>
    <col min="5457" max="5457" width="44" style="2" customWidth="1"/>
    <col min="5458" max="5458" width="10.7109375" style="2" customWidth="1"/>
    <col min="5459" max="5459" width="10.140625" style="2" customWidth="1"/>
    <col min="5460" max="5460" width="10.7109375" style="2" customWidth="1"/>
    <col min="5461" max="5461" width="11.85546875" style="2" customWidth="1"/>
    <col min="5462" max="5711" width="10.140625" style="2"/>
    <col min="5712" max="5712" width="6" style="2" customWidth="1"/>
    <col min="5713" max="5713" width="44" style="2" customWidth="1"/>
    <col min="5714" max="5714" width="10.7109375" style="2" customWidth="1"/>
    <col min="5715" max="5715" width="10.140625" style="2" customWidth="1"/>
    <col min="5716" max="5716" width="10.7109375" style="2" customWidth="1"/>
    <col min="5717" max="5717" width="11.85546875" style="2" customWidth="1"/>
    <col min="5718" max="5967" width="10.140625" style="2"/>
    <col min="5968" max="5968" width="6" style="2" customWidth="1"/>
    <col min="5969" max="5969" width="44" style="2" customWidth="1"/>
    <col min="5970" max="5970" width="10.7109375" style="2" customWidth="1"/>
    <col min="5971" max="5971" width="10.140625" style="2" customWidth="1"/>
    <col min="5972" max="5972" width="10.7109375" style="2" customWidth="1"/>
    <col min="5973" max="5973" width="11.85546875" style="2" customWidth="1"/>
    <col min="5974" max="6223" width="10.140625" style="2"/>
    <col min="6224" max="6224" width="6" style="2" customWidth="1"/>
    <col min="6225" max="6225" width="44" style="2" customWidth="1"/>
    <col min="6226" max="6226" width="10.7109375" style="2" customWidth="1"/>
    <col min="6227" max="6227" width="10.140625" style="2" customWidth="1"/>
    <col min="6228" max="6228" width="10.7109375" style="2" customWidth="1"/>
    <col min="6229" max="6229" width="11.85546875" style="2" customWidth="1"/>
    <col min="6230" max="6479" width="10.140625" style="2"/>
    <col min="6480" max="6480" width="6" style="2" customWidth="1"/>
    <col min="6481" max="6481" width="44" style="2" customWidth="1"/>
    <col min="6482" max="6482" width="10.7109375" style="2" customWidth="1"/>
    <col min="6483" max="6483" width="10.140625" style="2" customWidth="1"/>
    <col min="6484" max="6484" width="10.7109375" style="2" customWidth="1"/>
    <col min="6485" max="6485" width="11.85546875" style="2" customWidth="1"/>
    <col min="6486" max="6735" width="10.140625" style="2"/>
    <col min="6736" max="6736" width="6" style="2" customWidth="1"/>
    <col min="6737" max="6737" width="44" style="2" customWidth="1"/>
    <col min="6738" max="6738" width="10.7109375" style="2" customWidth="1"/>
    <col min="6739" max="6739" width="10.140625" style="2" customWidth="1"/>
    <col min="6740" max="6740" width="10.7109375" style="2" customWidth="1"/>
    <col min="6741" max="6741" width="11.85546875" style="2" customWidth="1"/>
    <col min="6742" max="6991" width="10.140625" style="2"/>
    <col min="6992" max="6992" width="6" style="2" customWidth="1"/>
    <col min="6993" max="6993" width="44" style="2" customWidth="1"/>
    <col min="6994" max="6994" width="10.7109375" style="2" customWidth="1"/>
    <col min="6995" max="6995" width="10.140625" style="2" customWidth="1"/>
    <col min="6996" max="6996" width="10.7109375" style="2" customWidth="1"/>
    <col min="6997" max="6997" width="11.85546875" style="2" customWidth="1"/>
    <col min="6998" max="7247" width="10.140625" style="2"/>
    <col min="7248" max="7248" width="6" style="2" customWidth="1"/>
    <col min="7249" max="7249" width="44" style="2" customWidth="1"/>
    <col min="7250" max="7250" width="10.7109375" style="2" customWidth="1"/>
    <col min="7251" max="7251" width="10.140625" style="2" customWidth="1"/>
    <col min="7252" max="7252" width="10.7109375" style="2" customWidth="1"/>
    <col min="7253" max="7253" width="11.85546875" style="2" customWidth="1"/>
    <col min="7254" max="7503" width="10.140625" style="2"/>
    <col min="7504" max="7504" width="6" style="2" customWidth="1"/>
    <col min="7505" max="7505" width="44" style="2" customWidth="1"/>
    <col min="7506" max="7506" width="10.7109375" style="2" customWidth="1"/>
    <col min="7507" max="7507" width="10.140625" style="2" customWidth="1"/>
    <col min="7508" max="7508" width="10.7109375" style="2" customWidth="1"/>
    <col min="7509" max="7509" width="11.85546875" style="2" customWidth="1"/>
    <col min="7510" max="7759" width="10.140625" style="2"/>
    <col min="7760" max="7760" width="6" style="2" customWidth="1"/>
    <col min="7761" max="7761" width="44" style="2" customWidth="1"/>
    <col min="7762" max="7762" width="10.7109375" style="2" customWidth="1"/>
    <col min="7763" max="7763" width="10.140625" style="2" customWidth="1"/>
    <col min="7764" max="7764" width="10.7109375" style="2" customWidth="1"/>
    <col min="7765" max="7765" width="11.85546875" style="2" customWidth="1"/>
    <col min="7766" max="8015" width="10.140625" style="2"/>
    <col min="8016" max="8016" width="6" style="2" customWidth="1"/>
    <col min="8017" max="8017" width="44" style="2" customWidth="1"/>
    <col min="8018" max="8018" width="10.7109375" style="2" customWidth="1"/>
    <col min="8019" max="8019" width="10.140625" style="2" customWidth="1"/>
    <col min="8020" max="8020" width="10.7109375" style="2" customWidth="1"/>
    <col min="8021" max="8021" width="11.85546875" style="2" customWidth="1"/>
    <col min="8022" max="8271" width="10.140625" style="2"/>
    <col min="8272" max="8272" width="6" style="2" customWidth="1"/>
    <col min="8273" max="8273" width="44" style="2" customWidth="1"/>
    <col min="8274" max="8274" width="10.7109375" style="2" customWidth="1"/>
    <col min="8275" max="8275" width="10.140625" style="2" customWidth="1"/>
    <col min="8276" max="8276" width="10.7109375" style="2" customWidth="1"/>
    <col min="8277" max="8277" width="11.85546875" style="2" customWidth="1"/>
    <col min="8278" max="8527" width="10.140625" style="2"/>
    <col min="8528" max="8528" width="6" style="2" customWidth="1"/>
    <col min="8529" max="8529" width="44" style="2" customWidth="1"/>
    <col min="8530" max="8530" width="10.7109375" style="2" customWidth="1"/>
    <col min="8531" max="8531" width="10.140625" style="2" customWidth="1"/>
    <col min="8532" max="8532" width="10.7109375" style="2" customWidth="1"/>
    <col min="8533" max="8533" width="11.85546875" style="2" customWidth="1"/>
    <col min="8534" max="8783" width="10.140625" style="2"/>
    <col min="8784" max="8784" width="6" style="2" customWidth="1"/>
    <col min="8785" max="8785" width="44" style="2" customWidth="1"/>
    <col min="8786" max="8786" width="10.7109375" style="2" customWidth="1"/>
    <col min="8787" max="8787" width="10.140625" style="2" customWidth="1"/>
    <col min="8788" max="8788" width="10.7109375" style="2" customWidth="1"/>
    <col min="8789" max="8789" width="11.85546875" style="2" customWidth="1"/>
    <col min="8790" max="9039" width="10.140625" style="2"/>
    <col min="9040" max="9040" width="6" style="2" customWidth="1"/>
    <col min="9041" max="9041" width="44" style="2" customWidth="1"/>
    <col min="9042" max="9042" width="10.7109375" style="2" customWidth="1"/>
    <col min="9043" max="9043" width="10.140625" style="2" customWidth="1"/>
    <col min="9044" max="9044" width="10.7109375" style="2" customWidth="1"/>
    <col min="9045" max="9045" width="11.85546875" style="2" customWidth="1"/>
    <col min="9046" max="9295" width="10.140625" style="2"/>
    <col min="9296" max="9296" width="6" style="2" customWidth="1"/>
    <col min="9297" max="9297" width="44" style="2" customWidth="1"/>
    <col min="9298" max="9298" width="10.7109375" style="2" customWidth="1"/>
    <col min="9299" max="9299" width="10.140625" style="2" customWidth="1"/>
    <col min="9300" max="9300" width="10.7109375" style="2" customWidth="1"/>
    <col min="9301" max="9301" width="11.85546875" style="2" customWidth="1"/>
    <col min="9302" max="9551" width="10.140625" style="2"/>
    <col min="9552" max="9552" width="6" style="2" customWidth="1"/>
    <col min="9553" max="9553" width="44" style="2" customWidth="1"/>
    <col min="9554" max="9554" width="10.7109375" style="2" customWidth="1"/>
    <col min="9555" max="9555" width="10.140625" style="2" customWidth="1"/>
    <col min="9556" max="9556" width="10.7109375" style="2" customWidth="1"/>
    <col min="9557" max="9557" width="11.85546875" style="2" customWidth="1"/>
    <col min="9558" max="9807" width="10.140625" style="2"/>
    <col min="9808" max="9808" width="6" style="2" customWidth="1"/>
    <col min="9809" max="9809" width="44" style="2" customWidth="1"/>
    <col min="9810" max="9810" width="10.7109375" style="2" customWidth="1"/>
    <col min="9811" max="9811" width="10.140625" style="2" customWidth="1"/>
    <col min="9812" max="9812" width="10.7109375" style="2" customWidth="1"/>
    <col min="9813" max="9813" width="11.85546875" style="2" customWidth="1"/>
    <col min="9814" max="10063" width="10.140625" style="2"/>
    <col min="10064" max="10064" width="6" style="2" customWidth="1"/>
    <col min="10065" max="10065" width="44" style="2" customWidth="1"/>
    <col min="10066" max="10066" width="10.7109375" style="2" customWidth="1"/>
    <col min="10067" max="10067" width="10.140625" style="2" customWidth="1"/>
    <col min="10068" max="10068" width="10.7109375" style="2" customWidth="1"/>
    <col min="10069" max="10069" width="11.85546875" style="2" customWidth="1"/>
    <col min="10070" max="10319" width="10.140625" style="2"/>
    <col min="10320" max="10320" width="6" style="2" customWidth="1"/>
    <col min="10321" max="10321" width="44" style="2" customWidth="1"/>
    <col min="10322" max="10322" width="10.7109375" style="2" customWidth="1"/>
    <col min="10323" max="10323" width="10.140625" style="2" customWidth="1"/>
    <col min="10324" max="10324" width="10.7109375" style="2" customWidth="1"/>
    <col min="10325" max="10325" width="11.85546875" style="2" customWidth="1"/>
    <col min="10326" max="10575" width="10.140625" style="2"/>
    <col min="10576" max="10576" width="6" style="2" customWidth="1"/>
    <col min="10577" max="10577" width="44" style="2" customWidth="1"/>
    <col min="10578" max="10578" width="10.7109375" style="2" customWidth="1"/>
    <col min="10579" max="10579" width="10.140625" style="2" customWidth="1"/>
    <col min="10580" max="10580" width="10.7109375" style="2" customWidth="1"/>
    <col min="10581" max="10581" width="11.85546875" style="2" customWidth="1"/>
    <col min="10582" max="10831" width="10.140625" style="2"/>
    <col min="10832" max="10832" width="6" style="2" customWidth="1"/>
    <col min="10833" max="10833" width="44" style="2" customWidth="1"/>
    <col min="10834" max="10834" width="10.7109375" style="2" customWidth="1"/>
    <col min="10835" max="10835" width="10.140625" style="2" customWidth="1"/>
    <col min="10836" max="10836" width="10.7109375" style="2" customWidth="1"/>
    <col min="10837" max="10837" width="11.85546875" style="2" customWidth="1"/>
    <col min="10838" max="11087" width="10.140625" style="2"/>
    <col min="11088" max="11088" width="6" style="2" customWidth="1"/>
    <col min="11089" max="11089" width="44" style="2" customWidth="1"/>
    <col min="11090" max="11090" width="10.7109375" style="2" customWidth="1"/>
    <col min="11091" max="11091" width="10.140625" style="2" customWidth="1"/>
    <col min="11092" max="11092" width="10.7109375" style="2" customWidth="1"/>
    <col min="11093" max="11093" width="11.85546875" style="2" customWidth="1"/>
    <col min="11094" max="11343" width="10.140625" style="2"/>
    <col min="11344" max="11344" width="6" style="2" customWidth="1"/>
    <col min="11345" max="11345" width="44" style="2" customWidth="1"/>
    <col min="11346" max="11346" width="10.7109375" style="2" customWidth="1"/>
    <col min="11347" max="11347" width="10.140625" style="2" customWidth="1"/>
    <col min="11348" max="11348" width="10.7109375" style="2" customWidth="1"/>
    <col min="11349" max="11349" width="11.85546875" style="2" customWidth="1"/>
    <col min="11350" max="11599" width="10.140625" style="2"/>
    <col min="11600" max="11600" width="6" style="2" customWidth="1"/>
    <col min="11601" max="11601" width="44" style="2" customWidth="1"/>
    <col min="11602" max="11602" width="10.7109375" style="2" customWidth="1"/>
    <col min="11603" max="11603" width="10.140625" style="2" customWidth="1"/>
    <col min="11604" max="11604" width="10.7109375" style="2" customWidth="1"/>
    <col min="11605" max="11605" width="11.85546875" style="2" customWidth="1"/>
    <col min="11606" max="11855" width="10.140625" style="2"/>
    <col min="11856" max="11856" width="6" style="2" customWidth="1"/>
    <col min="11857" max="11857" width="44" style="2" customWidth="1"/>
    <col min="11858" max="11858" width="10.7109375" style="2" customWidth="1"/>
    <col min="11859" max="11859" width="10.140625" style="2" customWidth="1"/>
    <col min="11860" max="11860" width="10.7109375" style="2" customWidth="1"/>
    <col min="11861" max="11861" width="11.85546875" style="2" customWidth="1"/>
    <col min="11862" max="12111" width="10.140625" style="2"/>
    <col min="12112" max="12112" width="6" style="2" customWidth="1"/>
    <col min="12113" max="12113" width="44" style="2" customWidth="1"/>
    <col min="12114" max="12114" width="10.7109375" style="2" customWidth="1"/>
    <col min="12115" max="12115" width="10.140625" style="2" customWidth="1"/>
    <col min="12116" max="12116" width="10.7109375" style="2" customWidth="1"/>
    <col min="12117" max="12117" width="11.85546875" style="2" customWidth="1"/>
    <col min="12118" max="12367" width="10.140625" style="2"/>
    <col min="12368" max="12368" width="6" style="2" customWidth="1"/>
    <col min="12369" max="12369" width="44" style="2" customWidth="1"/>
    <col min="12370" max="12370" width="10.7109375" style="2" customWidth="1"/>
    <col min="12371" max="12371" width="10.140625" style="2" customWidth="1"/>
    <col min="12372" max="12372" width="10.7109375" style="2" customWidth="1"/>
    <col min="12373" max="12373" width="11.85546875" style="2" customWidth="1"/>
    <col min="12374" max="12623" width="10.140625" style="2"/>
    <col min="12624" max="12624" width="6" style="2" customWidth="1"/>
    <col min="12625" max="12625" width="44" style="2" customWidth="1"/>
    <col min="12626" max="12626" width="10.7109375" style="2" customWidth="1"/>
    <col min="12627" max="12627" width="10.140625" style="2" customWidth="1"/>
    <col min="12628" max="12628" width="10.7109375" style="2" customWidth="1"/>
    <col min="12629" max="12629" width="11.85546875" style="2" customWidth="1"/>
    <col min="12630" max="12879" width="10.140625" style="2"/>
    <col min="12880" max="12880" width="6" style="2" customWidth="1"/>
    <col min="12881" max="12881" width="44" style="2" customWidth="1"/>
    <col min="12882" max="12882" width="10.7109375" style="2" customWidth="1"/>
    <col min="12883" max="12883" width="10.140625" style="2" customWidth="1"/>
    <col min="12884" max="12884" width="10.7109375" style="2" customWidth="1"/>
    <col min="12885" max="12885" width="11.85546875" style="2" customWidth="1"/>
    <col min="12886" max="13135" width="10.140625" style="2"/>
    <col min="13136" max="13136" width="6" style="2" customWidth="1"/>
    <col min="13137" max="13137" width="44" style="2" customWidth="1"/>
    <col min="13138" max="13138" width="10.7109375" style="2" customWidth="1"/>
    <col min="13139" max="13139" width="10.140625" style="2" customWidth="1"/>
    <col min="13140" max="13140" width="10.7109375" style="2" customWidth="1"/>
    <col min="13141" max="13141" width="11.85546875" style="2" customWidth="1"/>
    <col min="13142" max="13391" width="10.140625" style="2"/>
    <col min="13392" max="13392" width="6" style="2" customWidth="1"/>
    <col min="13393" max="13393" width="44" style="2" customWidth="1"/>
    <col min="13394" max="13394" width="10.7109375" style="2" customWidth="1"/>
    <col min="13395" max="13395" width="10.140625" style="2" customWidth="1"/>
    <col min="13396" max="13396" width="10.7109375" style="2" customWidth="1"/>
    <col min="13397" max="13397" width="11.85546875" style="2" customWidth="1"/>
    <col min="13398" max="13647" width="10.140625" style="2"/>
    <col min="13648" max="13648" width="6" style="2" customWidth="1"/>
    <col min="13649" max="13649" width="44" style="2" customWidth="1"/>
    <col min="13650" max="13650" width="10.7109375" style="2" customWidth="1"/>
    <col min="13651" max="13651" width="10.140625" style="2" customWidth="1"/>
    <col min="13652" max="13652" width="10.7109375" style="2" customWidth="1"/>
    <col min="13653" max="13653" width="11.85546875" style="2" customWidth="1"/>
    <col min="13654" max="13903" width="10.140625" style="2"/>
    <col min="13904" max="13904" width="6" style="2" customWidth="1"/>
    <col min="13905" max="13905" width="44" style="2" customWidth="1"/>
    <col min="13906" max="13906" width="10.7109375" style="2" customWidth="1"/>
    <col min="13907" max="13907" width="10.140625" style="2" customWidth="1"/>
    <col min="13908" max="13908" width="10.7109375" style="2" customWidth="1"/>
    <col min="13909" max="13909" width="11.85546875" style="2" customWidth="1"/>
    <col min="13910" max="14159" width="10.140625" style="2"/>
    <col min="14160" max="14160" width="6" style="2" customWidth="1"/>
    <col min="14161" max="14161" width="44" style="2" customWidth="1"/>
    <col min="14162" max="14162" width="10.7109375" style="2" customWidth="1"/>
    <col min="14163" max="14163" width="10.140625" style="2" customWidth="1"/>
    <col min="14164" max="14164" width="10.7109375" style="2" customWidth="1"/>
    <col min="14165" max="14165" width="11.85546875" style="2" customWidth="1"/>
    <col min="14166" max="14415" width="10.140625" style="2"/>
    <col min="14416" max="14416" width="6" style="2" customWidth="1"/>
    <col min="14417" max="14417" width="44" style="2" customWidth="1"/>
    <col min="14418" max="14418" width="10.7109375" style="2" customWidth="1"/>
    <col min="14419" max="14419" width="10.140625" style="2" customWidth="1"/>
    <col min="14420" max="14420" width="10.7109375" style="2" customWidth="1"/>
    <col min="14421" max="14421" width="11.85546875" style="2" customWidth="1"/>
    <col min="14422" max="14671" width="10.140625" style="2"/>
    <col min="14672" max="14672" width="6" style="2" customWidth="1"/>
    <col min="14673" max="14673" width="44" style="2" customWidth="1"/>
    <col min="14674" max="14674" width="10.7109375" style="2" customWidth="1"/>
    <col min="14675" max="14675" width="10.140625" style="2" customWidth="1"/>
    <col min="14676" max="14676" width="10.7109375" style="2" customWidth="1"/>
    <col min="14677" max="14677" width="11.85546875" style="2" customWidth="1"/>
    <col min="14678" max="14927" width="10.140625" style="2"/>
    <col min="14928" max="14928" width="6" style="2" customWidth="1"/>
    <col min="14929" max="14929" width="44" style="2" customWidth="1"/>
    <col min="14930" max="14930" width="10.7109375" style="2" customWidth="1"/>
    <col min="14931" max="14931" width="10.140625" style="2" customWidth="1"/>
    <col min="14932" max="14932" width="10.7109375" style="2" customWidth="1"/>
    <col min="14933" max="14933" width="11.85546875" style="2" customWidth="1"/>
    <col min="14934" max="15183" width="10.140625" style="2"/>
    <col min="15184" max="15184" width="6" style="2" customWidth="1"/>
    <col min="15185" max="15185" width="44" style="2" customWidth="1"/>
    <col min="15186" max="15186" width="10.7109375" style="2" customWidth="1"/>
    <col min="15187" max="15187" width="10.140625" style="2" customWidth="1"/>
    <col min="15188" max="15188" width="10.7109375" style="2" customWidth="1"/>
    <col min="15189" max="15189" width="11.85546875" style="2" customWidth="1"/>
    <col min="15190" max="15439" width="10.140625" style="2"/>
    <col min="15440" max="15440" width="6" style="2" customWidth="1"/>
    <col min="15441" max="15441" width="44" style="2" customWidth="1"/>
    <col min="15442" max="15442" width="10.7109375" style="2" customWidth="1"/>
    <col min="15443" max="15443" width="10.140625" style="2" customWidth="1"/>
    <col min="15444" max="15444" width="10.7109375" style="2" customWidth="1"/>
    <col min="15445" max="15445" width="11.85546875" style="2" customWidth="1"/>
    <col min="15446" max="15695" width="10.140625" style="2"/>
    <col min="15696" max="15696" width="6" style="2" customWidth="1"/>
    <col min="15697" max="15697" width="44" style="2" customWidth="1"/>
    <col min="15698" max="15698" width="10.7109375" style="2" customWidth="1"/>
    <col min="15699" max="15699" width="10.140625" style="2" customWidth="1"/>
    <col min="15700" max="15700" width="10.7109375" style="2" customWidth="1"/>
    <col min="15701" max="15701" width="11.85546875" style="2" customWidth="1"/>
    <col min="15702" max="15951" width="10.140625" style="2"/>
    <col min="15952" max="15952" width="6" style="2" customWidth="1"/>
    <col min="15953" max="15953" width="44" style="2" customWidth="1"/>
    <col min="15954" max="15954" width="10.7109375" style="2" customWidth="1"/>
    <col min="15955" max="15955" width="10.140625" style="2" customWidth="1"/>
    <col min="15956" max="15956" width="10.7109375" style="2" customWidth="1"/>
    <col min="15957" max="15957" width="11.85546875" style="2" customWidth="1"/>
    <col min="15958" max="16384" width="10.140625" style="2"/>
  </cols>
  <sheetData>
    <row r="1" spans="1:12" ht="15.75" x14ac:dyDescent="0.25">
      <c r="A1" s="21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ht="15.75" x14ac:dyDescent="0.25">
      <c r="A2" s="69" t="s">
        <v>36</v>
      </c>
      <c r="B2" s="68"/>
      <c r="C2" s="68"/>
      <c r="D2" s="68"/>
      <c r="E2" s="68"/>
      <c r="F2" s="68"/>
      <c r="G2" s="68"/>
      <c r="H2" s="68"/>
      <c r="I2" s="68"/>
      <c r="J2" s="68"/>
      <c r="K2" s="8" t="s">
        <v>122</v>
      </c>
      <c r="L2" s="68"/>
    </row>
    <row r="3" spans="1:12" ht="15.75" customHeight="1" x14ac:dyDescent="0.25">
      <c r="A3" s="77" t="s">
        <v>0</v>
      </c>
      <c r="B3" s="77" t="s">
        <v>37</v>
      </c>
      <c r="C3" s="78" t="s">
        <v>241</v>
      </c>
      <c r="D3" s="78" t="s">
        <v>242</v>
      </c>
      <c r="E3" s="78" t="s">
        <v>243</v>
      </c>
      <c r="F3" s="79" t="s">
        <v>244</v>
      </c>
      <c r="G3" s="80" t="s">
        <v>245</v>
      </c>
      <c r="H3" s="80"/>
      <c r="I3" s="80"/>
      <c r="J3" s="80"/>
      <c r="K3" s="80"/>
      <c r="L3" s="80"/>
    </row>
    <row r="4" spans="1:12" ht="13.5" customHeight="1" x14ac:dyDescent="0.25">
      <c r="A4" s="77"/>
      <c r="B4" s="77"/>
      <c r="C4" s="78"/>
      <c r="D4" s="78"/>
      <c r="E4" s="78"/>
      <c r="F4" s="79"/>
      <c r="G4" s="78" t="s">
        <v>38</v>
      </c>
      <c r="H4" s="78"/>
      <c r="I4" s="78"/>
      <c r="J4" s="78"/>
      <c r="K4" s="78" t="s">
        <v>39</v>
      </c>
      <c r="L4" s="78"/>
    </row>
    <row r="5" spans="1:12" ht="15.75" customHeight="1" x14ac:dyDescent="0.25">
      <c r="A5" s="77"/>
      <c r="B5" s="77"/>
      <c r="C5" s="78"/>
      <c r="D5" s="78"/>
      <c r="E5" s="78"/>
      <c r="F5" s="79"/>
      <c r="G5" s="78" t="s">
        <v>217</v>
      </c>
      <c r="H5" s="78" t="s">
        <v>242</v>
      </c>
      <c r="I5" s="79" t="s">
        <v>246</v>
      </c>
      <c r="J5" s="79"/>
      <c r="K5" s="78" t="s">
        <v>217</v>
      </c>
      <c r="L5" s="78" t="s">
        <v>242</v>
      </c>
    </row>
    <row r="6" spans="1:12" ht="48" customHeight="1" x14ac:dyDescent="0.25">
      <c r="A6" s="77"/>
      <c r="B6" s="77"/>
      <c r="C6" s="78"/>
      <c r="D6" s="78"/>
      <c r="E6" s="78"/>
      <c r="F6" s="79"/>
      <c r="G6" s="78"/>
      <c r="H6" s="78"/>
      <c r="I6" s="23" t="s">
        <v>217</v>
      </c>
      <c r="J6" s="23" t="s">
        <v>242</v>
      </c>
      <c r="K6" s="78"/>
      <c r="L6" s="78"/>
    </row>
    <row r="7" spans="1:12" ht="15.75" x14ac:dyDescent="0.25">
      <c r="A7" s="61">
        <v>1</v>
      </c>
      <c r="B7" s="60">
        <v>2</v>
      </c>
      <c r="C7" s="60">
        <v>3</v>
      </c>
      <c r="D7" s="60">
        <v>4</v>
      </c>
      <c r="E7" s="60">
        <v>5</v>
      </c>
      <c r="F7" s="60">
        <v>6</v>
      </c>
      <c r="G7" s="60">
        <v>7</v>
      </c>
      <c r="H7" s="60">
        <v>8</v>
      </c>
      <c r="I7" s="60">
        <v>9</v>
      </c>
      <c r="J7" s="60">
        <v>10</v>
      </c>
      <c r="K7" s="60">
        <v>11</v>
      </c>
      <c r="L7" s="60">
        <v>12</v>
      </c>
    </row>
    <row r="8" spans="1:12" ht="15.75" x14ac:dyDescent="0.25">
      <c r="A8" s="12">
        <v>1</v>
      </c>
      <c r="B8" s="7" t="s">
        <v>40</v>
      </c>
      <c r="C8" s="18">
        <f>+C9</f>
        <v>163.69999999999999</v>
      </c>
      <c r="D8" s="18">
        <f t="shared" ref="D8:E8" si="0">+D9</f>
        <v>150.80000000000001</v>
      </c>
      <c r="E8" s="18">
        <f t="shared" si="0"/>
        <v>-12.9</v>
      </c>
      <c r="F8" s="18">
        <f>+D8/C8*100</f>
        <v>92.1</v>
      </c>
      <c r="G8" s="18">
        <f t="shared" ref="G8" si="1">+G9</f>
        <v>161.9</v>
      </c>
      <c r="H8" s="18">
        <f t="shared" ref="H8" si="2">+H9</f>
        <v>149.1</v>
      </c>
      <c r="I8" s="18">
        <f t="shared" ref="I8" si="3">+I9</f>
        <v>119</v>
      </c>
      <c r="J8" s="18">
        <f t="shared" ref="J8" si="4">+J9</f>
        <v>107.4</v>
      </c>
      <c r="K8" s="18">
        <f t="shared" ref="K8" si="5">+K9</f>
        <v>1.8</v>
      </c>
      <c r="L8" s="18">
        <f t="shared" ref="L8" si="6">+L9</f>
        <v>1.7</v>
      </c>
    </row>
    <row r="9" spans="1:12" ht="15.75" x14ac:dyDescent="0.25">
      <c r="A9" s="12">
        <f>+A8+1</f>
        <v>2</v>
      </c>
      <c r="B9" s="7" t="s">
        <v>42</v>
      </c>
      <c r="C9" s="18">
        <f>+C11</f>
        <v>163.69999999999999</v>
      </c>
      <c r="D9" s="18">
        <f t="shared" ref="D9:L9" si="7">+D11</f>
        <v>150.80000000000001</v>
      </c>
      <c r="E9" s="18">
        <f t="shared" si="7"/>
        <v>-12.9</v>
      </c>
      <c r="F9" s="18">
        <f>+D9/C9*100</f>
        <v>92.1</v>
      </c>
      <c r="G9" s="18">
        <f t="shared" si="7"/>
        <v>161.9</v>
      </c>
      <c r="H9" s="18">
        <f t="shared" si="7"/>
        <v>149.1</v>
      </c>
      <c r="I9" s="18">
        <f t="shared" si="7"/>
        <v>119</v>
      </c>
      <c r="J9" s="18">
        <f t="shared" si="7"/>
        <v>107.4</v>
      </c>
      <c r="K9" s="18">
        <f t="shared" si="7"/>
        <v>1.8</v>
      </c>
      <c r="L9" s="18">
        <f t="shared" si="7"/>
        <v>1.7</v>
      </c>
    </row>
    <row r="10" spans="1:12" ht="15.75" x14ac:dyDescent="0.25">
      <c r="A10" s="12">
        <f t="shared" ref="A10:A73" si="8">+A9+1</f>
        <v>3</v>
      </c>
      <c r="B10" s="60" t="s">
        <v>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2" ht="31.5" x14ac:dyDescent="0.25">
      <c r="A11" s="12">
        <f t="shared" si="8"/>
        <v>4</v>
      </c>
      <c r="B11" s="6" t="s">
        <v>58</v>
      </c>
      <c r="C11" s="19">
        <f>+G11+K11</f>
        <v>163.69999999999999</v>
      </c>
      <c r="D11" s="19">
        <f>+H11+L11</f>
        <v>150.80000000000001</v>
      </c>
      <c r="E11" s="19">
        <f>+D11-C11</f>
        <v>-12.9</v>
      </c>
      <c r="F11" s="19">
        <f>+D11/C11*100</f>
        <v>92.1</v>
      </c>
      <c r="G11" s="19">
        <f>163.7-1.8</f>
        <v>161.9</v>
      </c>
      <c r="H11" s="19">
        <f>150.8-1.7</f>
        <v>149.1</v>
      </c>
      <c r="I11" s="19">
        <v>119</v>
      </c>
      <c r="J11" s="19">
        <v>107.4</v>
      </c>
      <c r="K11" s="19">
        <v>1.8</v>
      </c>
      <c r="L11" s="19">
        <v>1.7</v>
      </c>
    </row>
    <row r="12" spans="1:12" ht="15.75" x14ac:dyDescent="0.25">
      <c r="A12" s="12">
        <f t="shared" si="8"/>
        <v>5</v>
      </c>
      <c r="B12" s="7" t="s">
        <v>3</v>
      </c>
      <c r="C12" s="18">
        <f>+C13+C14+C43+C44+C45+C46+C47+C48+C49+C53</f>
        <v>11999.5</v>
      </c>
      <c r="D12" s="18">
        <f t="shared" ref="D12:E12" si="9">+D13+D14+D43+D44+D45+D46+D47+D48+D49+D53</f>
        <v>10604.9</v>
      </c>
      <c r="E12" s="18">
        <f t="shared" si="9"/>
        <v>-1394.6</v>
      </c>
      <c r="F12" s="18">
        <f>+D12/C12*100</f>
        <v>88.4</v>
      </c>
      <c r="G12" s="18">
        <f t="shared" ref="G12" si="10">+G13+G14+G43+G44+G45+G46+G47+G48+G49+G53</f>
        <v>9568.5</v>
      </c>
      <c r="H12" s="18">
        <f t="shared" ref="H12" si="11">+H13+H14+H43+H44+H45+H46+H47+H48+H49+H53</f>
        <v>8824.5</v>
      </c>
      <c r="I12" s="18">
        <f t="shared" ref="I12" si="12">+I13+I14+I43+I44+I45+I46+I47+I48+I49+I53</f>
        <v>5150</v>
      </c>
      <c r="J12" s="18">
        <f t="shared" ref="J12" si="13">+J13+J14+J43+J44+J45+J46+J47+J48+J49+J53</f>
        <v>5096</v>
      </c>
      <c r="K12" s="18">
        <f t="shared" ref="K12" si="14">+K13+K14+K43+K44+K45+K46+K47+K48+K49+K53</f>
        <v>2431</v>
      </c>
      <c r="L12" s="18">
        <f t="shared" ref="L12" si="15">+L13+L14+L43+L44+L45+L46+L47+L48+L49+L53</f>
        <v>1780.4</v>
      </c>
    </row>
    <row r="13" spans="1:12" ht="31.5" x14ac:dyDescent="0.25">
      <c r="A13" s="12">
        <f t="shared" si="8"/>
        <v>6</v>
      </c>
      <c r="B13" s="7" t="s">
        <v>41</v>
      </c>
      <c r="C13" s="18">
        <f>+G13+K13</f>
        <v>127.1</v>
      </c>
      <c r="D13" s="18">
        <f>+H13+L13</f>
        <v>7.5</v>
      </c>
      <c r="E13" s="18">
        <f>+D13-C13</f>
        <v>-119.6</v>
      </c>
      <c r="F13" s="18">
        <f>+D13/C13*100</f>
        <v>5.9</v>
      </c>
      <c r="G13" s="18">
        <v>127.1</v>
      </c>
      <c r="H13" s="18">
        <v>7.5</v>
      </c>
      <c r="I13" s="18"/>
      <c r="J13" s="18"/>
      <c r="K13" s="18"/>
      <c r="L13" s="18"/>
    </row>
    <row r="14" spans="1:12" ht="15.75" x14ac:dyDescent="0.25">
      <c r="A14" s="12">
        <f t="shared" si="8"/>
        <v>7</v>
      </c>
      <c r="B14" s="7" t="s">
        <v>42</v>
      </c>
      <c r="C14" s="18">
        <f>+C16+C17+C18+C19+C20+C21+C42</f>
        <v>9269.5</v>
      </c>
      <c r="D14" s="18">
        <f t="shared" ref="D14:L14" si="16">+D16+D17+D18+D19+D20+D21+D42</f>
        <v>8593.2999999999993</v>
      </c>
      <c r="E14" s="18">
        <f t="shared" si="16"/>
        <v>-676.2</v>
      </c>
      <c r="F14" s="18">
        <f>+D14/C14*100</f>
        <v>92.7</v>
      </c>
      <c r="G14" s="18">
        <f t="shared" si="16"/>
        <v>8930.6</v>
      </c>
      <c r="H14" s="18">
        <f t="shared" si="16"/>
        <v>8385.2999999999993</v>
      </c>
      <c r="I14" s="18">
        <f t="shared" si="16"/>
        <v>5147.5</v>
      </c>
      <c r="J14" s="18">
        <f t="shared" si="16"/>
        <v>5093.6000000000004</v>
      </c>
      <c r="K14" s="18">
        <f t="shared" si="16"/>
        <v>338.9</v>
      </c>
      <c r="L14" s="18">
        <f t="shared" si="16"/>
        <v>208</v>
      </c>
    </row>
    <row r="15" spans="1:12" ht="15.75" x14ac:dyDescent="0.25">
      <c r="A15" s="12">
        <f t="shared" si="8"/>
        <v>8</v>
      </c>
      <c r="B15" s="60" t="s">
        <v>2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</row>
    <row r="16" spans="1:12" ht="31.5" x14ac:dyDescent="0.25">
      <c r="A16" s="12">
        <f t="shared" si="8"/>
        <v>9</v>
      </c>
      <c r="B16" s="6" t="s">
        <v>43</v>
      </c>
      <c r="C16" s="19">
        <f t="shared" ref="C16:C20" si="17">+G16+K16</f>
        <v>332.3</v>
      </c>
      <c r="D16" s="19">
        <f t="shared" ref="D16:D20" si="18">+H16+L16</f>
        <v>288.7</v>
      </c>
      <c r="E16" s="19">
        <f t="shared" ref="E16:E20" si="19">+D16-C16</f>
        <v>-43.6</v>
      </c>
      <c r="F16" s="19">
        <f t="shared" ref="F16:F21" si="20">+D16/C16*100</f>
        <v>86.9</v>
      </c>
      <c r="G16" s="19">
        <v>332.3</v>
      </c>
      <c r="H16" s="19">
        <v>288.7</v>
      </c>
      <c r="I16" s="19">
        <v>112</v>
      </c>
      <c r="J16" s="19">
        <v>105.2</v>
      </c>
      <c r="K16" s="19"/>
      <c r="L16" s="19"/>
    </row>
    <row r="17" spans="1:12" ht="31.5" x14ac:dyDescent="0.25">
      <c r="A17" s="12">
        <f t="shared" si="8"/>
        <v>10</v>
      </c>
      <c r="B17" s="6" t="s">
        <v>44</v>
      </c>
      <c r="C17" s="19">
        <f t="shared" si="17"/>
        <v>163.19999999999999</v>
      </c>
      <c r="D17" s="19">
        <f t="shared" si="18"/>
        <v>161</v>
      </c>
      <c r="E17" s="19">
        <f t="shared" si="19"/>
        <v>-2.2000000000000002</v>
      </c>
      <c r="F17" s="19">
        <f t="shared" si="20"/>
        <v>98.7</v>
      </c>
      <c r="G17" s="19">
        <v>163.19999999999999</v>
      </c>
      <c r="H17" s="19">
        <v>161</v>
      </c>
      <c r="I17" s="19">
        <v>119.3</v>
      </c>
      <c r="J17" s="19">
        <v>119</v>
      </c>
      <c r="K17" s="19"/>
      <c r="L17" s="19"/>
    </row>
    <row r="18" spans="1:12" ht="47.25" x14ac:dyDescent="0.25">
      <c r="A18" s="12">
        <f t="shared" si="8"/>
        <v>11</v>
      </c>
      <c r="B18" s="6" t="s">
        <v>45</v>
      </c>
      <c r="C18" s="19">
        <f t="shared" si="17"/>
        <v>7938.9</v>
      </c>
      <c r="D18" s="19">
        <f t="shared" si="18"/>
        <v>7464.5</v>
      </c>
      <c r="E18" s="19">
        <f t="shared" si="19"/>
        <v>-474.4</v>
      </c>
      <c r="F18" s="19">
        <f t="shared" si="20"/>
        <v>94</v>
      </c>
      <c r="G18" s="19">
        <f>8445.2-K18-G16-G17-G19+12.1+6+0.1</f>
        <v>7697.2</v>
      </c>
      <c r="H18" s="19">
        <f>7909.2-L18-H16-H17-H19+5</f>
        <v>7288.6</v>
      </c>
      <c r="I18" s="19">
        <f>4682.6+4.6-I16-I17</f>
        <v>4455.8999999999996</v>
      </c>
      <c r="J18" s="19">
        <f>4655.2+3.8-J16-J17</f>
        <v>4434.8</v>
      </c>
      <c r="K18" s="19">
        <f>38.1+108.3+95.3</f>
        <v>241.7</v>
      </c>
      <c r="L18" s="19">
        <f>22.7+62.7+90.5</f>
        <v>175.9</v>
      </c>
    </row>
    <row r="19" spans="1:12" ht="31.5" x14ac:dyDescent="0.25">
      <c r="A19" s="12">
        <f t="shared" si="8"/>
        <v>12</v>
      </c>
      <c r="B19" s="6" t="s">
        <v>46</v>
      </c>
      <c r="C19" s="19">
        <f t="shared" si="17"/>
        <v>29</v>
      </c>
      <c r="D19" s="19">
        <f t="shared" si="18"/>
        <v>0</v>
      </c>
      <c r="E19" s="19">
        <f t="shared" si="19"/>
        <v>-29</v>
      </c>
      <c r="F19" s="19">
        <f t="shared" si="20"/>
        <v>0</v>
      </c>
      <c r="G19" s="19">
        <v>29</v>
      </c>
      <c r="H19" s="19"/>
      <c r="I19" s="19"/>
      <c r="J19" s="19"/>
      <c r="K19" s="19"/>
      <c r="L19" s="19"/>
    </row>
    <row r="20" spans="1:12" ht="31.5" x14ac:dyDescent="0.25">
      <c r="A20" s="12">
        <f t="shared" si="8"/>
        <v>13</v>
      </c>
      <c r="B20" s="6" t="s">
        <v>47</v>
      </c>
      <c r="C20" s="19">
        <f t="shared" si="17"/>
        <v>130</v>
      </c>
      <c r="D20" s="19">
        <f t="shared" si="18"/>
        <v>61.3</v>
      </c>
      <c r="E20" s="19">
        <f t="shared" si="19"/>
        <v>-68.7</v>
      </c>
      <c r="F20" s="19">
        <f t="shared" si="20"/>
        <v>47.2</v>
      </c>
      <c r="G20" s="19">
        <f>130-97.2</f>
        <v>32.799999999999997</v>
      </c>
      <c r="H20" s="19">
        <f>61.3-32.1</f>
        <v>29.2</v>
      </c>
      <c r="I20" s="19"/>
      <c r="J20" s="19"/>
      <c r="K20" s="19">
        <v>97.2</v>
      </c>
      <c r="L20" s="19">
        <v>32.1</v>
      </c>
    </row>
    <row r="21" spans="1:12" ht="63" x14ac:dyDescent="0.25">
      <c r="A21" s="12">
        <f t="shared" si="8"/>
        <v>14</v>
      </c>
      <c r="B21" s="6" t="s">
        <v>48</v>
      </c>
      <c r="C21" s="19">
        <f>SUM(C23:C41)</f>
        <v>673.1</v>
      </c>
      <c r="D21" s="19">
        <f t="shared" ref="D21:L21" si="21">SUM(D23:D41)</f>
        <v>614.79999999999995</v>
      </c>
      <c r="E21" s="19">
        <f t="shared" si="21"/>
        <v>-58.3</v>
      </c>
      <c r="F21" s="19">
        <f t="shared" si="20"/>
        <v>91.3</v>
      </c>
      <c r="G21" s="19">
        <f t="shared" si="21"/>
        <v>673.1</v>
      </c>
      <c r="H21" s="19">
        <f t="shared" si="21"/>
        <v>614.79999999999995</v>
      </c>
      <c r="I21" s="19">
        <f t="shared" si="21"/>
        <v>458</v>
      </c>
      <c r="J21" s="19">
        <f t="shared" si="21"/>
        <v>432.3</v>
      </c>
      <c r="K21" s="19">
        <f t="shared" si="21"/>
        <v>0</v>
      </c>
      <c r="L21" s="19">
        <f t="shared" si="21"/>
        <v>0</v>
      </c>
    </row>
    <row r="22" spans="1:12" ht="15.75" x14ac:dyDescent="0.25">
      <c r="A22" s="12">
        <f t="shared" si="8"/>
        <v>15</v>
      </c>
      <c r="B22" s="60" t="s">
        <v>2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</row>
    <row r="23" spans="1:12" ht="31.5" x14ac:dyDescent="0.25">
      <c r="A23" s="12">
        <f t="shared" si="8"/>
        <v>16</v>
      </c>
      <c r="B23" s="6" t="s">
        <v>17</v>
      </c>
      <c r="C23" s="19">
        <f t="shared" ref="C23:C48" si="22">+G23+K23</f>
        <v>0.6</v>
      </c>
      <c r="D23" s="19">
        <f t="shared" ref="D23:D48" si="23">+H23+L23</f>
        <v>0.5</v>
      </c>
      <c r="E23" s="19">
        <f t="shared" ref="E23:E48" si="24">+D23-C23</f>
        <v>-0.1</v>
      </c>
      <c r="F23" s="19">
        <f t="shared" ref="F23:F49" si="25">+D23/C23*100</f>
        <v>83.3</v>
      </c>
      <c r="G23" s="19">
        <v>0.6</v>
      </c>
      <c r="H23" s="19">
        <v>0.5</v>
      </c>
      <c r="I23" s="19">
        <v>0.5</v>
      </c>
      <c r="J23" s="19">
        <v>0.4</v>
      </c>
      <c r="K23" s="19"/>
      <c r="L23" s="19"/>
    </row>
    <row r="24" spans="1:12" ht="15.75" x14ac:dyDescent="0.25">
      <c r="A24" s="12">
        <f t="shared" si="8"/>
        <v>17</v>
      </c>
      <c r="B24" s="6" t="s">
        <v>18</v>
      </c>
      <c r="C24" s="19">
        <f t="shared" si="22"/>
        <v>17.899999999999999</v>
      </c>
      <c r="D24" s="19">
        <f t="shared" si="23"/>
        <v>17.8</v>
      </c>
      <c r="E24" s="19">
        <f t="shared" si="24"/>
        <v>-0.1</v>
      </c>
      <c r="F24" s="19">
        <f t="shared" si="25"/>
        <v>99.4</v>
      </c>
      <c r="G24" s="19">
        <v>17.899999999999999</v>
      </c>
      <c r="H24" s="19">
        <v>17.8</v>
      </c>
      <c r="I24" s="19">
        <v>12.2</v>
      </c>
      <c r="J24" s="19">
        <v>12.2</v>
      </c>
      <c r="K24" s="19"/>
      <c r="L24" s="19"/>
    </row>
    <row r="25" spans="1:12" ht="31.5" x14ac:dyDescent="0.25">
      <c r="A25" s="12">
        <f t="shared" si="8"/>
        <v>18</v>
      </c>
      <c r="B25" s="6" t="s">
        <v>19</v>
      </c>
      <c r="C25" s="19">
        <f t="shared" si="22"/>
        <v>9.8000000000000007</v>
      </c>
      <c r="D25" s="19">
        <f t="shared" si="23"/>
        <v>9.6999999999999993</v>
      </c>
      <c r="E25" s="19">
        <f t="shared" si="24"/>
        <v>-0.1</v>
      </c>
      <c r="F25" s="19">
        <f t="shared" si="25"/>
        <v>99</v>
      </c>
      <c r="G25" s="19">
        <v>9.8000000000000007</v>
      </c>
      <c r="H25" s="19">
        <v>9.6999999999999993</v>
      </c>
      <c r="I25" s="19">
        <v>7.5</v>
      </c>
      <c r="J25" s="19">
        <v>7.4</v>
      </c>
      <c r="K25" s="19"/>
      <c r="L25" s="19"/>
    </row>
    <row r="26" spans="1:12" ht="31.5" x14ac:dyDescent="0.25">
      <c r="A26" s="12">
        <f t="shared" si="8"/>
        <v>19</v>
      </c>
      <c r="B26" s="6" t="s">
        <v>119</v>
      </c>
      <c r="C26" s="19">
        <f t="shared" si="22"/>
        <v>71.900000000000006</v>
      </c>
      <c r="D26" s="19">
        <f t="shared" si="23"/>
        <v>71.5</v>
      </c>
      <c r="E26" s="19">
        <f t="shared" si="24"/>
        <v>-0.4</v>
      </c>
      <c r="F26" s="19">
        <f t="shared" si="25"/>
        <v>99.4</v>
      </c>
      <c r="G26" s="19">
        <v>71.900000000000006</v>
      </c>
      <c r="H26" s="19">
        <v>71.5</v>
      </c>
      <c r="I26" s="19">
        <v>43.6</v>
      </c>
      <c r="J26" s="19">
        <v>43.6</v>
      </c>
      <c r="K26" s="19"/>
      <c r="L26" s="19"/>
    </row>
    <row r="27" spans="1:12" ht="31.5" x14ac:dyDescent="0.25">
      <c r="A27" s="12">
        <f t="shared" si="8"/>
        <v>20</v>
      </c>
      <c r="B27" s="6" t="s">
        <v>162</v>
      </c>
      <c r="C27" s="19">
        <f t="shared" si="22"/>
        <v>30.5</v>
      </c>
      <c r="D27" s="19">
        <f t="shared" si="23"/>
        <v>30.3</v>
      </c>
      <c r="E27" s="19">
        <f t="shared" si="24"/>
        <v>-0.2</v>
      </c>
      <c r="F27" s="19">
        <f t="shared" si="25"/>
        <v>99.3</v>
      </c>
      <c r="G27" s="19">
        <v>30.5</v>
      </c>
      <c r="H27" s="19">
        <v>30.3</v>
      </c>
      <c r="I27" s="19">
        <v>20.9</v>
      </c>
      <c r="J27" s="19">
        <v>20.7</v>
      </c>
      <c r="K27" s="19"/>
      <c r="L27" s="19"/>
    </row>
    <row r="28" spans="1:12" ht="15.75" x14ac:dyDescent="0.25">
      <c r="A28" s="12">
        <f t="shared" si="8"/>
        <v>21</v>
      </c>
      <c r="B28" s="6" t="s">
        <v>20</v>
      </c>
      <c r="C28" s="19">
        <f t="shared" si="22"/>
        <v>81.5</v>
      </c>
      <c r="D28" s="19">
        <f t="shared" si="23"/>
        <v>80.3</v>
      </c>
      <c r="E28" s="19">
        <f t="shared" si="24"/>
        <v>-1.2</v>
      </c>
      <c r="F28" s="19">
        <f t="shared" si="25"/>
        <v>98.5</v>
      </c>
      <c r="G28" s="19">
        <v>81.5</v>
      </c>
      <c r="H28" s="19">
        <v>80.3</v>
      </c>
      <c r="I28" s="19">
        <v>62.3</v>
      </c>
      <c r="J28" s="19">
        <v>61.3</v>
      </c>
      <c r="K28" s="19"/>
      <c r="L28" s="19"/>
    </row>
    <row r="29" spans="1:12" ht="47.25" x14ac:dyDescent="0.25">
      <c r="A29" s="12">
        <f t="shared" si="8"/>
        <v>22</v>
      </c>
      <c r="B29" s="6" t="s">
        <v>113</v>
      </c>
      <c r="C29" s="19">
        <f t="shared" si="22"/>
        <v>21.1</v>
      </c>
      <c r="D29" s="19">
        <f t="shared" si="23"/>
        <v>20.399999999999999</v>
      </c>
      <c r="E29" s="19">
        <f t="shared" si="24"/>
        <v>-0.7</v>
      </c>
      <c r="F29" s="19">
        <f t="shared" si="25"/>
        <v>96.7</v>
      </c>
      <c r="G29" s="19">
        <v>21.1</v>
      </c>
      <c r="H29" s="19">
        <v>20.399999999999999</v>
      </c>
      <c r="I29" s="19">
        <v>16.100000000000001</v>
      </c>
      <c r="J29" s="19">
        <v>15.4</v>
      </c>
      <c r="K29" s="19"/>
      <c r="L29" s="19"/>
    </row>
    <row r="30" spans="1:12" ht="31.5" x14ac:dyDescent="0.25">
      <c r="A30" s="12">
        <f t="shared" si="8"/>
        <v>23</v>
      </c>
      <c r="B30" s="6" t="s">
        <v>22</v>
      </c>
      <c r="C30" s="19">
        <f t="shared" si="22"/>
        <v>2.6</v>
      </c>
      <c r="D30" s="19">
        <f t="shared" si="23"/>
        <v>1.6</v>
      </c>
      <c r="E30" s="19">
        <f t="shared" si="24"/>
        <v>-1</v>
      </c>
      <c r="F30" s="19">
        <f t="shared" si="25"/>
        <v>61.5</v>
      </c>
      <c r="G30" s="19">
        <v>2.6</v>
      </c>
      <c r="H30" s="19">
        <v>1.6</v>
      </c>
      <c r="I30" s="19"/>
      <c r="J30" s="19"/>
      <c r="K30" s="19"/>
      <c r="L30" s="19"/>
    </row>
    <row r="31" spans="1:12" ht="15.75" x14ac:dyDescent="0.25">
      <c r="A31" s="12">
        <f t="shared" si="8"/>
        <v>24</v>
      </c>
      <c r="B31" s="6" t="s">
        <v>21</v>
      </c>
      <c r="C31" s="19">
        <f t="shared" si="22"/>
        <v>61</v>
      </c>
      <c r="D31" s="19">
        <f t="shared" si="23"/>
        <v>60.9</v>
      </c>
      <c r="E31" s="19">
        <f t="shared" si="24"/>
        <v>-0.1</v>
      </c>
      <c r="F31" s="19">
        <f t="shared" si="25"/>
        <v>99.8</v>
      </c>
      <c r="G31" s="19">
        <v>61</v>
      </c>
      <c r="H31" s="19">
        <v>60.9</v>
      </c>
      <c r="I31" s="19">
        <v>34.700000000000003</v>
      </c>
      <c r="J31" s="19">
        <v>34.6</v>
      </c>
      <c r="K31" s="19"/>
      <c r="L31" s="19"/>
    </row>
    <row r="32" spans="1:12" ht="47.25" x14ac:dyDescent="0.25">
      <c r="A32" s="12">
        <f t="shared" si="8"/>
        <v>25</v>
      </c>
      <c r="B32" s="6" t="s">
        <v>164</v>
      </c>
      <c r="C32" s="19">
        <f t="shared" si="22"/>
        <v>0.4</v>
      </c>
      <c r="D32" s="19">
        <f t="shared" si="23"/>
        <v>0</v>
      </c>
      <c r="E32" s="19">
        <f t="shared" si="24"/>
        <v>-0.4</v>
      </c>
      <c r="F32" s="19">
        <f t="shared" si="25"/>
        <v>0</v>
      </c>
      <c r="G32" s="19">
        <v>0.4</v>
      </c>
      <c r="H32" s="19"/>
      <c r="I32" s="19">
        <v>0.3</v>
      </c>
      <c r="J32" s="19"/>
      <c r="K32" s="19"/>
      <c r="L32" s="19"/>
    </row>
    <row r="33" spans="1:12" ht="15.75" x14ac:dyDescent="0.25">
      <c r="A33" s="12">
        <f t="shared" si="8"/>
        <v>26</v>
      </c>
      <c r="B33" s="6" t="s">
        <v>49</v>
      </c>
      <c r="C33" s="19">
        <f t="shared" si="22"/>
        <v>186.8</v>
      </c>
      <c r="D33" s="19">
        <f t="shared" si="23"/>
        <v>185.1</v>
      </c>
      <c r="E33" s="19">
        <f t="shared" si="24"/>
        <v>-1.7</v>
      </c>
      <c r="F33" s="19">
        <f t="shared" si="25"/>
        <v>99.1</v>
      </c>
      <c r="G33" s="19">
        <v>186.8</v>
      </c>
      <c r="H33" s="19">
        <v>185.1</v>
      </c>
      <c r="I33" s="19">
        <v>141.69999999999999</v>
      </c>
      <c r="J33" s="19">
        <v>140.1</v>
      </c>
      <c r="K33" s="19"/>
      <c r="L33" s="19"/>
    </row>
    <row r="34" spans="1:12" ht="15.75" x14ac:dyDescent="0.25">
      <c r="A34" s="12">
        <f t="shared" si="8"/>
        <v>27</v>
      </c>
      <c r="B34" s="11" t="s">
        <v>50</v>
      </c>
      <c r="C34" s="19">
        <f t="shared" si="22"/>
        <v>15.3</v>
      </c>
      <c r="D34" s="19">
        <f t="shared" si="23"/>
        <v>15</v>
      </c>
      <c r="E34" s="19">
        <f t="shared" si="24"/>
        <v>-0.3</v>
      </c>
      <c r="F34" s="19">
        <f t="shared" si="25"/>
        <v>98</v>
      </c>
      <c r="G34" s="19">
        <v>15.3</v>
      </c>
      <c r="H34" s="19">
        <v>15</v>
      </c>
      <c r="I34" s="19">
        <v>11.2</v>
      </c>
      <c r="J34" s="19">
        <v>11</v>
      </c>
      <c r="K34" s="19"/>
      <c r="L34" s="19"/>
    </row>
    <row r="35" spans="1:12" ht="31.5" x14ac:dyDescent="0.25">
      <c r="A35" s="12">
        <f t="shared" si="8"/>
        <v>28</v>
      </c>
      <c r="B35" s="6" t="s">
        <v>174</v>
      </c>
      <c r="C35" s="19">
        <f t="shared" si="22"/>
        <v>9.5</v>
      </c>
      <c r="D35" s="19">
        <f t="shared" si="23"/>
        <v>7.9</v>
      </c>
      <c r="E35" s="19">
        <f t="shared" si="24"/>
        <v>-1.6</v>
      </c>
      <c r="F35" s="19">
        <f t="shared" si="25"/>
        <v>83.2</v>
      </c>
      <c r="G35" s="19">
        <v>9.5</v>
      </c>
      <c r="H35" s="19">
        <v>7.9</v>
      </c>
      <c r="I35" s="19">
        <v>7.2</v>
      </c>
      <c r="J35" s="19">
        <v>6.1</v>
      </c>
      <c r="K35" s="19"/>
      <c r="L35" s="19"/>
    </row>
    <row r="36" spans="1:12" ht="15.75" x14ac:dyDescent="0.25">
      <c r="A36" s="12">
        <f t="shared" si="8"/>
        <v>29</v>
      </c>
      <c r="B36" s="6" t="s">
        <v>51</v>
      </c>
      <c r="C36" s="19">
        <f t="shared" si="22"/>
        <v>100.8</v>
      </c>
      <c r="D36" s="19">
        <f t="shared" si="23"/>
        <v>69.099999999999994</v>
      </c>
      <c r="E36" s="19">
        <f t="shared" si="24"/>
        <v>-31.7</v>
      </c>
      <c r="F36" s="19">
        <f t="shared" si="25"/>
        <v>68.599999999999994</v>
      </c>
      <c r="G36" s="19">
        <v>100.8</v>
      </c>
      <c r="H36" s="19">
        <v>69.099999999999994</v>
      </c>
      <c r="I36" s="19">
        <v>59.6</v>
      </c>
      <c r="J36" s="19">
        <v>49.4</v>
      </c>
      <c r="K36" s="19"/>
      <c r="L36" s="19"/>
    </row>
    <row r="37" spans="1:12" ht="31.5" x14ac:dyDescent="0.25">
      <c r="A37" s="12">
        <f t="shared" si="8"/>
        <v>30</v>
      </c>
      <c r="B37" s="6" t="s">
        <v>52</v>
      </c>
      <c r="C37" s="19">
        <f t="shared" si="22"/>
        <v>21.1</v>
      </c>
      <c r="D37" s="19">
        <f t="shared" si="23"/>
        <v>11.7</v>
      </c>
      <c r="E37" s="19">
        <f t="shared" si="24"/>
        <v>-9.4</v>
      </c>
      <c r="F37" s="19">
        <f t="shared" si="25"/>
        <v>55.5</v>
      </c>
      <c r="G37" s="19">
        <v>21.1</v>
      </c>
      <c r="H37" s="19">
        <v>11.7</v>
      </c>
      <c r="I37" s="19">
        <v>12</v>
      </c>
      <c r="J37" s="19">
        <v>8.6</v>
      </c>
      <c r="K37" s="19"/>
      <c r="L37" s="19"/>
    </row>
    <row r="38" spans="1:12" ht="15.75" x14ac:dyDescent="0.25">
      <c r="A38" s="12">
        <f t="shared" si="8"/>
        <v>31</v>
      </c>
      <c r="B38" s="6" t="s">
        <v>53</v>
      </c>
      <c r="C38" s="19">
        <f t="shared" si="22"/>
        <v>15.5</v>
      </c>
      <c r="D38" s="19">
        <f t="shared" si="23"/>
        <v>10.6</v>
      </c>
      <c r="E38" s="19">
        <f t="shared" si="24"/>
        <v>-4.9000000000000004</v>
      </c>
      <c r="F38" s="19">
        <f t="shared" si="25"/>
        <v>68.400000000000006</v>
      </c>
      <c r="G38" s="19">
        <v>15.5</v>
      </c>
      <c r="H38" s="19">
        <v>10.6</v>
      </c>
      <c r="I38" s="19">
        <v>11.6</v>
      </c>
      <c r="J38" s="19">
        <v>8</v>
      </c>
      <c r="K38" s="19"/>
      <c r="L38" s="19"/>
    </row>
    <row r="39" spans="1:12" ht="31.5" x14ac:dyDescent="0.25">
      <c r="A39" s="12">
        <f t="shared" si="8"/>
        <v>32</v>
      </c>
      <c r="B39" s="6" t="s">
        <v>175</v>
      </c>
      <c r="C39" s="19">
        <f t="shared" si="22"/>
        <v>2.1</v>
      </c>
      <c r="D39" s="19">
        <f t="shared" si="23"/>
        <v>0.6</v>
      </c>
      <c r="E39" s="19">
        <f t="shared" si="24"/>
        <v>-1.5</v>
      </c>
      <c r="F39" s="19">
        <f t="shared" si="25"/>
        <v>28.6</v>
      </c>
      <c r="G39" s="19">
        <v>2.1</v>
      </c>
      <c r="H39" s="19">
        <v>0.6</v>
      </c>
      <c r="I39" s="19">
        <v>1.6</v>
      </c>
      <c r="J39" s="19">
        <v>0.5</v>
      </c>
      <c r="K39" s="19"/>
      <c r="L39" s="19"/>
    </row>
    <row r="40" spans="1:12" ht="47.25" x14ac:dyDescent="0.25">
      <c r="A40" s="12">
        <f t="shared" si="8"/>
        <v>33</v>
      </c>
      <c r="B40" s="6" t="s">
        <v>176</v>
      </c>
      <c r="C40" s="19">
        <f t="shared" si="22"/>
        <v>1.2</v>
      </c>
      <c r="D40" s="19">
        <f t="shared" si="23"/>
        <v>0.5</v>
      </c>
      <c r="E40" s="19">
        <f t="shared" si="24"/>
        <v>-0.7</v>
      </c>
      <c r="F40" s="19">
        <f t="shared" si="25"/>
        <v>41.7</v>
      </c>
      <c r="G40" s="19">
        <v>1.2</v>
      </c>
      <c r="H40" s="19">
        <v>0.5</v>
      </c>
      <c r="I40" s="19">
        <v>0.9</v>
      </c>
      <c r="J40" s="19">
        <v>0.4</v>
      </c>
      <c r="K40" s="19"/>
      <c r="L40" s="19"/>
    </row>
    <row r="41" spans="1:12" ht="15.75" x14ac:dyDescent="0.25">
      <c r="A41" s="12">
        <f t="shared" si="8"/>
        <v>34</v>
      </c>
      <c r="B41" s="6" t="s">
        <v>185</v>
      </c>
      <c r="C41" s="19">
        <f t="shared" si="22"/>
        <v>23.5</v>
      </c>
      <c r="D41" s="19">
        <f t="shared" si="23"/>
        <v>21.3</v>
      </c>
      <c r="E41" s="19">
        <f t="shared" si="24"/>
        <v>-2.2000000000000002</v>
      </c>
      <c r="F41" s="19">
        <f t="shared" si="25"/>
        <v>90.6</v>
      </c>
      <c r="G41" s="19">
        <v>23.5</v>
      </c>
      <c r="H41" s="19">
        <v>21.3</v>
      </c>
      <c r="I41" s="19">
        <v>14.1</v>
      </c>
      <c r="J41" s="19">
        <v>12.6</v>
      </c>
      <c r="K41" s="19"/>
      <c r="L41" s="19"/>
    </row>
    <row r="42" spans="1:12" ht="47.25" x14ac:dyDescent="0.25">
      <c r="A42" s="12">
        <f t="shared" si="8"/>
        <v>35</v>
      </c>
      <c r="B42" s="13" t="s">
        <v>178</v>
      </c>
      <c r="C42" s="19">
        <f t="shared" si="22"/>
        <v>3</v>
      </c>
      <c r="D42" s="19">
        <f t="shared" si="23"/>
        <v>3</v>
      </c>
      <c r="E42" s="19">
        <f t="shared" si="24"/>
        <v>0</v>
      </c>
      <c r="F42" s="19">
        <f t="shared" si="25"/>
        <v>100</v>
      </c>
      <c r="G42" s="19">
        <v>3</v>
      </c>
      <c r="H42" s="19">
        <v>3</v>
      </c>
      <c r="I42" s="19">
        <v>2.2999999999999998</v>
      </c>
      <c r="J42" s="19">
        <v>2.2999999999999998</v>
      </c>
      <c r="K42" s="19"/>
      <c r="L42" s="19"/>
    </row>
    <row r="43" spans="1:12" ht="31.5" x14ac:dyDescent="0.25">
      <c r="A43" s="12">
        <f t="shared" si="8"/>
        <v>36</v>
      </c>
      <c r="B43" s="11" t="s">
        <v>157</v>
      </c>
      <c r="C43" s="18">
        <f t="shared" si="22"/>
        <v>916.5</v>
      </c>
      <c r="D43" s="18">
        <f t="shared" si="23"/>
        <v>916.5</v>
      </c>
      <c r="E43" s="18">
        <f t="shared" si="24"/>
        <v>0</v>
      </c>
      <c r="F43" s="18">
        <f t="shared" si="25"/>
        <v>100</v>
      </c>
      <c r="G43" s="18"/>
      <c r="H43" s="18"/>
      <c r="I43" s="18"/>
      <c r="J43" s="18"/>
      <c r="K43" s="18">
        <v>916.5</v>
      </c>
      <c r="L43" s="18">
        <v>916.5</v>
      </c>
    </row>
    <row r="44" spans="1:12" ht="31.5" x14ac:dyDescent="0.25">
      <c r="A44" s="12">
        <f t="shared" si="8"/>
        <v>37</v>
      </c>
      <c r="B44" s="6" t="s">
        <v>54</v>
      </c>
      <c r="C44" s="18">
        <f t="shared" si="22"/>
        <v>112.6</v>
      </c>
      <c r="D44" s="18">
        <f t="shared" si="23"/>
        <v>103.8</v>
      </c>
      <c r="E44" s="18">
        <f t="shared" si="24"/>
        <v>-8.8000000000000007</v>
      </c>
      <c r="F44" s="18">
        <f t="shared" si="25"/>
        <v>92.2</v>
      </c>
      <c r="G44" s="18">
        <v>112.6</v>
      </c>
      <c r="H44" s="18">
        <v>103.8</v>
      </c>
      <c r="I44" s="18"/>
      <c r="J44" s="18"/>
      <c r="K44" s="18"/>
      <c r="L44" s="18"/>
    </row>
    <row r="45" spans="1:12" ht="47.25" x14ac:dyDescent="0.25">
      <c r="A45" s="12">
        <f t="shared" si="8"/>
        <v>38</v>
      </c>
      <c r="B45" s="11" t="s">
        <v>55</v>
      </c>
      <c r="C45" s="18">
        <f t="shared" si="22"/>
        <v>308.60000000000002</v>
      </c>
      <c r="D45" s="18">
        <f t="shared" si="23"/>
        <v>148.9</v>
      </c>
      <c r="E45" s="18">
        <f t="shared" si="24"/>
        <v>-159.69999999999999</v>
      </c>
      <c r="F45" s="18">
        <f t="shared" si="25"/>
        <v>48.3</v>
      </c>
      <c r="G45" s="18">
        <f>308.6-K45</f>
        <v>202.6</v>
      </c>
      <c r="H45" s="18">
        <v>148.9</v>
      </c>
      <c r="I45" s="18"/>
      <c r="J45" s="18"/>
      <c r="K45" s="18">
        <v>106</v>
      </c>
      <c r="L45" s="18"/>
    </row>
    <row r="46" spans="1:12" ht="31.5" x14ac:dyDescent="0.25">
      <c r="A46" s="12">
        <f t="shared" si="8"/>
        <v>39</v>
      </c>
      <c r="B46" s="20" t="s">
        <v>172</v>
      </c>
      <c r="C46" s="18">
        <f t="shared" si="22"/>
        <v>190.6</v>
      </c>
      <c r="D46" s="18">
        <f t="shared" si="23"/>
        <v>175.1</v>
      </c>
      <c r="E46" s="18">
        <f t="shared" si="24"/>
        <v>-15.5</v>
      </c>
      <c r="F46" s="18">
        <f t="shared" si="25"/>
        <v>91.9</v>
      </c>
      <c r="G46" s="18">
        <v>190.6</v>
      </c>
      <c r="H46" s="18">
        <v>175.1</v>
      </c>
      <c r="I46" s="18">
        <v>2.5</v>
      </c>
      <c r="J46" s="18">
        <v>2.4</v>
      </c>
      <c r="K46" s="18"/>
      <c r="L46" s="18"/>
    </row>
    <row r="47" spans="1:12" ht="31.5" x14ac:dyDescent="0.25">
      <c r="A47" s="12">
        <f t="shared" si="8"/>
        <v>40</v>
      </c>
      <c r="B47" s="7" t="s">
        <v>152</v>
      </c>
      <c r="C47" s="18">
        <f t="shared" si="22"/>
        <v>39.6</v>
      </c>
      <c r="D47" s="18">
        <f t="shared" si="23"/>
        <v>38.200000000000003</v>
      </c>
      <c r="E47" s="18">
        <f t="shared" si="24"/>
        <v>-1.4</v>
      </c>
      <c r="F47" s="18">
        <f t="shared" si="25"/>
        <v>96.5</v>
      </c>
      <c r="G47" s="18">
        <v>5</v>
      </c>
      <c r="H47" s="18">
        <v>3.9</v>
      </c>
      <c r="I47" s="18"/>
      <c r="J47" s="18"/>
      <c r="K47" s="18">
        <v>34.6</v>
      </c>
      <c r="L47" s="18">
        <v>34.299999999999997</v>
      </c>
    </row>
    <row r="48" spans="1:12" ht="31.5" x14ac:dyDescent="0.25">
      <c r="A48" s="12">
        <f t="shared" si="8"/>
        <v>41</v>
      </c>
      <c r="B48" s="11" t="s">
        <v>158</v>
      </c>
      <c r="C48" s="18">
        <f t="shared" si="22"/>
        <v>237</v>
      </c>
      <c r="D48" s="18">
        <f t="shared" si="23"/>
        <v>30</v>
      </c>
      <c r="E48" s="18">
        <f t="shared" si="24"/>
        <v>-207</v>
      </c>
      <c r="F48" s="18">
        <f t="shared" si="25"/>
        <v>12.7</v>
      </c>
      <c r="G48" s="18"/>
      <c r="H48" s="18"/>
      <c r="I48" s="18"/>
      <c r="J48" s="18"/>
      <c r="K48" s="18">
        <v>237</v>
      </c>
      <c r="L48" s="18">
        <v>30</v>
      </c>
    </row>
    <row r="49" spans="1:12" ht="15.75" x14ac:dyDescent="0.25">
      <c r="A49" s="12">
        <f t="shared" si="8"/>
        <v>42</v>
      </c>
      <c r="B49" s="10" t="s">
        <v>236</v>
      </c>
      <c r="C49" s="18">
        <f>+C51+C52</f>
        <v>748</v>
      </c>
      <c r="D49" s="18">
        <f t="shared" ref="D49:L49" si="26">+D51+D52</f>
        <v>541.6</v>
      </c>
      <c r="E49" s="18">
        <f t="shared" si="26"/>
        <v>-206.4</v>
      </c>
      <c r="F49" s="18">
        <f t="shared" si="25"/>
        <v>72.400000000000006</v>
      </c>
      <c r="G49" s="18">
        <f t="shared" si="26"/>
        <v>0</v>
      </c>
      <c r="H49" s="18">
        <f t="shared" si="26"/>
        <v>0</v>
      </c>
      <c r="I49" s="18">
        <f t="shared" si="26"/>
        <v>0</v>
      </c>
      <c r="J49" s="18">
        <f t="shared" si="26"/>
        <v>0</v>
      </c>
      <c r="K49" s="18">
        <f t="shared" si="26"/>
        <v>748</v>
      </c>
      <c r="L49" s="18">
        <f t="shared" si="26"/>
        <v>541.6</v>
      </c>
    </row>
    <row r="50" spans="1:12" ht="15.75" x14ac:dyDescent="0.25">
      <c r="A50" s="12">
        <f t="shared" si="8"/>
        <v>43</v>
      </c>
      <c r="B50" s="15" t="s">
        <v>2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12" ht="31.5" x14ac:dyDescent="0.25">
      <c r="A51" s="12">
        <f t="shared" si="8"/>
        <v>44</v>
      </c>
      <c r="B51" s="11" t="s">
        <v>68</v>
      </c>
      <c r="C51" s="19">
        <f t="shared" ref="C51:C53" si="27">+G51+K51</f>
        <v>700</v>
      </c>
      <c r="D51" s="19">
        <f t="shared" ref="D51:D53" si="28">+H51+L51</f>
        <v>493.6</v>
      </c>
      <c r="E51" s="19">
        <f t="shared" ref="E51:E53" si="29">+D51-C51</f>
        <v>-206.4</v>
      </c>
      <c r="F51" s="19">
        <f t="shared" ref="F51:F54" si="30">+D51/C51*100</f>
        <v>70.5</v>
      </c>
      <c r="G51" s="19"/>
      <c r="H51" s="19"/>
      <c r="I51" s="19"/>
      <c r="J51" s="19"/>
      <c r="K51" s="19">
        <f>350+350</f>
        <v>700</v>
      </c>
      <c r="L51" s="19">
        <f>160+333.6</f>
        <v>493.6</v>
      </c>
    </row>
    <row r="52" spans="1:12" ht="63" x14ac:dyDescent="0.25">
      <c r="A52" s="12">
        <f t="shared" si="8"/>
        <v>45</v>
      </c>
      <c r="B52" s="6" t="s">
        <v>237</v>
      </c>
      <c r="C52" s="19">
        <f t="shared" si="27"/>
        <v>48</v>
      </c>
      <c r="D52" s="19">
        <f t="shared" si="28"/>
        <v>48</v>
      </c>
      <c r="E52" s="19">
        <f t="shared" si="29"/>
        <v>0</v>
      </c>
      <c r="F52" s="19">
        <f t="shared" si="30"/>
        <v>100</v>
      </c>
      <c r="G52" s="19"/>
      <c r="H52" s="19"/>
      <c r="I52" s="19"/>
      <c r="J52" s="19"/>
      <c r="K52" s="19">
        <v>48</v>
      </c>
      <c r="L52" s="19">
        <v>48</v>
      </c>
    </row>
    <row r="53" spans="1:12" ht="31.5" x14ac:dyDescent="0.25">
      <c r="A53" s="12">
        <f t="shared" si="8"/>
        <v>46</v>
      </c>
      <c r="B53" s="10" t="s">
        <v>159</v>
      </c>
      <c r="C53" s="18">
        <f t="shared" si="27"/>
        <v>50</v>
      </c>
      <c r="D53" s="18">
        <f t="shared" si="28"/>
        <v>50</v>
      </c>
      <c r="E53" s="18">
        <f t="shared" si="29"/>
        <v>0</v>
      </c>
      <c r="F53" s="18">
        <f t="shared" si="30"/>
        <v>100</v>
      </c>
      <c r="G53" s="18"/>
      <c r="H53" s="18"/>
      <c r="I53" s="18"/>
      <c r="J53" s="18"/>
      <c r="K53" s="18">
        <v>50</v>
      </c>
      <c r="L53" s="18">
        <v>50</v>
      </c>
    </row>
    <row r="54" spans="1:12" ht="15.75" x14ac:dyDescent="0.25">
      <c r="A54" s="12">
        <f t="shared" si="8"/>
        <v>47</v>
      </c>
      <c r="B54" s="14" t="s">
        <v>57</v>
      </c>
      <c r="C54" s="18">
        <f>+C55+C56+C60+C66+C72+C67+C77+C81+C85+C90+C94+C98</f>
        <v>17593.900000000001</v>
      </c>
      <c r="D54" s="18">
        <f t="shared" ref="D54:E54" si="31">+D55+D56+D60+D66+D72+D67+D77+D81+D85+D90+D94+D98</f>
        <v>13301.7</v>
      </c>
      <c r="E54" s="18">
        <f t="shared" si="31"/>
        <v>-4292.2</v>
      </c>
      <c r="F54" s="19">
        <f t="shared" si="30"/>
        <v>75.599999999999994</v>
      </c>
      <c r="G54" s="18">
        <f t="shared" ref="G54" si="32">+G55+G56+G60+G66+G72+G67+G77+G81+G85+G90+G94+G98</f>
        <v>1908.5</v>
      </c>
      <c r="H54" s="18">
        <f t="shared" ref="H54" si="33">+H55+H56+H60+H66+H72+H67+H77+H81+H85+H90+H94+H98</f>
        <v>1198.5</v>
      </c>
      <c r="I54" s="18">
        <f t="shared" ref="I54" si="34">+I55+I56+I60+I66+I72+I67+I77+I81+I85+I90+I94+I98</f>
        <v>30.9</v>
      </c>
      <c r="J54" s="18">
        <f t="shared" ref="J54" si="35">+J55+J56+J60+J66+J72+J67+J77+J81+J85+J90+J94+J98</f>
        <v>18.2</v>
      </c>
      <c r="K54" s="18">
        <f t="shared" ref="K54" si="36">+K55+K56+K60+K66+K72+K67+K77+K81+K85+K90+K94+K98</f>
        <v>15685.4</v>
      </c>
      <c r="L54" s="18">
        <f t="shared" ref="L54" si="37">+L55+L56+L60+L66+L72+L67+L77+L81+L85+L90+L94+L98</f>
        <v>12103.2</v>
      </c>
    </row>
    <row r="55" spans="1:12" ht="31.5" x14ac:dyDescent="0.25">
      <c r="A55" s="12">
        <f t="shared" si="8"/>
        <v>48</v>
      </c>
      <c r="B55" s="7" t="s">
        <v>41</v>
      </c>
      <c r="C55" s="18">
        <f>+G55+K55</f>
        <v>30</v>
      </c>
      <c r="D55" s="18">
        <f>+H55+L55</f>
        <v>20.7</v>
      </c>
      <c r="E55" s="18">
        <f>+D55-C55</f>
        <v>-9.3000000000000007</v>
      </c>
      <c r="F55" s="18">
        <f>+D55/C55*100</f>
        <v>69</v>
      </c>
      <c r="G55" s="18">
        <v>30</v>
      </c>
      <c r="H55" s="18">
        <v>20.7</v>
      </c>
      <c r="I55" s="18"/>
      <c r="J55" s="18"/>
      <c r="K55" s="18"/>
      <c r="L55" s="18"/>
    </row>
    <row r="56" spans="1:12" ht="31.5" x14ac:dyDescent="0.25">
      <c r="A56" s="12">
        <f t="shared" si="8"/>
        <v>49</v>
      </c>
      <c r="B56" s="14" t="s">
        <v>143</v>
      </c>
      <c r="C56" s="18">
        <f>+C58+C59</f>
        <v>2241.1</v>
      </c>
      <c r="D56" s="18">
        <f t="shared" ref="D56:E56" si="38">+D58+D59</f>
        <v>1871.3</v>
      </c>
      <c r="E56" s="18">
        <f t="shared" si="38"/>
        <v>-369.8</v>
      </c>
      <c r="F56" s="18">
        <f t="shared" ref="F56:F60" si="39">+D56/C56*100</f>
        <v>83.5</v>
      </c>
      <c r="G56" s="18">
        <f t="shared" ref="G56:L56" si="40">+G58+G59</f>
        <v>424.9</v>
      </c>
      <c r="H56" s="18">
        <f t="shared" si="40"/>
        <v>311.3</v>
      </c>
      <c r="I56" s="18">
        <f t="shared" si="40"/>
        <v>1.5</v>
      </c>
      <c r="J56" s="18">
        <f t="shared" si="40"/>
        <v>1.1000000000000001</v>
      </c>
      <c r="K56" s="18">
        <f t="shared" si="40"/>
        <v>1816.2</v>
      </c>
      <c r="L56" s="18">
        <f t="shared" si="40"/>
        <v>1560</v>
      </c>
    </row>
    <row r="57" spans="1:12" ht="15.75" x14ac:dyDescent="0.25">
      <c r="A57" s="12">
        <f t="shared" si="8"/>
        <v>50</v>
      </c>
      <c r="B57" s="15" t="s">
        <v>2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</row>
    <row r="58" spans="1:12" ht="31.5" x14ac:dyDescent="0.25">
      <c r="A58" s="12">
        <f t="shared" si="8"/>
        <v>51</v>
      </c>
      <c r="B58" s="20" t="s">
        <v>142</v>
      </c>
      <c r="C58" s="19">
        <f t="shared" ref="C58:C59" si="41">+G58+K58</f>
        <v>1554.9</v>
      </c>
      <c r="D58" s="19">
        <f t="shared" ref="D58:D59" si="42">+H58+L58</f>
        <v>1466.2</v>
      </c>
      <c r="E58" s="19">
        <f t="shared" ref="E58:E59" si="43">+D58-C58</f>
        <v>-88.7</v>
      </c>
      <c r="F58" s="19">
        <f t="shared" si="39"/>
        <v>94.3</v>
      </c>
      <c r="G58" s="19">
        <f>0.3+0.1+10.6+291.1+30.7</f>
        <v>332.8</v>
      </c>
      <c r="H58" s="19">
        <f>0.2+0.1+10.4+198.6+10.8</f>
        <v>220.1</v>
      </c>
      <c r="I58" s="19">
        <v>0.3</v>
      </c>
      <c r="J58" s="19">
        <v>0.2</v>
      </c>
      <c r="K58" s="19">
        <v>1222.0999999999999</v>
      </c>
      <c r="L58" s="19">
        <v>1246.0999999999999</v>
      </c>
    </row>
    <row r="59" spans="1:12" ht="47.25" x14ac:dyDescent="0.25">
      <c r="A59" s="12">
        <f t="shared" si="8"/>
        <v>52</v>
      </c>
      <c r="B59" s="20" t="s">
        <v>205</v>
      </c>
      <c r="C59" s="19">
        <f t="shared" si="41"/>
        <v>686.2</v>
      </c>
      <c r="D59" s="19">
        <f t="shared" si="42"/>
        <v>405.1</v>
      </c>
      <c r="E59" s="19">
        <f t="shared" si="43"/>
        <v>-281.10000000000002</v>
      </c>
      <c r="F59" s="19">
        <f t="shared" si="39"/>
        <v>59</v>
      </c>
      <c r="G59" s="19">
        <f>1.2+0.4+83.1+7.4</f>
        <v>92.1</v>
      </c>
      <c r="H59" s="19">
        <f>0.9+0.3+82.7+7.3</f>
        <v>91.2</v>
      </c>
      <c r="I59" s="19">
        <v>1.2</v>
      </c>
      <c r="J59" s="19">
        <v>0.9</v>
      </c>
      <c r="K59" s="19">
        <f>546+48.1</f>
        <v>594.1</v>
      </c>
      <c r="L59" s="19">
        <f>288.5+25.4</f>
        <v>313.89999999999998</v>
      </c>
    </row>
    <row r="60" spans="1:12" ht="15.75" x14ac:dyDescent="0.25">
      <c r="A60" s="12">
        <f t="shared" si="8"/>
        <v>53</v>
      </c>
      <c r="B60" s="7" t="s">
        <v>137</v>
      </c>
      <c r="C60" s="18">
        <f>SUM(C61:C63)</f>
        <v>194</v>
      </c>
      <c r="D60" s="18">
        <f t="shared" ref="D60:E60" si="44">SUM(D61:D63)</f>
        <v>135.5</v>
      </c>
      <c r="E60" s="18">
        <f t="shared" si="44"/>
        <v>-58.5</v>
      </c>
      <c r="F60" s="18">
        <f t="shared" si="39"/>
        <v>69.8</v>
      </c>
      <c r="G60" s="18">
        <f t="shared" ref="G60" si="45">SUM(G61:G63)</f>
        <v>194</v>
      </c>
      <c r="H60" s="18">
        <f t="shared" ref="H60" si="46">SUM(H61:H63)</f>
        <v>135.5</v>
      </c>
      <c r="I60" s="18">
        <f t="shared" ref="I60" si="47">SUM(I61:I63)</f>
        <v>0</v>
      </c>
      <c r="J60" s="18">
        <f t="shared" ref="J60" si="48">SUM(J61:J63)</f>
        <v>0</v>
      </c>
      <c r="K60" s="18">
        <f t="shared" ref="K60" si="49">SUM(K61:K63)</f>
        <v>0</v>
      </c>
      <c r="L60" s="18">
        <f t="shared" ref="L60" si="50">SUM(L61:L63)</f>
        <v>0</v>
      </c>
    </row>
    <row r="61" spans="1:12" ht="15.75" x14ac:dyDescent="0.25">
      <c r="A61" s="12">
        <f t="shared" si="8"/>
        <v>54</v>
      </c>
      <c r="B61" s="15" t="s">
        <v>2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</row>
    <row r="62" spans="1:12" ht="31.5" x14ac:dyDescent="0.25">
      <c r="A62" s="12">
        <f t="shared" si="8"/>
        <v>55</v>
      </c>
      <c r="B62" s="6" t="s">
        <v>58</v>
      </c>
      <c r="C62" s="19">
        <f>+G62+K62</f>
        <v>188.8</v>
      </c>
      <c r="D62" s="19">
        <f>+H62+L62</f>
        <v>130.30000000000001</v>
      </c>
      <c r="E62" s="19">
        <f>+D62-C62</f>
        <v>-58.5</v>
      </c>
      <c r="F62" s="19">
        <f>+D62/C62*100</f>
        <v>69</v>
      </c>
      <c r="G62" s="19">
        <v>188.8</v>
      </c>
      <c r="H62" s="19">
        <v>130.30000000000001</v>
      </c>
      <c r="I62" s="19"/>
      <c r="J62" s="19"/>
      <c r="K62" s="19"/>
      <c r="L62" s="19"/>
    </row>
    <row r="63" spans="1:12" ht="63" x14ac:dyDescent="0.25">
      <c r="A63" s="12">
        <f t="shared" si="8"/>
        <v>56</v>
      </c>
      <c r="B63" s="7" t="s">
        <v>59</v>
      </c>
      <c r="C63" s="19">
        <f>+C65</f>
        <v>5.2</v>
      </c>
      <c r="D63" s="19">
        <f t="shared" ref="D63:L63" si="51">+D65</f>
        <v>5.2</v>
      </c>
      <c r="E63" s="19">
        <f t="shared" si="51"/>
        <v>0</v>
      </c>
      <c r="F63" s="19">
        <f>+D63/C63*100</f>
        <v>100</v>
      </c>
      <c r="G63" s="19">
        <f t="shared" si="51"/>
        <v>5.2</v>
      </c>
      <c r="H63" s="19">
        <f t="shared" si="51"/>
        <v>5.2</v>
      </c>
      <c r="I63" s="19">
        <f t="shared" si="51"/>
        <v>0</v>
      </c>
      <c r="J63" s="19">
        <f t="shared" si="51"/>
        <v>0</v>
      </c>
      <c r="K63" s="19">
        <f t="shared" si="51"/>
        <v>0</v>
      </c>
      <c r="L63" s="19">
        <f t="shared" si="51"/>
        <v>0</v>
      </c>
    </row>
    <row r="64" spans="1:12" ht="15.75" x14ac:dyDescent="0.25">
      <c r="A64" s="12">
        <f t="shared" si="8"/>
        <v>57</v>
      </c>
      <c r="B64" s="15" t="s">
        <v>2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</row>
    <row r="65" spans="1:12" ht="15.75" x14ac:dyDescent="0.25">
      <c r="A65" s="12">
        <f t="shared" si="8"/>
        <v>58</v>
      </c>
      <c r="B65" s="6" t="s">
        <v>120</v>
      </c>
      <c r="C65" s="19">
        <f>+G65+K65</f>
        <v>5.2</v>
      </c>
      <c r="D65" s="19">
        <f>+H65+L65</f>
        <v>5.2</v>
      </c>
      <c r="E65" s="19">
        <f>+D65-C65</f>
        <v>0</v>
      </c>
      <c r="F65" s="19">
        <f>+D65/C65*100</f>
        <v>100</v>
      </c>
      <c r="G65" s="19">
        <v>5.2</v>
      </c>
      <c r="H65" s="19">
        <v>5.2</v>
      </c>
      <c r="I65" s="19"/>
      <c r="J65" s="19"/>
      <c r="K65" s="19"/>
      <c r="L65" s="19"/>
    </row>
    <row r="66" spans="1:12" ht="31.5" x14ac:dyDescent="0.25">
      <c r="A66" s="12">
        <f t="shared" si="8"/>
        <v>59</v>
      </c>
      <c r="B66" s="7" t="s">
        <v>114</v>
      </c>
      <c r="C66" s="18">
        <f>+G66+K66</f>
        <v>454.5</v>
      </c>
      <c r="D66" s="18">
        <f>+H66+L66</f>
        <v>363.8</v>
      </c>
      <c r="E66" s="18">
        <f>+D66-C66</f>
        <v>-90.7</v>
      </c>
      <c r="F66" s="18">
        <f>+D66/C66*100</f>
        <v>80</v>
      </c>
      <c r="G66" s="18">
        <v>454.5</v>
      </c>
      <c r="H66" s="18">
        <v>363.8</v>
      </c>
      <c r="I66" s="18"/>
      <c r="J66" s="18"/>
      <c r="K66" s="18"/>
      <c r="L66" s="18"/>
    </row>
    <row r="67" spans="1:12" ht="15.75" x14ac:dyDescent="0.25">
      <c r="A67" s="12">
        <f t="shared" si="8"/>
        <v>60</v>
      </c>
      <c r="B67" s="10" t="s">
        <v>60</v>
      </c>
      <c r="C67" s="18">
        <f>+C69+C70+C71</f>
        <v>1257.5</v>
      </c>
      <c r="D67" s="18">
        <f t="shared" ref="D67:L67" si="52">+D69+D70+D71</f>
        <v>678.2</v>
      </c>
      <c r="E67" s="18">
        <f t="shared" si="52"/>
        <v>-579.29999999999995</v>
      </c>
      <c r="F67" s="18">
        <f>+D67/C67*100</f>
        <v>53.9</v>
      </c>
      <c r="G67" s="18">
        <f t="shared" si="52"/>
        <v>49.5</v>
      </c>
      <c r="H67" s="18">
        <f t="shared" si="52"/>
        <v>35.9</v>
      </c>
      <c r="I67" s="18">
        <f t="shared" si="52"/>
        <v>10.7</v>
      </c>
      <c r="J67" s="18">
        <f t="shared" si="52"/>
        <v>4.3</v>
      </c>
      <c r="K67" s="18">
        <f t="shared" si="52"/>
        <v>1208</v>
      </c>
      <c r="L67" s="18">
        <f t="shared" si="52"/>
        <v>642.29999999999995</v>
      </c>
    </row>
    <row r="68" spans="1:12" ht="15.75" x14ac:dyDescent="0.25">
      <c r="A68" s="12">
        <f t="shared" si="8"/>
        <v>61</v>
      </c>
      <c r="B68" s="60" t="s">
        <v>2</v>
      </c>
      <c r="C68" s="19"/>
      <c r="D68" s="19"/>
      <c r="E68" s="19"/>
      <c r="F68" s="19"/>
      <c r="G68" s="19"/>
      <c r="H68" s="19"/>
      <c r="I68" s="19"/>
      <c r="J68" s="19"/>
      <c r="K68" s="19"/>
      <c r="L68" s="19"/>
    </row>
    <row r="69" spans="1:12" ht="31.5" x14ac:dyDescent="0.25">
      <c r="A69" s="12">
        <f t="shared" si="8"/>
        <v>62</v>
      </c>
      <c r="B69" s="11" t="s">
        <v>115</v>
      </c>
      <c r="C69" s="19">
        <f t="shared" ref="C69:C71" si="53">+G69+K69</f>
        <v>893.7</v>
      </c>
      <c r="D69" s="19">
        <f t="shared" ref="D69:D71" si="54">+H69+L69</f>
        <v>539.4</v>
      </c>
      <c r="E69" s="19">
        <f t="shared" ref="E69:E71" si="55">+D69-C69</f>
        <v>-354.3</v>
      </c>
      <c r="F69" s="19">
        <f t="shared" ref="F69:F72" si="56">+D69/C69*100</f>
        <v>60.4</v>
      </c>
      <c r="G69" s="19">
        <f>1.6+0.5+5.9</f>
        <v>8</v>
      </c>
      <c r="H69" s="19">
        <f>0.7+0.2+5.1</f>
        <v>6</v>
      </c>
      <c r="I69" s="19">
        <v>1.6</v>
      </c>
      <c r="J69" s="19">
        <v>0.7</v>
      </c>
      <c r="K69" s="19">
        <f>657+228.7</f>
        <v>885.7</v>
      </c>
      <c r="L69" s="19">
        <v>533.4</v>
      </c>
    </row>
    <row r="70" spans="1:12" ht="47.25" x14ac:dyDescent="0.25">
      <c r="A70" s="12">
        <f t="shared" si="8"/>
        <v>63</v>
      </c>
      <c r="B70" s="11" t="s">
        <v>204</v>
      </c>
      <c r="C70" s="19">
        <f t="shared" si="53"/>
        <v>329.6</v>
      </c>
      <c r="D70" s="19">
        <f t="shared" si="54"/>
        <v>138.80000000000001</v>
      </c>
      <c r="E70" s="19">
        <f t="shared" si="55"/>
        <v>-190.8</v>
      </c>
      <c r="F70" s="19">
        <f t="shared" si="56"/>
        <v>42.1</v>
      </c>
      <c r="G70" s="19">
        <f>9.1+2.8+29.6</f>
        <v>41.5</v>
      </c>
      <c r="H70" s="19">
        <f>3.6+1.1+25.2</f>
        <v>29.9</v>
      </c>
      <c r="I70" s="19">
        <v>9.1</v>
      </c>
      <c r="J70" s="19">
        <v>3.6</v>
      </c>
      <c r="K70" s="19">
        <f>152.2+135+0.9</f>
        <v>288.10000000000002</v>
      </c>
      <c r="L70" s="19">
        <v>108.9</v>
      </c>
    </row>
    <row r="71" spans="1:12" ht="15.75" x14ac:dyDescent="0.25">
      <c r="A71" s="12">
        <f t="shared" si="8"/>
        <v>64</v>
      </c>
      <c r="B71" s="6" t="s">
        <v>62</v>
      </c>
      <c r="C71" s="19">
        <f t="shared" si="53"/>
        <v>34.200000000000003</v>
      </c>
      <c r="D71" s="19">
        <f t="shared" si="54"/>
        <v>0</v>
      </c>
      <c r="E71" s="19">
        <f t="shared" si="55"/>
        <v>-34.200000000000003</v>
      </c>
      <c r="F71" s="19">
        <f t="shared" si="56"/>
        <v>0</v>
      </c>
      <c r="G71" s="19"/>
      <c r="H71" s="19"/>
      <c r="I71" s="19"/>
      <c r="J71" s="19"/>
      <c r="K71" s="19">
        <v>34.200000000000003</v>
      </c>
      <c r="L71" s="19"/>
    </row>
    <row r="72" spans="1:12" ht="31.5" x14ac:dyDescent="0.25">
      <c r="A72" s="12">
        <f t="shared" si="8"/>
        <v>65</v>
      </c>
      <c r="B72" s="6" t="s">
        <v>192</v>
      </c>
      <c r="C72" s="18">
        <f>+C74+C75+C76</f>
        <v>6937.6</v>
      </c>
      <c r="D72" s="18">
        <f t="shared" ref="D72:E72" si="57">+D74+D75+D76</f>
        <v>6299.9</v>
      </c>
      <c r="E72" s="18">
        <f t="shared" si="57"/>
        <v>-637.70000000000005</v>
      </c>
      <c r="F72" s="18">
        <f t="shared" si="56"/>
        <v>90.8</v>
      </c>
      <c r="G72" s="18">
        <f t="shared" ref="G72:L72" si="58">+G74+G75+G76</f>
        <v>138</v>
      </c>
      <c r="H72" s="18">
        <f t="shared" si="58"/>
        <v>12.6</v>
      </c>
      <c r="I72" s="18">
        <f t="shared" si="58"/>
        <v>3.8</v>
      </c>
      <c r="J72" s="18">
        <f t="shared" si="58"/>
        <v>2.1</v>
      </c>
      <c r="K72" s="18">
        <f t="shared" si="58"/>
        <v>6799.6</v>
      </c>
      <c r="L72" s="18">
        <f t="shared" si="58"/>
        <v>6287.3</v>
      </c>
    </row>
    <row r="73" spans="1:12" ht="15.75" x14ac:dyDescent="0.25">
      <c r="A73" s="12">
        <f t="shared" si="8"/>
        <v>66</v>
      </c>
      <c r="B73" s="60" t="s">
        <v>2</v>
      </c>
      <c r="C73" s="19"/>
      <c r="D73" s="19"/>
      <c r="E73" s="19"/>
      <c r="F73" s="19"/>
      <c r="G73" s="19"/>
      <c r="H73" s="19"/>
      <c r="I73" s="19"/>
      <c r="J73" s="19"/>
      <c r="K73" s="19"/>
      <c r="L73" s="19"/>
    </row>
    <row r="74" spans="1:12" ht="31.5" x14ac:dyDescent="0.25">
      <c r="A74" s="12">
        <f t="shared" ref="A74:A137" si="59">+A73+1</f>
        <v>67</v>
      </c>
      <c r="B74" s="6" t="s">
        <v>193</v>
      </c>
      <c r="C74" s="19">
        <f t="shared" ref="C74:C76" si="60">+G74+K74</f>
        <v>4082.7</v>
      </c>
      <c r="D74" s="19">
        <f t="shared" ref="D74:D76" si="61">+H74+L74</f>
        <v>3445.1</v>
      </c>
      <c r="E74" s="19">
        <f t="shared" ref="E74:E76" si="62">+D74-C74</f>
        <v>-637.6</v>
      </c>
      <c r="F74" s="19">
        <f t="shared" ref="F74:F77" si="63">+D74/C74*100</f>
        <v>84.4</v>
      </c>
      <c r="G74" s="19">
        <f>3.8+1.2+20+113</f>
        <v>138</v>
      </c>
      <c r="H74" s="19">
        <f>2.1+0.7+9.8</f>
        <v>12.6</v>
      </c>
      <c r="I74" s="19">
        <v>3.8</v>
      </c>
      <c r="J74" s="19">
        <v>2.1</v>
      </c>
      <c r="K74" s="19">
        <f>150+3670.8+123.9</f>
        <v>3944.7</v>
      </c>
      <c r="L74" s="19">
        <f>150+123.9+3158.6</f>
        <v>3432.5</v>
      </c>
    </row>
    <row r="75" spans="1:12" ht="47.25" x14ac:dyDescent="0.25">
      <c r="A75" s="12">
        <f t="shared" si="59"/>
        <v>68</v>
      </c>
      <c r="B75" s="6" t="s">
        <v>203</v>
      </c>
      <c r="C75" s="19">
        <f t="shared" si="60"/>
        <v>377.8</v>
      </c>
      <c r="D75" s="19">
        <f t="shared" si="61"/>
        <v>377.7</v>
      </c>
      <c r="E75" s="19">
        <f t="shared" si="62"/>
        <v>-0.1</v>
      </c>
      <c r="F75" s="19">
        <f t="shared" si="63"/>
        <v>100</v>
      </c>
      <c r="G75" s="19"/>
      <c r="H75" s="19"/>
      <c r="I75" s="19"/>
      <c r="J75" s="19"/>
      <c r="K75" s="19">
        <v>377.8</v>
      </c>
      <c r="L75" s="19">
        <v>377.7</v>
      </c>
    </row>
    <row r="76" spans="1:12" ht="78.75" x14ac:dyDescent="0.25">
      <c r="A76" s="12">
        <f t="shared" si="59"/>
        <v>69</v>
      </c>
      <c r="B76" s="6" t="s">
        <v>194</v>
      </c>
      <c r="C76" s="19">
        <f t="shared" si="60"/>
        <v>2477.1</v>
      </c>
      <c r="D76" s="19">
        <f t="shared" si="61"/>
        <v>2477.1</v>
      </c>
      <c r="E76" s="19">
        <f t="shared" si="62"/>
        <v>0</v>
      </c>
      <c r="F76" s="19">
        <f t="shared" si="63"/>
        <v>100</v>
      </c>
      <c r="G76" s="19"/>
      <c r="H76" s="19"/>
      <c r="I76" s="19"/>
      <c r="J76" s="19"/>
      <c r="K76" s="19">
        <v>2477.1</v>
      </c>
      <c r="L76" s="19">
        <v>2477.1</v>
      </c>
    </row>
    <row r="77" spans="1:12" ht="31.5" x14ac:dyDescent="0.25">
      <c r="A77" s="12">
        <f t="shared" si="59"/>
        <v>70</v>
      </c>
      <c r="B77" s="7" t="s">
        <v>133</v>
      </c>
      <c r="C77" s="18">
        <f>+C79+C80</f>
        <v>1123.0999999999999</v>
      </c>
      <c r="D77" s="18">
        <f t="shared" ref="D77:L77" si="64">+D79+D80</f>
        <v>190.7</v>
      </c>
      <c r="E77" s="18">
        <f t="shared" si="64"/>
        <v>-932.4</v>
      </c>
      <c r="F77" s="18">
        <f t="shared" si="63"/>
        <v>17</v>
      </c>
      <c r="G77" s="18">
        <f t="shared" si="64"/>
        <v>0</v>
      </c>
      <c r="H77" s="18">
        <f t="shared" si="64"/>
        <v>0</v>
      </c>
      <c r="I77" s="18">
        <f t="shared" si="64"/>
        <v>0</v>
      </c>
      <c r="J77" s="18">
        <f t="shared" si="64"/>
        <v>0</v>
      </c>
      <c r="K77" s="18">
        <f t="shared" si="64"/>
        <v>1123.0999999999999</v>
      </c>
      <c r="L77" s="18">
        <f t="shared" si="64"/>
        <v>190.7</v>
      </c>
    </row>
    <row r="78" spans="1:12" ht="15.75" x14ac:dyDescent="0.25">
      <c r="A78" s="12">
        <f t="shared" si="59"/>
        <v>71</v>
      </c>
      <c r="B78" s="60" t="s">
        <v>2</v>
      </c>
      <c r="C78" s="19"/>
      <c r="D78" s="19"/>
      <c r="E78" s="19"/>
      <c r="F78" s="19"/>
      <c r="G78" s="19"/>
      <c r="H78" s="19"/>
      <c r="I78" s="19"/>
      <c r="J78" s="19"/>
      <c r="K78" s="19"/>
      <c r="L78" s="19"/>
    </row>
    <row r="79" spans="1:12" ht="47.25" x14ac:dyDescent="0.25">
      <c r="A79" s="12">
        <f t="shared" si="59"/>
        <v>72</v>
      </c>
      <c r="B79" s="6" t="s">
        <v>63</v>
      </c>
      <c r="C79" s="19">
        <f t="shared" ref="C79:C80" si="65">+G79+K79</f>
        <v>1121.4000000000001</v>
      </c>
      <c r="D79" s="19">
        <f t="shared" ref="D79:D80" si="66">+H79+L79</f>
        <v>189</v>
      </c>
      <c r="E79" s="19">
        <f t="shared" ref="E79:E80" si="67">+D79-C79</f>
        <v>-932.4</v>
      </c>
      <c r="F79" s="19">
        <f t="shared" ref="F79:F81" si="68">+D79/C79*100</f>
        <v>16.899999999999999</v>
      </c>
      <c r="G79" s="19"/>
      <c r="H79" s="19"/>
      <c r="I79" s="19"/>
      <c r="J79" s="19"/>
      <c r="K79" s="19">
        <v>1121.4000000000001</v>
      </c>
      <c r="L79" s="19">
        <v>189</v>
      </c>
    </row>
    <row r="80" spans="1:12" ht="63" x14ac:dyDescent="0.25">
      <c r="A80" s="12">
        <f t="shared" si="59"/>
        <v>73</v>
      </c>
      <c r="B80" s="6" t="s">
        <v>238</v>
      </c>
      <c r="C80" s="19">
        <f t="shared" si="65"/>
        <v>1.7</v>
      </c>
      <c r="D80" s="19">
        <f t="shared" si="66"/>
        <v>1.7</v>
      </c>
      <c r="E80" s="19">
        <f t="shared" si="67"/>
        <v>0</v>
      </c>
      <c r="F80" s="19">
        <f t="shared" si="68"/>
        <v>100</v>
      </c>
      <c r="G80" s="19"/>
      <c r="H80" s="19"/>
      <c r="I80" s="19"/>
      <c r="J80" s="19"/>
      <c r="K80" s="19">
        <f>1.6+0.1</f>
        <v>1.7</v>
      </c>
      <c r="L80" s="19">
        <v>1.7</v>
      </c>
    </row>
    <row r="81" spans="1:12" ht="15.75" x14ac:dyDescent="0.25">
      <c r="A81" s="12">
        <f t="shared" si="59"/>
        <v>74</v>
      </c>
      <c r="B81" s="7" t="s">
        <v>140</v>
      </c>
      <c r="C81" s="18">
        <f>+C83+C84</f>
        <v>740.6</v>
      </c>
      <c r="D81" s="18">
        <f t="shared" ref="D81:L81" si="69">+D83+D84</f>
        <v>446.2</v>
      </c>
      <c r="E81" s="18">
        <f t="shared" si="69"/>
        <v>-294.39999999999998</v>
      </c>
      <c r="F81" s="18">
        <f t="shared" si="68"/>
        <v>60.2</v>
      </c>
      <c r="G81" s="18">
        <f t="shared" si="69"/>
        <v>481.6</v>
      </c>
      <c r="H81" s="18">
        <f t="shared" si="69"/>
        <v>303.89999999999998</v>
      </c>
      <c r="I81" s="18">
        <f t="shared" si="69"/>
        <v>7.8</v>
      </c>
      <c r="J81" s="18">
        <f t="shared" si="69"/>
        <v>5</v>
      </c>
      <c r="K81" s="18">
        <f t="shared" si="69"/>
        <v>259</v>
      </c>
      <c r="L81" s="18">
        <f t="shared" si="69"/>
        <v>142.30000000000001</v>
      </c>
    </row>
    <row r="82" spans="1:12" ht="15.75" x14ac:dyDescent="0.25">
      <c r="A82" s="12">
        <f t="shared" si="59"/>
        <v>75</v>
      </c>
      <c r="B82" s="60" t="s">
        <v>2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</row>
    <row r="83" spans="1:12" ht="31.5" x14ac:dyDescent="0.25">
      <c r="A83" s="12">
        <f t="shared" si="59"/>
        <v>76</v>
      </c>
      <c r="B83" s="6" t="s">
        <v>139</v>
      </c>
      <c r="C83" s="19">
        <f t="shared" ref="C83:C84" si="70">+G83+K83</f>
        <v>286.3</v>
      </c>
      <c r="D83" s="19">
        <f t="shared" ref="D83:D84" si="71">+H83+L83</f>
        <v>143.5</v>
      </c>
      <c r="E83" s="19">
        <f t="shared" ref="E83:E84" si="72">+D83-C83</f>
        <v>-142.80000000000001</v>
      </c>
      <c r="F83" s="19">
        <f t="shared" ref="F83:F85" si="73">+D83/C83*100</f>
        <v>50.1</v>
      </c>
      <c r="G83" s="19">
        <f>1.7+0.6+31.7+53.1</f>
        <v>87.1</v>
      </c>
      <c r="H83" s="19">
        <f>1.6+0.5+20.1+32</f>
        <v>54.2</v>
      </c>
      <c r="I83" s="19">
        <v>1.7</v>
      </c>
      <c r="J83" s="19">
        <v>1.6</v>
      </c>
      <c r="K83" s="19">
        <f>124.9+74.3</f>
        <v>199.2</v>
      </c>
      <c r="L83" s="19">
        <v>89.3</v>
      </c>
    </row>
    <row r="84" spans="1:12" ht="47.25" x14ac:dyDescent="0.25">
      <c r="A84" s="12">
        <f t="shared" si="59"/>
        <v>77</v>
      </c>
      <c r="B84" s="6" t="s">
        <v>202</v>
      </c>
      <c r="C84" s="19">
        <f t="shared" si="70"/>
        <v>454.3</v>
      </c>
      <c r="D84" s="19">
        <f t="shared" si="71"/>
        <v>302.7</v>
      </c>
      <c r="E84" s="19">
        <f t="shared" si="72"/>
        <v>-151.6</v>
      </c>
      <c r="F84" s="19">
        <f t="shared" si="73"/>
        <v>66.599999999999994</v>
      </c>
      <c r="G84" s="19">
        <f>6.1+1.9+386.1+0.3+0.1</f>
        <v>394.5</v>
      </c>
      <c r="H84" s="19">
        <f>3.4+1+245.3</f>
        <v>249.7</v>
      </c>
      <c r="I84" s="19">
        <v>6.1</v>
      </c>
      <c r="J84" s="19">
        <v>3.4</v>
      </c>
      <c r="K84" s="19">
        <v>59.8</v>
      </c>
      <c r="L84" s="19">
        <v>53</v>
      </c>
    </row>
    <row r="85" spans="1:12" ht="15.75" x14ac:dyDescent="0.25">
      <c r="A85" s="12">
        <f t="shared" si="59"/>
        <v>78</v>
      </c>
      <c r="B85" s="7" t="s">
        <v>64</v>
      </c>
      <c r="C85" s="18">
        <f>+C87+C88+C89</f>
        <v>572.1</v>
      </c>
      <c r="D85" s="18">
        <f t="shared" ref="D85:L85" si="74">+D87+D88+D89</f>
        <v>338.9</v>
      </c>
      <c r="E85" s="18">
        <f t="shared" si="74"/>
        <v>-233.2</v>
      </c>
      <c r="F85" s="18">
        <f t="shared" si="73"/>
        <v>59.2</v>
      </c>
      <c r="G85" s="18">
        <f t="shared" si="74"/>
        <v>11.8</v>
      </c>
      <c r="H85" s="18">
        <f t="shared" si="74"/>
        <v>3.9</v>
      </c>
      <c r="I85" s="18">
        <f t="shared" si="74"/>
        <v>3.6</v>
      </c>
      <c r="J85" s="18">
        <f t="shared" si="74"/>
        <v>2.8</v>
      </c>
      <c r="K85" s="18">
        <f t="shared" si="74"/>
        <v>560.29999999999995</v>
      </c>
      <c r="L85" s="18">
        <f t="shared" si="74"/>
        <v>335</v>
      </c>
    </row>
    <row r="86" spans="1:12" ht="15.75" x14ac:dyDescent="0.25">
      <c r="A86" s="12">
        <f t="shared" si="59"/>
        <v>79</v>
      </c>
      <c r="B86" s="60" t="s">
        <v>2</v>
      </c>
      <c r="C86" s="19">
        <v>0</v>
      </c>
      <c r="D86" s="19"/>
      <c r="E86" s="19"/>
      <c r="F86" s="19"/>
      <c r="G86" s="19"/>
      <c r="H86" s="19"/>
      <c r="I86" s="19"/>
      <c r="J86" s="19"/>
      <c r="K86" s="19"/>
      <c r="L86" s="19"/>
    </row>
    <row r="87" spans="1:12" ht="31.5" x14ac:dyDescent="0.25">
      <c r="A87" s="12">
        <f t="shared" si="59"/>
        <v>80</v>
      </c>
      <c r="B87" s="6" t="s">
        <v>65</v>
      </c>
      <c r="C87" s="19">
        <f t="shared" ref="C87:C89" si="75">+G87+K87</f>
        <v>408.4</v>
      </c>
      <c r="D87" s="19">
        <f t="shared" ref="D87:D89" si="76">+H87+L87</f>
        <v>188.7</v>
      </c>
      <c r="E87" s="19">
        <f t="shared" ref="E87:E89" si="77">+D87-C87</f>
        <v>-219.7</v>
      </c>
      <c r="F87" s="19">
        <f t="shared" ref="F87:F90" si="78">+D87/C87*100</f>
        <v>46.2</v>
      </c>
      <c r="G87" s="19">
        <f>0.3+0.1+6.9</f>
        <v>7.3</v>
      </c>
      <c r="H87" s="19">
        <f>0.2+0.1</f>
        <v>0.3</v>
      </c>
      <c r="I87" s="19">
        <v>0.3</v>
      </c>
      <c r="J87" s="19">
        <v>0.2</v>
      </c>
      <c r="K87" s="19">
        <v>401.1</v>
      </c>
      <c r="L87" s="19">
        <v>188.4</v>
      </c>
    </row>
    <row r="88" spans="1:12" ht="47.25" x14ac:dyDescent="0.25">
      <c r="A88" s="12">
        <f t="shared" si="59"/>
        <v>81</v>
      </c>
      <c r="B88" s="6" t="s">
        <v>199</v>
      </c>
      <c r="C88" s="19">
        <f t="shared" si="75"/>
        <v>35.700000000000003</v>
      </c>
      <c r="D88" s="19">
        <f t="shared" si="76"/>
        <v>22.2</v>
      </c>
      <c r="E88" s="19">
        <f t="shared" si="77"/>
        <v>-13.5</v>
      </c>
      <c r="F88" s="19">
        <f t="shared" si="78"/>
        <v>62.2</v>
      </c>
      <c r="G88" s="19">
        <f>3.1+1+0.1+0.3</f>
        <v>4.5</v>
      </c>
      <c r="H88" s="19">
        <f>2.4+0.8+0.3+0.1</f>
        <v>3.6</v>
      </c>
      <c r="I88" s="19">
        <f>3.1+0.2</f>
        <v>3.3</v>
      </c>
      <c r="J88" s="19">
        <f>2.4+0.2</f>
        <v>2.6</v>
      </c>
      <c r="K88" s="19">
        <f>29.7+1.5</f>
        <v>31.2</v>
      </c>
      <c r="L88" s="19">
        <f>18.3+0.4-0.1</f>
        <v>18.600000000000001</v>
      </c>
    </row>
    <row r="89" spans="1:12" ht="63" x14ac:dyDescent="0.25">
      <c r="A89" s="12">
        <f t="shared" si="59"/>
        <v>82</v>
      </c>
      <c r="B89" s="6" t="s">
        <v>256</v>
      </c>
      <c r="C89" s="19">
        <f t="shared" si="75"/>
        <v>128</v>
      </c>
      <c r="D89" s="19">
        <f t="shared" si="76"/>
        <v>128</v>
      </c>
      <c r="E89" s="19">
        <f t="shared" si="77"/>
        <v>0</v>
      </c>
      <c r="F89" s="19">
        <f t="shared" si="78"/>
        <v>100</v>
      </c>
      <c r="G89" s="19"/>
      <c r="H89" s="19"/>
      <c r="I89" s="19"/>
      <c r="J89" s="19"/>
      <c r="K89" s="19">
        <v>128</v>
      </c>
      <c r="L89" s="19">
        <v>128</v>
      </c>
    </row>
    <row r="90" spans="1:12" ht="15.75" x14ac:dyDescent="0.25">
      <c r="A90" s="12">
        <f t="shared" si="59"/>
        <v>83</v>
      </c>
      <c r="B90" s="10" t="s">
        <v>66</v>
      </c>
      <c r="C90" s="18">
        <f>+C92+C93</f>
        <v>2438.1999999999998</v>
      </c>
      <c r="D90" s="18">
        <f t="shared" ref="D90:L90" si="79">+D92+D93</f>
        <v>1798.4</v>
      </c>
      <c r="E90" s="18">
        <f t="shared" si="79"/>
        <v>-639.79999999999995</v>
      </c>
      <c r="F90" s="18">
        <f t="shared" si="78"/>
        <v>73.8</v>
      </c>
      <c r="G90" s="18">
        <f t="shared" si="79"/>
        <v>0</v>
      </c>
      <c r="H90" s="18">
        <f t="shared" si="79"/>
        <v>0</v>
      </c>
      <c r="I90" s="18">
        <f t="shared" si="79"/>
        <v>0</v>
      </c>
      <c r="J90" s="18">
        <f t="shared" si="79"/>
        <v>0</v>
      </c>
      <c r="K90" s="18">
        <f t="shared" si="79"/>
        <v>2438.1999999999998</v>
      </c>
      <c r="L90" s="18">
        <f t="shared" si="79"/>
        <v>1798.4</v>
      </c>
    </row>
    <row r="91" spans="1:12" ht="15.75" x14ac:dyDescent="0.25">
      <c r="A91" s="12">
        <f t="shared" si="59"/>
        <v>84</v>
      </c>
      <c r="B91" s="60" t="s">
        <v>2</v>
      </c>
      <c r="C91" s="19">
        <v>0</v>
      </c>
      <c r="D91" s="19"/>
      <c r="E91" s="19"/>
      <c r="F91" s="19"/>
      <c r="G91" s="19"/>
      <c r="H91" s="19"/>
      <c r="I91" s="19"/>
      <c r="J91" s="19"/>
      <c r="K91" s="19"/>
      <c r="L91" s="19"/>
    </row>
    <row r="92" spans="1:12" ht="31.5" x14ac:dyDescent="0.25">
      <c r="A92" s="12">
        <f t="shared" si="59"/>
        <v>85</v>
      </c>
      <c r="B92" s="11" t="s">
        <v>67</v>
      </c>
      <c r="C92" s="19">
        <f t="shared" ref="C92:C93" si="80">+G92+K92</f>
        <v>1775.1</v>
      </c>
      <c r="D92" s="19">
        <f t="shared" ref="D92:D93" si="81">+H92+L92</f>
        <v>1135.4000000000001</v>
      </c>
      <c r="E92" s="19">
        <f t="shared" ref="E92:E93" si="82">+D92-C92</f>
        <v>-639.70000000000005</v>
      </c>
      <c r="F92" s="19">
        <f t="shared" ref="F92:F94" si="83">+D92/C92*100</f>
        <v>64</v>
      </c>
      <c r="G92" s="19"/>
      <c r="H92" s="19"/>
      <c r="I92" s="19"/>
      <c r="J92" s="19"/>
      <c r="K92" s="19">
        <v>1775.1</v>
      </c>
      <c r="L92" s="19">
        <v>1135.4000000000001</v>
      </c>
    </row>
    <row r="93" spans="1:12" ht="47.25" x14ac:dyDescent="0.25">
      <c r="A93" s="12">
        <f t="shared" si="59"/>
        <v>86</v>
      </c>
      <c r="B93" s="11" t="s">
        <v>201</v>
      </c>
      <c r="C93" s="19">
        <f t="shared" si="80"/>
        <v>663.1</v>
      </c>
      <c r="D93" s="19">
        <f t="shared" si="81"/>
        <v>663</v>
      </c>
      <c r="E93" s="19">
        <f t="shared" si="82"/>
        <v>-0.1</v>
      </c>
      <c r="F93" s="19">
        <f t="shared" si="83"/>
        <v>100</v>
      </c>
      <c r="G93" s="19"/>
      <c r="H93" s="19"/>
      <c r="I93" s="19"/>
      <c r="J93" s="19"/>
      <c r="K93" s="19">
        <f>609.3+53.8</f>
        <v>663.1</v>
      </c>
      <c r="L93" s="19">
        <f>609.2+53.8</f>
        <v>663</v>
      </c>
    </row>
    <row r="94" spans="1:12" ht="15.75" x14ac:dyDescent="0.25">
      <c r="A94" s="12">
        <f t="shared" si="59"/>
        <v>87</v>
      </c>
      <c r="B94" s="10" t="s">
        <v>145</v>
      </c>
      <c r="C94" s="18">
        <f>+C96+C97</f>
        <v>1482.2</v>
      </c>
      <c r="D94" s="18">
        <f t="shared" ref="D94:L94" si="84">+D96+D97</f>
        <v>1151.0999999999999</v>
      </c>
      <c r="E94" s="18">
        <f t="shared" si="84"/>
        <v>-331.1</v>
      </c>
      <c r="F94" s="18">
        <f t="shared" si="83"/>
        <v>77.7</v>
      </c>
      <c r="G94" s="18">
        <f t="shared" si="84"/>
        <v>41.2</v>
      </c>
      <c r="H94" s="18">
        <f t="shared" si="84"/>
        <v>3.9</v>
      </c>
      <c r="I94" s="18">
        <f t="shared" si="84"/>
        <v>3.5</v>
      </c>
      <c r="J94" s="18">
        <f t="shared" si="84"/>
        <v>2.9</v>
      </c>
      <c r="K94" s="18">
        <f t="shared" si="84"/>
        <v>1441</v>
      </c>
      <c r="L94" s="18">
        <f t="shared" si="84"/>
        <v>1147.2</v>
      </c>
    </row>
    <row r="95" spans="1:12" ht="15.75" x14ac:dyDescent="0.25">
      <c r="A95" s="12">
        <f t="shared" si="59"/>
        <v>88</v>
      </c>
      <c r="B95" s="60" t="s">
        <v>2</v>
      </c>
      <c r="C95" s="19">
        <v>0</v>
      </c>
      <c r="D95" s="19"/>
      <c r="E95" s="19"/>
      <c r="F95" s="19"/>
      <c r="G95" s="19"/>
      <c r="H95" s="19"/>
      <c r="I95" s="19"/>
      <c r="J95" s="19"/>
      <c r="K95" s="19"/>
      <c r="L95" s="19"/>
    </row>
    <row r="96" spans="1:12" ht="31.5" x14ac:dyDescent="0.25">
      <c r="A96" s="12">
        <f t="shared" si="59"/>
        <v>89</v>
      </c>
      <c r="B96" s="11" t="s">
        <v>68</v>
      </c>
      <c r="C96" s="19">
        <f t="shared" ref="C96:C98" si="85">+G96+K96</f>
        <v>576.5</v>
      </c>
      <c r="D96" s="19">
        <f t="shared" ref="D96:D98" si="86">+H96+L96</f>
        <v>336.3</v>
      </c>
      <c r="E96" s="19">
        <f t="shared" ref="E96:E98" si="87">+D96-C96</f>
        <v>-240.2</v>
      </c>
      <c r="F96" s="19">
        <f t="shared" ref="F96:F100" si="88">+D96/C96*100</f>
        <v>58.3</v>
      </c>
      <c r="G96" s="19">
        <f>0.6+0.2+2.7+0.3+0.1+32.3</f>
        <v>36.200000000000003</v>
      </c>
      <c r="H96" s="19">
        <f>0.5+0.2</f>
        <v>0.7</v>
      </c>
      <c r="I96" s="19">
        <v>0.6</v>
      </c>
      <c r="J96" s="19">
        <v>0.5</v>
      </c>
      <c r="K96" s="19">
        <f>279.3+61+200</f>
        <v>540.29999999999995</v>
      </c>
      <c r="L96" s="19">
        <f>127.2+57.4+151</f>
        <v>335.6</v>
      </c>
    </row>
    <row r="97" spans="1:12" ht="47.25" x14ac:dyDescent="0.25">
      <c r="A97" s="12">
        <f t="shared" si="59"/>
        <v>90</v>
      </c>
      <c r="B97" s="11" t="s">
        <v>198</v>
      </c>
      <c r="C97" s="19">
        <f t="shared" si="85"/>
        <v>905.7</v>
      </c>
      <c r="D97" s="19">
        <f t="shared" si="86"/>
        <v>814.8</v>
      </c>
      <c r="E97" s="19">
        <f t="shared" si="87"/>
        <v>-90.9</v>
      </c>
      <c r="F97" s="19">
        <f t="shared" si="88"/>
        <v>90</v>
      </c>
      <c r="G97" s="19">
        <f>2.9+0.9+1.1+0.1</f>
        <v>5</v>
      </c>
      <c r="H97" s="19">
        <f>2.4+0.8</f>
        <v>3.2</v>
      </c>
      <c r="I97" s="19">
        <v>2.9</v>
      </c>
      <c r="J97" s="19">
        <v>2.4</v>
      </c>
      <c r="K97" s="19">
        <v>900.7</v>
      </c>
      <c r="L97" s="19">
        <v>811.6</v>
      </c>
    </row>
    <row r="98" spans="1:12" ht="31.5" x14ac:dyDescent="0.25">
      <c r="A98" s="12">
        <f t="shared" si="59"/>
        <v>91</v>
      </c>
      <c r="B98" s="10" t="s">
        <v>151</v>
      </c>
      <c r="C98" s="18">
        <f t="shared" si="85"/>
        <v>123</v>
      </c>
      <c r="D98" s="18">
        <f t="shared" si="86"/>
        <v>7</v>
      </c>
      <c r="E98" s="18">
        <f t="shared" si="87"/>
        <v>-116</v>
      </c>
      <c r="F98" s="18">
        <f t="shared" si="88"/>
        <v>5.7</v>
      </c>
      <c r="G98" s="18">
        <f>33+50</f>
        <v>83</v>
      </c>
      <c r="H98" s="18">
        <v>7</v>
      </c>
      <c r="I98" s="18"/>
      <c r="J98" s="18"/>
      <c r="K98" s="18">
        <v>40</v>
      </c>
      <c r="L98" s="18"/>
    </row>
    <row r="99" spans="1:12" ht="15.75" x14ac:dyDescent="0.25">
      <c r="A99" s="12">
        <f t="shared" si="59"/>
        <v>92</v>
      </c>
      <c r="B99" s="7" t="s">
        <v>69</v>
      </c>
      <c r="C99" s="18">
        <f>+C100</f>
        <v>645.20000000000005</v>
      </c>
      <c r="D99" s="18">
        <f t="shared" ref="D99:L99" si="89">+D100</f>
        <v>320</v>
      </c>
      <c r="E99" s="18">
        <f t="shared" si="89"/>
        <v>-325.2</v>
      </c>
      <c r="F99" s="18">
        <f t="shared" si="88"/>
        <v>49.6</v>
      </c>
      <c r="G99" s="18">
        <f t="shared" si="89"/>
        <v>288.60000000000002</v>
      </c>
      <c r="H99" s="18">
        <f t="shared" si="89"/>
        <v>269.10000000000002</v>
      </c>
      <c r="I99" s="18">
        <f t="shared" si="89"/>
        <v>0</v>
      </c>
      <c r="J99" s="18">
        <f t="shared" si="89"/>
        <v>0</v>
      </c>
      <c r="K99" s="18">
        <f t="shared" si="89"/>
        <v>356.6</v>
      </c>
      <c r="L99" s="18">
        <f t="shared" si="89"/>
        <v>50.9</v>
      </c>
    </row>
    <row r="100" spans="1:12" ht="15.75" x14ac:dyDescent="0.25">
      <c r="A100" s="12">
        <f t="shared" si="59"/>
        <v>93</v>
      </c>
      <c r="B100" s="7" t="s">
        <v>130</v>
      </c>
      <c r="C100" s="18">
        <f>+C102+C103</f>
        <v>645.20000000000005</v>
      </c>
      <c r="D100" s="18">
        <f t="shared" ref="D100:L100" si="90">+D102+D103</f>
        <v>320</v>
      </c>
      <c r="E100" s="18">
        <f t="shared" si="90"/>
        <v>-325.2</v>
      </c>
      <c r="F100" s="18">
        <f t="shared" si="88"/>
        <v>49.6</v>
      </c>
      <c r="G100" s="18">
        <f t="shared" si="90"/>
        <v>288.60000000000002</v>
      </c>
      <c r="H100" s="18">
        <f t="shared" si="90"/>
        <v>269.10000000000002</v>
      </c>
      <c r="I100" s="18">
        <f t="shared" si="90"/>
        <v>0</v>
      </c>
      <c r="J100" s="18">
        <f t="shared" si="90"/>
        <v>0</v>
      </c>
      <c r="K100" s="18">
        <f t="shared" si="90"/>
        <v>356.6</v>
      </c>
      <c r="L100" s="18">
        <f t="shared" si="90"/>
        <v>50.9</v>
      </c>
    </row>
    <row r="101" spans="1:12" ht="15.75" x14ac:dyDescent="0.25">
      <c r="A101" s="12">
        <f t="shared" si="59"/>
        <v>94</v>
      </c>
      <c r="B101" s="60" t="s">
        <v>2</v>
      </c>
      <c r="C101" s="19">
        <v>0</v>
      </c>
      <c r="D101" s="19"/>
      <c r="E101" s="19"/>
      <c r="F101" s="19"/>
      <c r="G101" s="19"/>
      <c r="H101" s="19"/>
      <c r="I101" s="19"/>
      <c r="J101" s="19"/>
      <c r="K101" s="19"/>
      <c r="L101" s="19"/>
    </row>
    <row r="102" spans="1:12" ht="31.5" x14ac:dyDescent="0.25">
      <c r="A102" s="12">
        <f t="shared" si="59"/>
        <v>95</v>
      </c>
      <c r="B102" s="6" t="s">
        <v>144</v>
      </c>
      <c r="C102" s="19">
        <f t="shared" ref="C102:C103" si="91">+G102+K102</f>
        <v>623.6</v>
      </c>
      <c r="D102" s="19">
        <f t="shared" ref="D102:D103" si="92">+H102+L102</f>
        <v>298.5</v>
      </c>
      <c r="E102" s="19">
        <f t="shared" ref="E102:E103" si="93">+D102-C102</f>
        <v>-325.10000000000002</v>
      </c>
      <c r="F102" s="19">
        <f t="shared" ref="F102:F105" si="94">+D102/C102*100</f>
        <v>47.9</v>
      </c>
      <c r="G102" s="19">
        <f>100+3.1+132.4+31.5</f>
        <v>267</v>
      </c>
      <c r="H102" s="19">
        <f>97.3+2.2+121.5+26.5+0.1</f>
        <v>247.6</v>
      </c>
      <c r="I102" s="19"/>
      <c r="J102" s="19"/>
      <c r="K102" s="19">
        <f>180.2+12+164.4</f>
        <v>356.6</v>
      </c>
      <c r="L102" s="19">
        <f>23.4+19.1+8.5-0.1</f>
        <v>50.9</v>
      </c>
    </row>
    <row r="103" spans="1:12" ht="47.25" x14ac:dyDescent="0.25">
      <c r="A103" s="12">
        <f t="shared" si="59"/>
        <v>96</v>
      </c>
      <c r="B103" s="6" t="s">
        <v>200</v>
      </c>
      <c r="C103" s="19">
        <f t="shared" si="91"/>
        <v>21.6</v>
      </c>
      <c r="D103" s="19">
        <f t="shared" si="92"/>
        <v>21.5</v>
      </c>
      <c r="E103" s="19">
        <f t="shared" si="93"/>
        <v>-0.1</v>
      </c>
      <c r="F103" s="19">
        <f t="shared" si="94"/>
        <v>99.5</v>
      </c>
      <c r="G103" s="19">
        <v>21.6</v>
      </c>
      <c r="H103" s="19">
        <v>21.5</v>
      </c>
      <c r="I103" s="19"/>
      <c r="J103" s="19"/>
      <c r="K103" s="19"/>
      <c r="L103" s="19"/>
    </row>
    <row r="104" spans="1:12" ht="15.75" x14ac:dyDescent="0.25">
      <c r="A104" s="12">
        <f t="shared" si="59"/>
        <v>97</v>
      </c>
      <c r="B104" s="7" t="s">
        <v>4</v>
      </c>
      <c r="C104" s="18">
        <f>+C105+C111+C115+C119+C120+C125+C126</f>
        <v>31877.8</v>
      </c>
      <c r="D104" s="18">
        <f t="shared" ref="D104:L104" si="95">+D105+D111+D115+D119+D120+D125+D126</f>
        <v>28730.9</v>
      </c>
      <c r="E104" s="18">
        <f t="shared" si="95"/>
        <v>-3146.9</v>
      </c>
      <c r="F104" s="18">
        <f t="shared" si="94"/>
        <v>90.1</v>
      </c>
      <c r="G104" s="18">
        <f t="shared" si="95"/>
        <v>25733.200000000001</v>
      </c>
      <c r="H104" s="18">
        <f t="shared" si="95"/>
        <v>24923.9</v>
      </c>
      <c r="I104" s="18">
        <f t="shared" si="95"/>
        <v>377.1</v>
      </c>
      <c r="J104" s="18">
        <f t="shared" si="95"/>
        <v>358.4</v>
      </c>
      <c r="K104" s="18">
        <f t="shared" si="95"/>
        <v>6144.6</v>
      </c>
      <c r="L104" s="18">
        <f t="shared" si="95"/>
        <v>3807</v>
      </c>
    </row>
    <row r="105" spans="1:12" ht="15.75" x14ac:dyDescent="0.25">
      <c r="A105" s="12">
        <f t="shared" si="59"/>
        <v>98</v>
      </c>
      <c r="B105" s="10" t="s">
        <v>70</v>
      </c>
      <c r="C105" s="18">
        <f>+C107+C108+C109+C110</f>
        <v>5198.6000000000004</v>
      </c>
      <c r="D105" s="18">
        <f t="shared" ref="D105:L105" si="96">+D107+D108+D109+D110</f>
        <v>4862.2</v>
      </c>
      <c r="E105" s="18">
        <f t="shared" si="96"/>
        <v>-336.4</v>
      </c>
      <c r="F105" s="18">
        <f t="shared" si="94"/>
        <v>93.5</v>
      </c>
      <c r="G105" s="18">
        <f t="shared" si="96"/>
        <v>5198.6000000000004</v>
      </c>
      <c r="H105" s="18">
        <f t="shared" si="96"/>
        <v>4862.2</v>
      </c>
      <c r="I105" s="18">
        <f t="shared" si="96"/>
        <v>0</v>
      </c>
      <c r="J105" s="18">
        <f t="shared" si="96"/>
        <v>0</v>
      </c>
      <c r="K105" s="18">
        <f t="shared" si="96"/>
        <v>0</v>
      </c>
      <c r="L105" s="18">
        <f t="shared" si="96"/>
        <v>0</v>
      </c>
    </row>
    <row r="106" spans="1:12" ht="15.75" x14ac:dyDescent="0.25">
      <c r="A106" s="12">
        <f t="shared" si="59"/>
        <v>99</v>
      </c>
      <c r="B106" s="60" t="s">
        <v>2</v>
      </c>
      <c r="C106" s="19">
        <v>0</v>
      </c>
      <c r="D106" s="19"/>
      <c r="E106" s="19"/>
      <c r="F106" s="19"/>
      <c r="G106" s="19"/>
      <c r="H106" s="19"/>
      <c r="I106" s="19"/>
      <c r="J106" s="19"/>
      <c r="K106" s="19"/>
      <c r="L106" s="19"/>
    </row>
    <row r="107" spans="1:12" ht="31.5" x14ac:dyDescent="0.25">
      <c r="A107" s="12">
        <f t="shared" si="59"/>
        <v>100</v>
      </c>
      <c r="B107" s="11" t="s">
        <v>61</v>
      </c>
      <c r="C107" s="19">
        <f t="shared" ref="C107:C109" si="97">+G107+K107</f>
        <v>4797.6000000000004</v>
      </c>
      <c r="D107" s="19">
        <f t="shared" ref="D107:D109" si="98">+H107+L107</f>
        <v>4446.7</v>
      </c>
      <c r="E107" s="19">
        <f t="shared" ref="E107:E109" si="99">+D107-C107</f>
        <v>-350.9</v>
      </c>
      <c r="F107" s="19">
        <f t="shared" ref="F107:F109" si="100">+D107/C107*100</f>
        <v>92.7</v>
      </c>
      <c r="G107" s="19">
        <f>27.6+4770</f>
        <v>4797.6000000000004</v>
      </c>
      <c r="H107" s="19">
        <f>15.8+4430.9</f>
        <v>4446.7</v>
      </c>
      <c r="I107" s="19"/>
      <c r="J107" s="19"/>
      <c r="K107" s="19"/>
      <c r="L107" s="19"/>
    </row>
    <row r="108" spans="1:12" ht="47.25" x14ac:dyDescent="0.25">
      <c r="A108" s="12">
        <f t="shared" si="59"/>
        <v>101</v>
      </c>
      <c r="B108" s="11" t="s">
        <v>166</v>
      </c>
      <c r="C108" s="19">
        <f t="shared" si="97"/>
        <v>10</v>
      </c>
      <c r="D108" s="19">
        <f t="shared" si="98"/>
        <v>10</v>
      </c>
      <c r="E108" s="19">
        <f t="shared" si="99"/>
        <v>0</v>
      </c>
      <c r="F108" s="19">
        <f t="shared" si="100"/>
        <v>100</v>
      </c>
      <c r="G108" s="19">
        <v>10</v>
      </c>
      <c r="H108" s="19">
        <v>10</v>
      </c>
      <c r="I108" s="19"/>
      <c r="J108" s="19"/>
      <c r="K108" s="19"/>
      <c r="L108" s="19"/>
    </row>
    <row r="109" spans="1:12" ht="47.25" x14ac:dyDescent="0.25">
      <c r="A109" s="12">
        <f t="shared" si="59"/>
        <v>102</v>
      </c>
      <c r="B109" s="11" t="s">
        <v>239</v>
      </c>
      <c r="C109" s="19">
        <f t="shared" si="97"/>
        <v>5.2</v>
      </c>
      <c r="D109" s="19">
        <f t="shared" si="98"/>
        <v>5.2</v>
      </c>
      <c r="E109" s="19">
        <f t="shared" si="99"/>
        <v>0</v>
      </c>
      <c r="F109" s="19">
        <f t="shared" si="100"/>
        <v>100</v>
      </c>
      <c r="G109" s="19">
        <v>5.2</v>
      </c>
      <c r="H109" s="19">
        <v>5.2</v>
      </c>
      <c r="I109" s="19"/>
      <c r="J109" s="19"/>
      <c r="K109" s="19"/>
      <c r="L109" s="19"/>
    </row>
    <row r="110" spans="1:12" ht="15.75" x14ac:dyDescent="0.25">
      <c r="A110" s="12">
        <f t="shared" si="59"/>
        <v>103</v>
      </c>
      <c r="B110" s="6" t="s">
        <v>62</v>
      </c>
      <c r="C110" s="19">
        <v>385.8</v>
      </c>
      <c r="D110" s="19">
        <f t="shared" ref="D110" si="101">+H110+L110</f>
        <v>400.3</v>
      </c>
      <c r="E110" s="19">
        <f t="shared" ref="E110" si="102">+D110-C110</f>
        <v>14.5</v>
      </c>
      <c r="F110" s="19">
        <f t="shared" ref="F110:F111" si="103">+D110/C110*100</f>
        <v>103.8</v>
      </c>
      <c r="G110" s="19">
        <v>385.8</v>
      </c>
      <c r="H110" s="19">
        <v>400.3</v>
      </c>
      <c r="I110" s="19"/>
      <c r="J110" s="19"/>
      <c r="K110" s="19"/>
      <c r="L110" s="19"/>
    </row>
    <row r="111" spans="1:12" ht="31.5" x14ac:dyDescent="0.25">
      <c r="A111" s="12">
        <f t="shared" si="59"/>
        <v>104</v>
      </c>
      <c r="B111" s="7" t="s">
        <v>95</v>
      </c>
      <c r="C111" s="18">
        <f>+C113+C114</f>
        <v>9766.2999999999993</v>
      </c>
      <c r="D111" s="18">
        <f t="shared" ref="D111:L111" si="104">+D113+D114</f>
        <v>9162.7000000000007</v>
      </c>
      <c r="E111" s="18">
        <f t="shared" si="104"/>
        <v>-603.6</v>
      </c>
      <c r="F111" s="18">
        <f t="shared" si="103"/>
        <v>93.8</v>
      </c>
      <c r="G111" s="18">
        <f t="shared" si="104"/>
        <v>8624.9</v>
      </c>
      <c r="H111" s="18">
        <f t="shared" si="104"/>
        <v>8476.1</v>
      </c>
      <c r="I111" s="18">
        <f t="shared" si="104"/>
        <v>0</v>
      </c>
      <c r="J111" s="18">
        <f t="shared" si="104"/>
        <v>0</v>
      </c>
      <c r="K111" s="18">
        <f t="shared" si="104"/>
        <v>1141.4000000000001</v>
      </c>
      <c r="L111" s="18">
        <f t="shared" si="104"/>
        <v>686.6</v>
      </c>
    </row>
    <row r="112" spans="1:12" ht="15.75" x14ac:dyDescent="0.25">
      <c r="A112" s="12">
        <f t="shared" si="59"/>
        <v>105</v>
      </c>
      <c r="B112" s="60" t="s">
        <v>2</v>
      </c>
      <c r="C112" s="19">
        <v>0</v>
      </c>
      <c r="D112" s="19"/>
      <c r="E112" s="19"/>
      <c r="F112" s="19"/>
      <c r="G112" s="19"/>
      <c r="H112" s="19"/>
      <c r="I112" s="19"/>
      <c r="J112" s="19"/>
      <c r="K112" s="19"/>
      <c r="L112" s="19"/>
    </row>
    <row r="113" spans="1:12" ht="31.5" x14ac:dyDescent="0.25">
      <c r="A113" s="12">
        <f t="shared" si="59"/>
        <v>106</v>
      </c>
      <c r="B113" s="6" t="s">
        <v>193</v>
      </c>
      <c r="C113" s="19">
        <f t="shared" ref="C113:C114" si="105">+G113+K113</f>
        <v>8244.2999999999993</v>
      </c>
      <c r="D113" s="19">
        <f t="shared" ref="D113:D114" si="106">+H113+L113</f>
        <v>7658.8</v>
      </c>
      <c r="E113" s="19">
        <f t="shared" ref="E113:E114" si="107">+D113-C113</f>
        <v>-585.5</v>
      </c>
      <c r="F113" s="19">
        <f t="shared" ref="F113:F115" si="108">+D113/C113*100</f>
        <v>92.9</v>
      </c>
      <c r="G113" s="19">
        <f>6887.9-K113+1356.4</f>
        <v>7102.9</v>
      </c>
      <c r="H113" s="19">
        <f>6718.3-L113+940.5</f>
        <v>6972.2</v>
      </c>
      <c r="I113" s="19"/>
      <c r="J113" s="19"/>
      <c r="K113" s="19">
        <f>374+281+486.4</f>
        <v>1141.4000000000001</v>
      </c>
      <c r="L113" s="19">
        <f>327.4+108+251.2</f>
        <v>686.6</v>
      </c>
    </row>
    <row r="114" spans="1:12" ht="78.75" x14ac:dyDescent="0.25">
      <c r="A114" s="12">
        <f t="shared" si="59"/>
        <v>107</v>
      </c>
      <c r="B114" s="6" t="s">
        <v>194</v>
      </c>
      <c r="C114" s="19">
        <f t="shared" si="105"/>
        <v>1522</v>
      </c>
      <c r="D114" s="19">
        <f t="shared" si="106"/>
        <v>1503.9</v>
      </c>
      <c r="E114" s="19">
        <f t="shared" si="107"/>
        <v>-18.100000000000001</v>
      </c>
      <c r="F114" s="19">
        <f t="shared" si="108"/>
        <v>98.8</v>
      </c>
      <c r="G114" s="19">
        <v>1522</v>
      </c>
      <c r="H114" s="19">
        <v>1503.9</v>
      </c>
      <c r="I114" s="19"/>
      <c r="J114" s="19"/>
      <c r="K114" s="19"/>
      <c r="L114" s="19"/>
    </row>
    <row r="115" spans="1:12" ht="31.5" x14ac:dyDescent="0.25">
      <c r="A115" s="12">
        <f t="shared" si="59"/>
        <v>108</v>
      </c>
      <c r="B115" s="7" t="s">
        <v>71</v>
      </c>
      <c r="C115" s="18">
        <f>+C117+C118</f>
        <v>9659.5</v>
      </c>
      <c r="D115" s="18">
        <f t="shared" ref="D115:L115" si="109">+D117+D118</f>
        <v>7965.9</v>
      </c>
      <c r="E115" s="18">
        <f t="shared" si="109"/>
        <v>-1693.6</v>
      </c>
      <c r="F115" s="18">
        <f t="shared" si="108"/>
        <v>82.5</v>
      </c>
      <c r="G115" s="18">
        <f t="shared" si="109"/>
        <v>6549.3</v>
      </c>
      <c r="H115" s="18">
        <f t="shared" si="109"/>
        <v>6329.1</v>
      </c>
      <c r="I115" s="18">
        <f t="shared" si="109"/>
        <v>377.1</v>
      </c>
      <c r="J115" s="18">
        <f t="shared" si="109"/>
        <v>358.4</v>
      </c>
      <c r="K115" s="18">
        <f t="shared" si="109"/>
        <v>3110.2</v>
      </c>
      <c r="L115" s="18">
        <f t="shared" si="109"/>
        <v>1636.8</v>
      </c>
    </row>
    <row r="116" spans="1:12" ht="15.75" x14ac:dyDescent="0.25">
      <c r="A116" s="12">
        <f t="shared" si="59"/>
        <v>109</v>
      </c>
      <c r="B116" s="60" t="s">
        <v>2</v>
      </c>
      <c r="C116" s="19">
        <v>0</v>
      </c>
      <c r="D116" s="19"/>
      <c r="E116" s="19"/>
      <c r="F116" s="19"/>
      <c r="G116" s="19"/>
      <c r="H116" s="19"/>
      <c r="I116" s="19"/>
      <c r="J116" s="19"/>
      <c r="K116" s="19"/>
      <c r="L116" s="19"/>
    </row>
    <row r="117" spans="1:12" ht="47.25" x14ac:dyDescent="0.25">
      <c r="A117" s="12">
        <f t="shared" si="59"/>
        <v>110</v>
      </c>
      <c r="B117" s="11" t="s">
        <v>63</v>
      </c>
      <c r="C117" s="19">
        <f t="shared" ref="C117:C119" si="110">+G117+K117</f>
        <v>9626</v>
      </c>
      <c r="D117" s="19">
        <f t="shared" ref="D117:D119" si="111">+H117+L117</f>
        <v>7932.9</v>
      </c>
      <c r="E117" s="19">
        <f t="shared" ref="E117:E119" si="112">+D117-C117</f>
        <v>-1693.1</v>
      </c>
      <c r="F117" s="19">
        <f t="shared" ref="F117:F120" si="113">+D117/C117*100</f>
        <v>82.4</v>
      </c>
      <c r="G117" s="19">
        <f>9546.1-K117+79.9</f>
        <v>6515.8</v>
      </c>
      <c r="H117" s="19">
        <f>7918.6-L117+14.3</f>
        <v>6296.1</v>
      </c>
      <c r="I117" s="19">
        <v>364</v>
      </c>
      <c r="J117" s="19">
        <v>345.4</v>
      </c>
      <c r="K117" s="19">
        <f>45.4+2709.3+30+232.2+27.7+65.6</f>
        <v>3110.2</v>
      </c>
      <c r="L117" s="19">
        <f>45.4+1458.5+30+102.9</f>
        <v>1636.8</v>
      </c>
    </row>
    <row r="118" spans="1:12" ht="47.25" x14ac:dyDescent="0.25">
      <c r="A118" s="12">
        <f t="shared" si="59"/>
        <v>111</v>
      </c>
      <c r="B118" s="6" t="s">
        <v>72</v>
      </c>
      <c r="C118" s="19">
        <f t="shared" si="110"/>
        <v>33.5</v>
      </c>
      <c r="D118" s="19">
        <f t="shared" si="111"/>
        <v>33</v>
      </c>
      <c r="E118" s="19">
        <f t="shared" si="112"/>
        <v>-0.5</v>
      </c>
      <c r="F118" s="19">
        <f t="shared" si="113"/>
        <v>98.5</v>
      </c>
      <c r="G118" s="19">
        <f>7.7+25.8</f>
        <v>33.5</v>
      </c>
      <c r="H118" s="19">
        <f>7.4+25.6</f>
        <v>33</v>
      </c>
      <c r="I118" s="19">
        <v>13.1</v>
      </c>
      <c r="J118" s="19">
        <v>13</v>
      </c>
      <c r="K118" s="19"/>
      <c r="L118" s="19"/>
    </row>
    <row r="119" spans="1:12" ht="31.5" x14ac:dyDescent="0.25">
      <c r="A119" s="12">
        <f t="shared" si="59"/>
        <v>112</v>
      </c>
      <c r="B119" s="7" t="s">
        <v>138</v>
      </c>
      <c r="C119" s="18">
        <f t="shared" si="110"/>
        <v>200.5</v>
      </c>
      <c r="D119" s="18">
        <f t="shared" si="111"/>
        <v>164.5</v>
      </c>
      <c r="E119" s="18">
        <f t="shared" si="112"/>
        <v>-36</v>
      </c>
      <c r="F119" s="18">
        <f t="shared" si="113"/>
        <v>82</v>
      </c>
      <c r="G119" s="18">
        <f>200.5-24.3</f>
        <v>176.2</v>
      </c>
      <c r="H119" s="18">
        <v>164.5</v>
      </c>
      <c r="I119" s="18"/>
      <c r="J119" s="18"/>
      <c r="K119" s="18">
        <v>24.3</v>
      </c>
      <c r="L119" s="18"/>
    </row>
    <row r="120" spans="1:12" ht="15.75" x14ac:dyDescent="0.25">
      <c r="A120" s="12">
        <f t="shared" si="59"/>
        <v>113</v>
      </c>
      <c r="B120" s="7" t="s">
        <v>64</v>
      </c>
      <c r="C120" s="18">
        <f>+C122+C123+C124</f>
        <v>6726.1</v>
      </c>
      <c r="D120" s="18">
        <f t="shared" ref="D120:L120" si="114">+D122+D123+D124</f>
        <v>6256.1</v>
      </c>
      <c r="E120" s="18">
        <f t="shared" si="114"/>
        <v>-470</v>
      </c>
      <c r="F120" s="18">
        <f t="shared" si="113"/>
        <v>93</v>
      </c>
      <c r="G120" s="18">
        <f t="shared" si="114"/>
        <v>4883.2</v>
      </c>
      <c r="H120" s="18">
        <f t="shared" si="114"/>
        <v>4798.3</v>
      </c>
      <c r="I120" s="18">
        <f t="shared" si="114"/>
        <v>0</v>
      </c>
      <c r="J120" s="18">
        <f t="shared" si="114"/>
        <v>0</v>
      </c>
      <c r="K120" s="18">
        <f t="shared" si="114"/>
        <v>1842.9</v>
      </c>
      <c r="L120" s="18">
        <f t="shared" si="114"/>
        <v>1457.8</v>
      </c>
    </row>
    <row r="121" spans="1:12" ht="15.75" x14ac:dyDescent="0.25">
      <c r="A121" s="12">
        <f t="shared" si="59"/>
        <v>114</v>
      </c>
      <c r="B121" s="60" t="s">
        <v>2</v>
      </c>
      <c r="C121" s="19">
        <v>0</v>
      </c>
      <c r="D121" s="19"/>
      <c r="E121" s="19"/>
      <c r="F121" s="19"/>
      <c r="G121" s="19"/>
      <c r="H121" s="19"/>
      <c r="I121" s="19"/>
      <c r="J121" s="19"/>
      <c r="K121" s="19"/>
      <c r="L121" s="19"/>
    </row>
    <row r="122" spans="1:12" ht="31.5" x14ac:dyDescent="0.25">
      <c r="A122" s="12">
        <f t="shared" si="59"/>
        <v>115</v>
      </c>
      <c r="B122" s="6" t="s">
        <v>65</v>
      </c>
      <c r="C122" s="19">
        <f t="shared" ref="C122:C126" si="115">+G122+K122</f>
        <v>6668.7</v>
      </c>
      <c r="D122" s="19">
        <f t="shared" ref="D122:D126" si="116">+H122+L122</f>
        <v>6198.8</v>
      </c>
      <c r="E122" s="19">
        <f t="shared" ref="E122:E126" si="117">+D122-C122</f>
        <v>-469.9</v>
      </c>
      <c r="F122" s="19">
        <f t="shared" ref="F122:F128" si="118">+D122/C122*100</f>
        <v>93</v>
      </c>
      <c r="G122" s="19">
        <f>6668.7-K122</f>
        <v>4875.8</v>
      </c>
      <c r="H122" s="19">
        <f>6198.8-L122</f>
        <v>4791</v>
      </c>
      <c r="I122" s="19"/>
      <c r="J122" s="19"/>
      <c r="K122" s="19">
        <f>294.7+1443.1+49.1+6</f>
        <v>1792.9</v>
      </c>
      <c r="L122" s="19">
        <f>159.4+1199.4+49</f>
        <v>1407.8</v>
      </c>
    </row>
    <row r="123" spans="1:12" ht="63" x14ac:dyDescent="0.25">
      <c r="A123" s="12">
        <f t="shared" si="59"/>
        <v>116</v>
      </c>
      <c r="B123" s="6" t="s">
        <v>195</v>
      </c>
      <c r="C123" s="19">
        <f t="shared" si="115"/>
        <v>50</v>
      </c>
      <c r="D123" s="19">
        <f t="shared" si="116"/>
        <v>50</v>
      </c>
      <c r="E123" s="19">
        <f t="shared" si="117"/>
        <v>0</v>
      </c>
      <c r="F123" s="19">
        <f t="shared" si="118"/>
        <v>100</v>
      </c>
      <c r="G123" s="19"/>
      <c r="H123" s="19"/>
      <c r="I123" s="19"/>
      <c r="J123" s="19"/>
      <c r="K123" s="19">
        <v>50</v>
      </c>
      <c r="L123" s="19">
        <v>50</v>
      </c>
    </row>
    <row r="124" spans="1:12" ht="47.25" x14ac:dyDescent="0.25">
      <c r="A124" s="12">
        <f t="shared" si="59"/>
        <v>117</v>
      </c>
      <c r="B124" s="13" t="s">
        <v>73</v>
      </c>
      <c r="C124" s="19">
        <f t="shared" si="115"/>
        <v>7.4</v>
      </c>
      <c r="D124" s="19">
        <f t="shared" si="116"/>
        <v>7.3</v>
      </c>
      <c r="E124" s="19">
        <f t="shared" si="117"/>
        <v>-0.1</v>
      </c>
      <c r="F124" s="19">
        <f t="shared" si="118"/>
        <v>98.6</v>
      </c>
      <c r="G124" s="19">
        <v>7.4</v>
      </c>
      <c r="H124" s="19">
        <v>7.3</v>
      </c>
      <c r="I124" s="19"/>
      <c r="J124" s="19"/>
      <c r="K124" s="19"/>
      <c r="L124" s="19"/>
    </row>
    <row r="125" spans="1:12" ht="31.5" x14ac:dyDescent="0.25">
      <c r="A125" s="12">
        <f t="shared" si="59"/>
        <v>118</v>
      </c>
      <c r="B125" s="11" t="s">
        <v>116</v>
      </c>
      <c r="C125" s="18">
        <f t="shared" si="115"/>
        <v>157.9</v>
      </c>
      <c r="D125" s="18">
        <f t="shared" si="116"/>
        <v>150.9</v>
      </c>
      <c r="E125" s="18">
        <f t="shared" si="117"/>
        <v>-7</v>
      </c>
      <c r="F125" s="18">
        <f t="shared" si="118"/>
        <v>95.6</v>
      </c>
      <c r="G125" s="18">
        <v>157.9</v>
      </c>
      <c r="H125" s="18">
        <v>150.9</v>
      </c>
      <c r="I125" s="18"/>
      <c r="J125" s="18"/>
      <c r="K125" s="18"/>
      <c r="L125" s="18"/>
    </row>
    <row r="126" spans="1:12" ht="31.5" x14ac:dyDescent="0.25">
      <c r="A126" s="12">
        <f t="shared" si="59"/>
        <v>119</v>
      </c>
      <c r="B126" s="7" t="s">
        <v>56</v>
      </c>
      <c r="C126" s="18">
        <f t="shared" si="115"/>
        <v>168.9</v>
      </c>
      <c r="D126" s="18">
        <f t="shared" si="116"/>
        <v>168.6</v>
      </c>
      <c r="E126" s="18">
        <f t="shared" si="117"/>
        <v>-0.3</v>
      </c>
      <c r="F126" s="18">
        <f t="shared" si="118"/>
        <v>99.8</v>
      </c>
      <c r="G126" s="18">
        <f>168.9-K126</f>
        <v>143.1</v>
      </c>
      <c r="H126" s="18">
        <f>168.6-L126</f>
        <v>142.80000000000001</v>
      </c>
      <c r="I126" s="18"/>
      <c r="J126" s="18"/>
      <c r="K126" s="18">
        <v>25.8</v>
      </c>
      <c r="L126" s="18">
        <v>25.8</v>
      </c>
    </row>
    <row r="127" spans="1:12" ht="15.75" x14ac:dyDescent="0.25">
      <c r="A127" s="12">
        <f t="shared" si="59"/>
        <v>120</v>
      </c>
      <c r="B127" s="7" t="s">
        <v>5</v>
      </c>
      <c r="C127" s="18">
        <f>+C128+C132+C142</f>
        <v>88310.9</v>
      </c>
      <c r="D127" s="18">
        <f t="shared" ref="D127:E127" si="119">+D128+D132+D142</f>
        <v>86388.3</v>
      </c>
      <c r="E127" s="18">
        <f t="shared" si="119"/>
        <v>-1922.6</v>
      </c>
      <c r="F127" s="18">
        <f t="shared" si="118"/>
        <v>97.8</v>
      </c>
      <c r="G127" s="18">
        <f t="shared" ref="G127" si="120">+G128+G132+G142</f>
        <v>87401.5</v>
      </c>
      <c r="H127" s="18">
        <f t="shared" ref="H127" si="121">+H128+H132+H142</f>
        <v>85576.6</v>
      </c>
      <c r="I127" s="18">
        <f t="shared" ref="I127" si="122">+I128+I132+I142</f>
        <v>53686.400000000001</v>
      </c>
      <c r="J127" s="18">
        <f t="shared" ref="J127" si="123">+J128+J132+J142</f>
        <v>53072.7</v>
      </c>
      <c r="K127" s="18">
        <f t="shared" ref="K127" si="124">+K128+K132+K142</f>
        <v>909.4</v>
      </c>
      <c r="L127" s="18">
        <f t="shared" ref="L127" si="125">+L128+L132+L142</f>
        <v>811.7</v>
      </c>
    </row>
    <row r="128" spans="1:12" ht="15.75" x14ac:dyDescent="0.25">
      <c r="A128" s="12">
        <f t="shared" si="59"/>
        <v>121</v>
      </c>
      <c r="B128" s="7" t="s">
        <v>140</v>
      </c>
      <c r="C128" s="18">
        <f>+C130+C131</f>
        <v>6995</v>
      </c>
      <c r="D128" s="18">
        <f t="shared" ref="D128:L128" si="126">+D130+D131</f>
        <v>6780.4</v>
      </c>
      <c r="E128" s="18">
        <f t="shared" si="126"/>
        <v>-214.6</v>
      </c>
      <c r="F128" s="18">
        <f t="shared" si="118"/>
        <v>96.9</v>
      </c>
      <c r="G128" s="18">
        <f t="shared" si="126"/>
        <v>6737.3</v>
      </c>
      <c r="H128" s="18">
        <f t="shared" si="126"/>
        <v>6598.8</v>
      </c>
      <c r="I128" s="18">
        <f t="shared" si="126"/>
        <v>2402.4</v>
      </c>
      <c r="J128" s="18">
        <f t="shared" si="126"/>
        <v>2394.9</v>
      </c>
      <c r="K128" s="18">
        <f t="shared" si="126"/>
        <v>257.7</v>
      </c>
      <c r="L128" s="18">
        <f t="shared" si="126"/>
        <v>181.6</v>
      </c>
    </row>
    <row r="129" spans="1:12" ht="15.75" x14ac:dyDescent="0.25">
      <c r="A129" s="12">
        <f t="shared" si="59"/>
        <v>122</v>
      </c>
      <c r="B129" s="60" t="s">
        <v>2</v>
      </c>
      <c r="C129" s="19">
        <v>0</v>
      </c>
      <c r="D129" s="19"/>
      <c r="E129" s="19"/>
      <c r="F129" s="19"/>
      <c r="G129" s="19"/>
      <c r="H129" s="19"/>
      <c r="I129" s="19"/>
      <c r="J129" s="19"/>
      <c r="K129" s="19"/>
      <c r="L129" s="19"/>
    </row>
    <row r="130" spans="1:12" ht="31.5" x14ac:dyDescent="0.25">
      <c r="A130" s="12">
        <f t="shared" si="59"/>
        <v>123</v>
      </c>
      <c r="B130" s="6" t="s">
        <v>139</v>
      </c>
      <c r="C130" s="19">
        <f t="shared" ref="C130:C131" si="127">+G130+K130</f>
        <v>6561.1</v>
      </c>
      <c r="D130" s="19">
        <f t="shared" ref="D130:D131" si="128">+H130+L130</f>
        <v>6377.9</v>
      </c>
      <c r="E130" s="19">
        <f t="shared" ref="E130:E131" si="129">+D130-C130</f>
        <v>-183.2</v>
      </c>
      <c r="F130" s="19">
        <f t="shared" ref="F130:F132" si="130">+D130/C130*100</f>
        <v>97.2</v>
      </c>
      <c r="G130" s="19">
        <f>6338.4-K130+222.7</f>
        <v>6311.5</v>
      </c>
      <c r="H130" s="19">
        <f>6155.2-L130+222.7</f>
        <v>6204.4</v>
      </c>
      <c r="I130" s="19">
        <v>2390.5</v>
      </c>
      <c r="J130" s="19">
        <v>2390.5</v>
      </c>
      <c r="K130" s="19">
        <f>178.3+1.5+14.6+48.2+7</f>
        <v>249.6</v>
      </c>
      <c r="L130" s="19">
        <f>104.5+1.5+12.3+48.2+7</f>
        <v>173.5</v>
      </c>
    </row>
    <row r="131" spans="1:12" ht="31.5" x14ac:dyDescent="0.25">
      <c r="A131" s="12">
        <f t="shared" si="59"/>
        <v>124</v>
      </c>
      <c r="B131" s="6" t="s">
        <v>141</v>
      </c>
      <c r="C131" s="19">
        <f t="shared" si="127"/>
        <v>433.9</v>
      </c>
      <c r="D131" s="19">
        <f t="shared" si="128"/>
        <v>402.5</v>
      </c>
      <c r="E131" s="19">
        <f t="shared" si="129"/>
        <v>-31.4</v>
      </c>
      <c r="F131" s="19">
        <f t="shared" si="130"/>
        <v>92.8</v>
      </c>
      <c r="G131" s="19">
        <f>370.2+60.4-K131+3.3</f>
        <v>425.8</v>
      </c>
      <c r="H131" s="19">
        <f>56.2+346.3-L131</f>
        <v>394.4</v>
      </c>
      <c r="I131" s="19">
        <v>11.9</v>
      </c>
      <c r="J131" s="19">
        <v>4.4000000000000004</v>
      </c>
      <c r="K131" s="19">
        <f>4.3+3.8</f>
        <v>8.1</v>
      </c>
      <c r="L131" s="19">
        <v>8.1</v>
      </c>
    </row>
    <row r="132" spans="1:12" ht="15.75" x14ac:dyDescent="0.25">
      <c r="A132" s="12">
        <f t="shared" si="59"/>
        <v>125</v>
      </c>
      <c r="B132" s="7" t="s">
        <v>74</v>
      </c>
      <c r="C132" s="18">
        <f>+C134+C135+C136+C137+C138+C139+C140+C141</f>
        <v>74152.7</v>
      </c>
      <c r="D132" s="18">
        <f t="shared" ref="D132:L132" si="131">+D134+D135+D136+D137+D138+D139+D140+D141</f>
        <v>72682.5</v>
      </c>
      <c r="E132" s="18">
        <f t="shared" si="131"/>
        <v>-1470.2</v>
      </c>
      <c r="F132" s="18">
        <f t="shared" si="130"/>
        <v>98</v>
      </c>
      <c r="G132" s="18">
        <f t="shared" si="131"/>
        <v>73784.899999999994</v>
      </c>
      <c r="H132" s="18">
        <f t="shared" si="131"/>
        <v>72316.899999999994</v>
      </c>
      <c r="I132" s="18">
        <f t="shared" si="131"/>
        <v>48831.4</v>
      </c>
      <c r="J132" s="18">
        <f t="shared" si="131"/>
        <v>48240.1</v>
      </c>
      <c r="K132" s="18">
        <f t="shared" si="131"/>
        <v>367.8</v>
      </c>
      <c r="L132" s="18">
        <f t="shared" si="131"/>
        <v>365.6</v>
      </c>
    </row>
    <row r="133" spans="1:12" ht="15.75" x14ac:dyDescent="0.25">
      <c r="A133" s="12">
        <f t="shared" si="59"/>
        <v>126</v>
      </c>
      <c r="B133" s="60" t="s">
        <v>2</v>
      </c>
      <c r="C133" s="19">
        <v>0</v>
      </c>
      <c r="D133" s="19"/>
      <c r="E133" s="19"/>
      <c r="F133" s="19"/>
      <c r="G133" s="19"/>
      <c r="H133" s="19"/>
      <c r="I133" s="19"/>
      <c r="J133" s="19"/>
      <c r="K133" s="19"/>
      <c r="L133" s="19"/>
    </row>
    <row r="134" spans="1:12" ht="31.5" x14ac:dyDescent="0.25">
      <c r="A134" s="12">
        <f t="shared" si="59"/>
        <v>127</v>
      </c>
      <c r="B134" s="11" t="s">
        <v>75</v>
      </c>
      <c r="C134" s="19">
        <f t="shared" ref="C134:C141" si="132">+G134+K134</f>
        <v>30300.9</v>
      </c>
      <c r="D134" s="19">
        <f t="shared" ref="D134:D141" si="133">+H134+L134</f>
        <v>30155.7</v>
      </c>
      <c r="E134" s="19">
        <f t="shared" ref="E134:E141" si="134">+D134-C134</f>
        <v>-145.19999999999999</v>
      </c>
      <c r="F134" s="19">
        <f t="shared" ref="F134:F142" si="135">+D134/C134*100</f>
        <v>99.5</v>
      </c>
      <c r="G134" s="19">
        <f>30300.9-K134</f>
        <v>30013.1</v>
      </c>
      <c r="H134" s="19">
        <f>30155.7-L134</f>
        <v>29868</v>
      </c>
      <c r="I134" s="19">
        <v>19914.099999999999</v>
      </c>
      <c r="J134" s="19">
        <v>19873.3</v>
      </c>
      <c r="K134" s="19">
        <f>48.2+65+174.6</f>
        <v>287.8</v>
      </c>
      <c r="L134" s="19">
        <f>48.2+65+174.5</f>
        <v>287.7</v>
      </c>
    </row>
    <row r="135" spans="1:12" ht="31.5" x14ac:dyDescent="0.25">
      <c r="A135" s="12">
        <f t="shared" si="59"/>
        <v>128</v>
      </c>
      <c r="B135" s="6" t="s">
        <v>77</v>
      </c>
      <c r="C135" s="19">
        <f t="shared" si="132"/>
        <v>5540</v>
      </c>
      <c r="D135" s="19">
        <f t="shared" si="133"/>
        <v>4836.3</v>
      </c>
      <c r="E135" s="19">
        <f t="shared" si="134"/>
        <v>-703.7</v>
      </c>
      <c r="F135" s="19">
        <f t="shared" si="135"/>
        <v>87.3</v>
      </c>
      <c r="G135" s="19">
        <f>217.8+498.8-K135+4050.9+710.7+61.8</f>
        <v>5487.2</v>
      </c>
      <c r="H135" s="19">
        <f>173.5+450.6-L135+3623.4+535.7+53.1</f>
        <v>4785.6000000000004</v>
      </c>
      <c r="I135" s="19">
        <f>8+117.5+737+249.5</f>
        <v>1112</v>
      </c>
      <c r="J135" s="19">
        <f>112.9+6.4+711.6+201.4</f>
        <v>1032.3</v>
      </c>
      <c r="K135" s="19">
        <f>1.8+2.2+48.8</f>
        <v>52.8</v>
      </c>
      <c r="L135" s="19">
        <f>1.7+2.2+46.8</f>
        <v>50.7</v>
      </c>
    </row>
    <row r="136" spans="1:12" ht="47.25" x14ac:dyDescent="0.25">
      <c r="A136" s="12">
        <f t="shared" si="59"/>
        <v>129</v>
      </c>
      <c r="B136" s="6" t="s">
        <v>170</v>
      </c>
      <c r="C136" s="19">
        <f t="shared" si="132"/>
        <v>36644.699999999997</v>
      </c>
      <c r="D136" s="19">
        <f t="shared" si="133"/>
        <v>36035</v>
      </c>
      <c r="E136" s="19">
        <f t="shared" si="134"/>
        <v>-609.70000000000005</v>
      </c>
      <c r="F136" s="19">
        <f t="shared" si="135"/>
        <v>98.3</v>
      </c>
      <c r="G136" s="19">
        <f>36644.7-K136</f>
        <v>36617.5</v>
      </c>
      <c r="H136" s="19">
        <f>36035-L136</f>
        <v>36007.800000000003</v>
      </c>
      <c r="I136" s="19">
        <v>27140.400000000001</v>
      </c>
      <c r="J136" s="19">
        <v>26676.799999999999</v>
      </c>
      <c r="K136" s="19">
        <f>26.3+0.9</f>
        <v>27.2</v>
      </c>
      <c r="L136" s="19">
        <f>26.3+0.9</f>
        <v>27.2</v>
      </c>
    </row>
    <row r="137" spans="1:12" ht="47.25" x14ac:dyDescent="0.25">
      <c r="A137" s="12">
        <f t="shared" si="59"/>
        <v>130</v>
      </c>
      <c r="B137" s="6" t="s">
        <v>199</v>
      </c>
      <c r="C137" s="19">
        <f t="shared" si="132"/>
        <v>480.2</v>
      </c>
      <c r="D137" s="19">
        <f t="shared" si="133"/>
        <v>476.3</v>
      </c>
      <c r="E137" s="19">
        <f t="shared" si="134"/>
        <v>-3.9</v>
      </c>
      <c r="F137" s="19">
        <f t="shared" si="135"/>
        <v>99.2</v>
      </c>
      <c r="G137" s="19">
        <v>480.2</v>
      </c>
      <c r="H137" s="19">
        <v>476.3</v>
      </c>
      <c r="I137" s="19">
        <v>4.5999999999999996</v>
      </c>
      <c r="J137" s="19">
        <v>2.6</v>
      </c>
      <c r="K137" s="19"/>
      <c r="L137" s="19"/>
    </row>
    <row r="138" spans="1:12" ht="63" x14ac:dyDescent="0.25">
      <c r="A138" s="12">
        <f t="shared" ref="A138:A174" si="136">+A137+1</f>
        <v>131</v>
      </c>
      <c r="B138" s="6" t="s">
        <v>196</v>
      </c>
      <c r="C138" s="19">
        <f t="shared" si="132"/>
        <v>132.1</v>
      </c>
      <c r="D138" s="19">
        <f t="shared" si="133"/>
        <v>130.69999999999999</v>
      </c>
      <c r="E138" s="19">
        <f t="shared" si="134"/>
        <v>-1.4</v>
      </c>
      <c r="F138" s="19">
        <f t="shared" si="135"/>
        <v>98.9</v>
      </c>
      <c r="G138" s="19">
        <v>132.1</v>
      </c>
      <c r="H138" s="19">
        <v>130.69999999999999</v>
      </c>
      <c r="I138" s="19">
        <v>100.7</v>
      </c>
      <c r="J138" s="19">
        <v>100</v>
      </c>
      <c r="K138" s="19"/>
      <c r="L138" s="19"/>
    </row>
    <row r="139" spans="1:12" ht="31.5" x14ac:dyDescent="0.25">
      <c r="A139" s="12">
        <f t="shared" si="136"/>
        <v>132</v>
      </c>
      <c r="B139" s="6" t="s">
        <v>240</v>
      </c>
      <c r="C139" s="19">
        <f t="shared" si="132"/>
        <v>71.7</v>
      </c>
      <c r="D139" s="19">
        <f t="shared" si="133"/>
        <v>71.7</v>
      </c>
      <c r="E139" s="19">
        <f t="shared" si="134"/>
        <v>0</v>
      </c>
      <c r="F139" s="19">
        <f t="shared" si="135"/>
        <v>100</v>
      </c>
      <c r="G139" s="19">
        <v>71.7</v>
      </c>
      <c r="H139" s="19">
        <v>71.7</v>
      </c>
      <c r="I139" s="19">
        <v>55</v>
      </c>
      <c r="J139" s="19">
        <v>55</v>
      </c>
      <c r="K139" s="19"/>
      <c r="L139" s="19"/>
    </row>
    <row r="140" spans="1:12" ht="47.25" x14ac:dyDescent="0.25">
      <c r="A140" s="12">
        <f t="shared" si="136"/>
        <v>133</v>
      </c>
      <c r="B140" s="13" t="s">
        <v>73</v>
      </c>
      <c r="C140" s="19">
        <f t="shared" si="132"/>
        <v>980.6</v>
      </c>
      <c r="D140" s="19">
        <f t="shared" si="133"/>
        <v>974.3</v>
      </c>
      <c r="E140" s="19">
        <f t="shared" si="134"/>
        <v>-6.3</v>
      </c>
      <c r="F140" s="19">
        <f t="shared" si="135"/>
        <v>99.4</v>
      </c>
      <c r="G140" s="19">
        <f>983.1-2.5</f>
        <v>980.6</v>
      </c>
      <c r="H140" s="19">
        <f>976.8-2.5</f>
        <v>974.3</v>
      </c>
      <c r="I140" s="19">
        <v>504.6</v>
      </c>
      <c r="J140" s="19">
        <v>500.1</v>
      </c>
      <c r="K140" s="19"/>
      <c r="L140" s="19"/>
    </row>
    <row r="141" spans="1:12" ht="63" x14ac:dyDescent="0.25">
      <c r="A141" s="12">
        <f t="shared" si="136"/>
        <v>134</v>
      </c>
      <c r="B141" s="13" t="s">
        <v>76</v>
      </c>
      <c r="C141" s="19">
        <f t="shared" si="132"/>
        <v>2.5</v>
      </c>
      <c r="D141" s="19">
        <f t="shared" si="133"/>
        <v>2.5</v>
      </c>
      <c r="E141" s="19">
        <f t="shared" si="134"/>
        <v>0</v>
      </c>
      <c r="F141" s="19">
        <f t="shared" si="135"/>
        <v>100</v>
      </c>
      <c r="G141" s="19">
        <v>2.5</v>
      </c>
      <c r="H141" s="19">
        <v>2.5</v>
      </c>
      <c r="I141" s="19"/>
      <c r="J141" s="19"/>
      <c r="K141" s="19"/>
      <c r="L141" s="19"/>
    </row>
    <row r="142" spans="1:12" ht="15.75" x14ac:dyDescent="0.25">
      <c r="A142" s="12">
        <f t="shared" si="136"/>
        <v>135</v>
      </c>
      <c r="B142" s="10" t="s">
        <v>78</v>
      </c>
      <c r="C142" s="18">
        <f>+C144+C145</f>
        <v>7163.2</v>
      </c>
      <c r="D142" s="18">
        <f t="shared" ref="D142:L142" si="137">+D144+D145</f>
        <v>6925.4</v>
      </c>
      <c r="E142" s="18">
        <f t="shared" si="137"/>
        <v>-237.8</v>
      </c>
      <c r="F142" s="18">
        <f t="shared" si="135"/>
        <v>96.7</v>
      </c>
      <c r="G142" s="18">
        <f t="shared" si="137"/>
        <v>6879.3</v>
      </c>
      <c r="H142" s="18">
        <f t="shared" si="137"/>
        <v>6660.9</v>
      </c>
      <c r="I142" s="18">
        <f t="shared" si="137"/>
        <v>2452.6</v>
      </c>
      <c r="J142" s="18">
        <f t="shared" si="137"/>
        <v>2437.6999999999998</v>
      </c>
      <c r="K142" s="18">
        <f t="shared" si="137"/>
        <v>283.89999999999998</v>
      </c>
      <c r="L142" s="18">
        <f t="shared" si="137"/>
        <v>264.5</v>
      </c>
    </row>
    <row r="143" spans="1:12" ht="15.75" x14ac:dyDescent="0.25">
      <c r="A143" s="12">
        <f t="shared" si="136"/>
        <v>136</v>
      </c>
      <c r="B143" s="60" t="s">
        <v>2</v>
      </c>
      <c r="C143" s="19">
        <v>0</v>
      </c>
      <c r="D143" s="19"/>
      <c r="E143" s="19"/>
      <c r="F143" s="19"/>
      <c r="G143" s="19"/>
      <c r="H143" s="19"/>
      <c r="I143" s="19"/>
      <c r="J143" s="19"/>
      <c r="K143" s="19"/>
      <c r="L143" s="19"/>
    </row>
    <row r="144" spans="1:12" ht="31.5" x14ac:dyDescent="0.25">
      <c r="A144" s="12">
        <f t="shared" si="136"/>
        <v>137</v>
      </c>
      <c r="B144" s="11" t="s">
        <v>79</v>
      </c>
      <c r="C144" s="19">
        <f t="shared" ref="C144:C145" si="138">+G144+K144</f>
        <v>6801.8</v>
      </c>
      <c r="D144" s="19">
        <f t="shared" ref="D144:D145" si="139">+H144+L144</f>
        <v>6662.5</v>
      </c>
      <c r="E144" s="19">
        <f t="shared" ref="E144:E145" si="140">+D144-C144</f>
        <v>-139.30000000000001</v>
      </c>
      <c r="F144" s="19">
        <f t="shared" ref="F144:F147" si="141">+D144/C144*100</f>
        <v>98</v>
      </c>
      <c r="G144" s="19">
        <f>6801.8-K144</f>
        <v>6540.3</v>
      </c>
      <c r="H144" s="19">
        <f>6662.5-L144</f>
        <v>6420.2</v>
      </c>
      <c r="I144" s="19">
        <v>2452.6</v>
      </c>
      <c r="J144" s="19">
        <v>2437.6999999999998</v>
      </c>
      <c r="K144" s="19">
        <f>133.3+23.8+86+18.4</f>
        <v>261.5</v>
      </c>
      <c r="L144" s="19">
        <f>133.3+4.6+86+18.4</f>
        <v>242.3</v>
      </c>
    </row>
    <row r="145" spans="1:12" ht="31.5" x14ac:dyDescent="0.25">
      <c r="A145" s="12">
        <f t="shared" si="136"/>
        <v>138</v>
      </c>
      <c r="B145" s="6" t="s">
        <v>80</v>
      </c>
      <c r="C145" s="19">
        <f t="shared" si="138"/>
        <v>361.4</v>
      </c>
      <c r="D145" s="19">
        <f t="shared" si="139"/>
        <v>262.89999999999998</v>
      </c>
      <c r="E145" s="19">
        <f t="shared" si="140"/>
        <v>-98.5</v>
      </c>
      <c r="F145" s="19">
        <f t="shared" si="141"/>
        <v>72.7</v>
      </c>
      <c r="G145" s="19">
        <f>10.4-K145+248.8+102.2</f>
        <v>339</v>
      </c>
      <c r="H145" s="19">
        <f>4.3-L145+192.4+66.2</f>
        <v>240.7</v>
      </c>
      <c r="I145" s="19"/>
      <c r="J145" s="19"/>
      <c r="K145" s="19">
        <f>0.6+21.6+0.2</f>
        <v>22.4</v>
      </c>
      <c r="L145" s="19">
        <f>0.6+21.5+0.1</f>
        <v>22.2</v>
      </c>
    </row>
    <row r="146" spans="1:12" ht="15.75" x14ac:dyDescent="0.25">
      <c r="A146" s="12">
        <f t="shared" si="136"/>
        <v>139</v>
      </c>
      <c r="B146" s="7" t="s">
        <v>6</v>
      </c>
      <c r="C146" s="18">
        <f>+C147+C161+C173</f>
        <v>19545</v>
      </c>
      <c r="D146" s="18">
        <f t="shared" ref="D146:E146" si="142">+D147+D161+D173</f>
        <v>16964</v>
      </c>
      <c r="E146" s="18">
        <f t="shared" si="142"/>
        <v>-2581</v>
      </c>
      <c r="F146" s="18">
        <f t="shared" si="141"/>
        <v>86.8</v>
      </c>
      <c r="G146" s="18">
        <f t="shared" ref="G146" si="143">+G147+G161+G173</f>
        <v>19203.7</v>
      </c>
      <c r="H146" s="18">
        <f t="shared" ref="H146" si="144">+H147+H161+H173</f>
        <v>16707.3</v>
      </c>
      <c r="I146" s="18">
        <f t="shared" ref="I146" si="145">+I147+I161+I173</f>
        <v>5896.2</v>
      </c>
      <c r="J146" s="18">
        <f t="shared" ref="J146" si="146">+J147+J161+J173</f>
        <v>5800.2</v>
      </c>
      <c r="K146" s="18">
        <f t="shared" ref="K146" si="147">+K147+K161+K173</f>
        <v>341.3</v>
      </c>
      <c r="L146" s="18">
        <f t="shared" ref="L146" si="148">+L147+L161+L173</f>
        <v>256.7</v>
      </c>
    </row>
    <row r="147" spans="1:12" ht="15.75" x14ac:dyDescent="0.25">
      <c r="A147" s="12">
        <f t="shared" si="136"/>
        <v>140</v>
      </c>
      <c r="B147" s="7" t="s">
        <v>81</v>
      </c>
      <c r="C147" s="18">
        <f>+C149+C150+C151+C152+C153+C160</f>
        <v>17011.2</v>
      </c>
      <c r="D147" s="18">
        <f t="shared" ref="D147:L147" si="149">+D149+D150+D151+D152+D153+D160</f>
        <v>14605</v>
      </c>
      <c r="E147" s="18">
        <f t="shared" si="149"/>
        <v>-2406.1999999999998</v>
      </c>
      <c r="F147" s="18">
        <f t="shared" si="141"/>
        <v>85.9</v>
      </c>
      <c r="G147" s="18">
        <f t="shared" si="149"/>
        <v>16832</v>
      </c>
      <c r="H147" s="18">
        <f t="shared" si="149"/>
        <v>14458.8</v>
      </c>
      <c r="I147" s="18">
        <f t="shared" si="149"/>
        <v>4575.1000000000004</v>
      </c>
      <c r="J147" s="18">
        <f t="shared" si="149"/>
        <v>4486.7</v>
      </c>
      <c r="K147" s="18">
        <f t="shared" si="149"/>
        <v>179.2</v>
      </c>
      <c r="L147" s="18">
        <f t="shared" si="149"/>
        <v>146.19999999999999</v>
      </c>
    </row>
    <row r="148" spans="1:12" ht="15.75" x14ac:dyDescent="0.25">
      <c r="A148" s="12">
        <f t="shared" si="136"/>
        <v>141</v>
      </c>
      <c r="B148" s="60" t="s">
        <v>2</v>
      </c>
      <c r="C148" s="19">
        <v>0</v>
      </c>
      <c r="D148" s="19"/>
      <c r="E148" s="19"/>
      <c r="F148" s="19"/>
      <c r="G148" s="19"/>
      <c r="H148" s="19"/>
      <c r="I148" s="19"/>
      <c r="J148" s="19"/>
      <c r="K148" s="19"/>
      <c r="L148" s="19"/>
    </row>
    <row r="149" spans="1:12" ht="31.5" x14ac:dyDescent="0.25">
      <c r="A149" s="12">
        <f t="shared" si="136"/>
        <v>142</v>
      </c>
      <c r="B149" s="11" t="s">
        <v>68</v>
      </c>
      <c r="C149" s="19">
        <f t="shared" ref="C149:C152" si="150">+G149+K149</f>
        <v>9054.2000000000007</v>
      </c>
      <c r="D149" s="19">
        <f t="shared" ref="D149:D152" si="151">+H149+L149</f>
        <v>8126.1</v>
      </c>
      <c r="E149" s="19">
        <f t="shared" ref="E149:E152" si="152">+D149-C149</f>
        <v>-928.1</v>
      </c>
      <c r="F149" s="19">
        <f t="shared" ref="F149:F153" si="153">+D149/C149*100</f>
        <v>89.7</v>
      </c>
      <c r="G149" s="19">
        <f>9054.2-K149</f>
        <v>8909.7999999999993</v>
      </c>
      <c r="H149" s="19">
        <f>8126.1-L149</f>
        <v>7991.5</v>
      </c>
      <c r="I149" s="19">
        <v>2809.4</v>
      </c>
      <c r="J149" s="19">
        <v>2766.8</v>
      </c>
      <c r="K149" s="19">
        <f>102.2+33+6.7+2.5</f>
        <v>144.4</v>
      </c>
      <c r="L149" s="19">
        <f>101.9+26.1+4.1+2.5</f>
        <v>134.6</v>
      </c>
    </row>
    <row r="150" spans="1:12" ht="31.5" x14ac:dyDescent="0.25">
      <c r="A150" s="12">
        <f t="shared" si="136"/>
        <v>143</v>
      </c>
      <c r="B150" s="13" t="s">
        <v>85</v>
      </c>
      <c r="C150" s="19">
        <f t="shared" si="150"/>
        <v>668.3</v>
      </c>
      <c r="D150" s="19">
        <f t="shared" si="151"/>
        <v>625.79999999999995</v>
      </c>
      <c r="E150" s="19">
        <f t="shared" si="152"/>
        <v>-42.5</v>
      </c>
      <c r="F150" s="19">
        <f t="shared" si="153"/>
        <v>93.6</v>
      </c>
      <c r="G150" s="19">
        <f>142.9-K150+525.4</f>
        <v>657.6</v>
      </c>
      <c r="H150" s="19">
        <f>141.5+484.3-L150</f>
        <v>615.29999999999995</v>
      </c>
      <c r="I150" s="19">
        <f>37.3+85.1</f>
        <v>122.4</v>
      </c>
      <c r="J150" s="19">
        <f>37.1+83.2</f>
        <v>120.3</v>
      </c>
      <c r="K150" s="19">
        <f>4.9+5.8</f>
        <v>10.7</v>
      </c>
      <c r="L150" s="19">
        <f>5.7+4.8</f>
        <v>10.5</v>
      </c>
    </row>
    <row r="151" spans="1:12" ht="47.25" x14ac:dyDescent="0.25">
      <c r="A151" s="12">
        <f t="shared" si="136"/>
        <v>144</v>
      </c>
      <c r="B151" s="6" t="s">
        <v>86</v>
      </c>
      <c r="C151" s="19">
        <f t="shared" si="150"/>
        <v>1150</v>
      </c>
      <c r="D151" s="19">
        <f t="shared" si="151"/>
        <v>514.5</v>
      </c>
      <c r="E151" s="19">
        <f t="shared" si="152"/>
        <v>-635.5</v>
      </c>
      <c r="F151" s="19">
        <f t="shared" si="153"/>
        <v>44.7</v>
      </c>
      <c r="G151" s="19">
        <f>1150-K151</f>
        <v>1127</v>
      </c>
      <c r="H151" s="19">
        <f>514.5-L151</f>
        <v>514.20000000000005</v>
      </c>
      <c r="I151" s="19"/>
      <c r="J151" s="19"/>
      <c r="K151" s="19">
        <f>22.6+0.4</f>
        <v>23</v>
      </c>
      <c r="L151" s="19">
        <v>0.3</v>
      </c>
    </row>
    <row r="152" spans="1:12" ht="47.25" x14ac:dyDescent="0.25">
      <c r="A152" s="12">
        <f t="shared" si="136"/>
        <v>145</v>
      </c>
      <c r="B152" s="6" t="s">
        <v>198</v>
      </c>
      <c r="C152" s="19">
        <f t="shared" si="150"/>
        <v>644.1</v>
      </c>
      <c r="D152" s="19">
        <f t="shared" si="151"/>
        <v>338</v>
      </c>
      <c r="E152" s="19">
        <f t="shared" si="152"/>
        <v>-306.10000000000002</v>
      </c>
      <c r="F152" s="19">
        <f t="shared" si="153"/>
        <v>52.5</v>
      </c>
      <c r="G152" s="19">
        <f>505.6+129.6+8.9-K152</f>
        <v>643</v>
      </c>
      <c r="H152" s="19">
        <f>7-L152+92.6+238.4</f>
        <v>337.2</v>
      </c>
      <c r="I152" s="19">
        <f>2.3+8.1+18</f>
        <v>28.4</v>
      </c>
      <c r="J152" s="19">
        <f>16.5+7.4+2.3</f>
        <v>26.2</v>
      </c>
      <c r="K152" s="19">
        <f>0.7+0.4</f>
        <v>1.1000000000000001</v>
      </c>
      <c r="L152" s="19">
        <f>0.5+0.3</f>
        <v>0.8</v>
      </c>
    </row>
    <row r="153" spans="1:12" ht="63" x14ac:dyDescent="0.25">
      <c r="A153" s="12">
        <f t="shared" si="136"/>
        <v>146</v>
      </c>
      <c r="B153" s="13" t="s">
        <v>82</v>
      </c>
      <c r="C153" s="19">
        <f>SUM(C155:C159)</f>
        <v>5249.2</v>
      </c>
      <c r="D153" s="19">
        <f t="shared" ref="D153:L153" si="154">SUM(D155:D159)</f>
        <v>4757.6000000000004</v>
      </c>
      <c r="E153" s="19">
        <f t="shared" si="154"/>
        <v>-491.6</v>
      </c>
      <c r="F153" s="19">
        <f t="shared" si="153"/>
        <v>90.6</v>
      </c>
      <c r="G153" s="19">
        <f t="shared" si="154"/>
        <v>5249.2</v>
      </c>
      <c r="H153" s="19">
        <f t="shared" si="154"/>
        <v>4757.6000000000004</v>
      </c>
      <c r="I153" s="19">
        <f t="shared" si="154"/>
        <v>1438</v>
      </c>
      <c r="J153" s="19">
        <f t="shared" si="154"/>
        <v>1398.6</v>
      </c>
      <c r="K153" s="19">
        <f t="shared" si="154"/>
        <v>0</v>
      </c>
      <c r="L153" s="19">
        <f t="shared" si="154"/>
        <v>0</v>
      </c>
    </row>
    <row r="154" spans="1:12" ht="15.75" x14ac:dyDescent="0.25">
      <c r="A154" s="12">
        <f t="shared" si="136"/>
        <v>147</v>
      </c>
      <c r="B154" s="60" t="s">
        <v>2</v>
      </c>
      <c r="C154" s="19">
        <v>0</v>
      </c>
      <c r="D154" s="19"/>
      <c r="E154" s="19"/>
      <c r="F154" s="19"/>
      <c r="G154" s="19"/>
      <c r="H154" s="19"/>
      <c r="I154" s="19"/>
      <c r="J154" s="19"/>
      <c r="K154" s="19"/>
      <c r="L154" s="19"/>
    </row>
    <row r="155" spans="1:12" ht="15.75" x14ac:dyDescent="0.25">
      <c r="A155" s="12">
        <f t="shared" si="136"/>
        <v>148</v>
      </c>
      <c r="B155" s="6" t="s">
        <v>24</v>
      </c>
      <c r="C155" s="19">
        <f t="shared" ref="C155:C160" si="155">+G155+K155</f>
        <v>3865.3</v>
      </c>
      <c r="D155" s="19">
        <f t="shared" ref="D155:D160" si="156">+H155+L155</f>
        <v>3595.8</v>
      </c>
      <c r="E155" s="19">
        <f t="shared" ref="E155:E160" si="157">+D155-C155</f>
        <v>-269.5</v>
      </c>
      <c r="F155" s="19">
        <f t="shared" ref="F155:F161" si="158">+D155/C155*100</f>
        <v>93</v>
      </c>
      <c r="G155" s="19">
        <v>3865.3</v>
      </c>
      <c r="H155" s="19">
        <v>3595.8</v>
      </c>
      <c r="I155" s="19">
        <v>1438</v>
      </c>
      <c r="J155" s="19">
        <v>1398.6</v>
      </c>
      <c r="K155" s="19"/>
      <c r="L155" s="19"/>
    </row>
    <row r="156" spans="1:12" ht="31.5" x14ac:dyDescent="0.25">
      <c r="A156" s="12">
        <f t="shared" si="136"/>
        <v>149</v>
      </c>
      <c r="B156" s="6" t="s">
        <v>83</v>
      </c>
      <c r="C156" s="19">
        <f t="shared" si="155"/>
        <v>705.7</v>
      </c>
      <c r="D156" s="19">
        <f t="shared" si="156"/>
        <v>612.20000000000005</v>
      </c>
      <c r="E156" s="19">
        <f t="shared" si="157"/>
        <v>-93.5</v>
      </c>
      <c r="F156" s="19">
        <f t="shared" si="158"/>
        <v>86.8</v>
      </c>
      <c r="G156" s="19">
        <v>705.7</v>
      </c>
      <c r="H156" s="19">
        <v>612.20000000000005</v>
      </c>
      <c r="I156" s="19"/>
      <c r="J156" s="19"/>
      <c r="K156" s="19"/>
      <c r="L156" s="19"/>
    </row>
    <row r="157" spans="1:12" ht="15.75" x14ac:dyDescent="0.25">
      <c r="A157" s="12">
        <f t="shared" si="136"/>
        <v>150</v>
      </c>
      <c r="B157" s="6" t="s">
        <v>26</v>
      </c>
      <c r="C157" s="19">
        <f t="shared" si="155"/>
        <v>387.2</v>
      </c>
      <c r="D157" s="19">
        <f t="shared" si="156"/>
        <v>296.2</v>
      </c>
      <c r="E157" s="19">
        <f t="shared" si="157"/>
        <v>-91</v>
      </c>
      <c r="F157" s="19">
        <f t="shared" si="158"/>
        <v>76.5</v>
      </c>
      <c r="G157" s="19">
        <v>387.2</v>
      </c>
      <c r="H157" s="19">
        <v>296.2</v>
      </c>
      <c r="I157" s="19"/>
      <c r="J157" s="19"/>
      <c r="K157" s="19"/>
      <c r="L157" s="19"/>
    </row>
    <row r="158" spans="1:12" ht="31.5" x14ac:dyDescent="0.25">
      <c r="A158" s="12">
        <f t="shared" si="136"/>
        <v>151</v>
      </c>
      <c r="B158" s="6" t="s">
        <v>161</v>
      </c>
      <c r="C158" s="19">
        <f t="shared" si="155"/>
        <v>238.4</v>
      </c>
      <c r="D158" s="19">
        <f t="shared" si="156"/>
        <v>218</v>
      </c>
      <c r="E158" s="19">
        <f t="shared" si="157"/>
        <v>-20.399999999999999</v>
      </c>
      <c r="F158" s="19">
        <f t="shared" si="158"/>
        <v>91.4</v>
      </c>
      <c r="G158" s="19">
        <v>238.4</v>
      </c>
      <c r="H158" s="19">
        <v>218</v>
      </c>
      <c r="I158" s="19"/>
      <c r="J158" s="19"/>
      <c r="K158" s="19"/>
      <c r="L158" s="19"/>
    </row>
    <row r="159" spans="1:12" ht="15.75" x14ac:dyDescent="0.25">
      <c r="A159" s="12">
        <f t="shared" si="136"/>
        <v>152</v>
      </c>
      <c r="B159" s="13" t="s">
        <v>163</v>
      </c>
      <c r="C159" s="19">
        <f t="shared" si="155"/>
        <v>52.6</v>
      </c>
      <c r="D159" s="19">
        <f t="shared" si="156"/>
        <v>35.4</v>
      </c>
      <c r="E159" s="19">
        <f t="shared" si="157"/>
        <v>-17.2</v>
      </c>
      <c r="F159" s="19">
        <f t="shared" si="158"/>
        <v>67.3</v>
      </c>
      <c r="G159" s="19">
        <v>52.6</v>
      </c>
      <c r="H159" s="19">
        <v>35.4</v>
      </c>
      <c r="I159" s="19"/>
      <c r="J159" s="19"/>
      <c r="K159" s="19"/>
      <c r="L159" s="19"/>
    </row>
    <row r="160" spans="1:12" ht="47.25" x14ac:dyDescent="0.25">
      <c r="A160" s="12">
        <f t="shared" si="136"/>
        <v>153</v>
      </c>
      <c r="B160" s="13" t="s">
        <v>84</v>
      </c>
      <c r="C160" s="19">
        <f t="shared" si="155"/>
        <v>245.4</v>
      </c>
      <c r="D160" s="19">
        <f t="shared" si="156"/>
        <v>243</v>
      </c>
      <c r="E160" s="19">
        <f t="shared" si="157"/>
        <v>-2.4</v>
      </c>
      <c r="F160" s="19">
        <f t="shared" si="158"/>
        <v>99</v>
      </c>
      <c r="G160" s="19">
        <v>245.4</v>
      </c>
      <c r="H160" s="19">
        <v>243</v>
      </c>
      <c r="I160" s="19">
        <v>176.9</v>
      </c>
      <c r="J160" s="19">
        <v>174.8</v>
      </c>
      <c r="K160" s="19"/>
      <c r="L160" s="19"/>
    </row>
    <row r="161" spans="1:12" ht="15.75" x14ac:dyDescent="0.25">
      <c r="A161" s="12">
        <f t="shared" si="136"/>
        <v>154</v>
      </c>
      <c r="B161" s="7" t="s">
        <v>87</v>
      </c>
      <c r="C161" s="18">
        <f>+C163+C164+C165+C166+C167+C168</f>
        <v>2362.1999999999998</v>
      </c>
      <c r="D161" s="18">
        <f t="shared" ref="D161:L161" si="159">+D163+D164+D165+D166+D167+D168</f>
        <v>2187.6</v>
      </c>
      <c r="E161" s="18">
        <f t="shared" si="159"/>
        <v>-174.6</v>
      </c>
      <c r="F161" s="18">
        <f t="shared" si="158"/>
        <v>92.6</v>
      </c>
      <c r="G161" s="18">
        <f t="shared" si="159"/>
        <v>2200.1</v>
      </c>
      <c r="H161" s="18">
        <f t="shared" si="159"/>
        <v>2077.1</v>
      </c>
      <c r="I161" s="18">
        <f t="shared" si="159"/>
        <v>1303.4000000000001</v>
      </c>
      <c r="J161" s="18">
        <f t="shared" si="159"/>
        <v>1295.9000000000001</v>
      </c>
      <c r="K161" s="18">
        <f t="shared" si="159"/>
        <v>162.1</v>
      </c>
      <c r="L161" s="18">
        <f t="shared" si="159"/>
        <v>110.5</v>
      </c>
    </row>
    <row r="162" spans="1:12" ht="15.75" x14ac:dyDescent="0.25">
      <c r="A162" s="12">
        <f t="shared" si="136"/>
        <v>155</v>
      </c>
      <c r="B162" s="60" t="s">
        <v>2</v>
      </c>
      <c r="C162" s="19">
        <v>0</v>
      </c>
      <c r="D162" s="19"/>
      <c r="E162" s="19"/>
      <c r="F162" s="19"/>
      <c r="G162" s="19"/>
      <c r="H162" s="19"/>
      <c r="I162" s="19"/>
      <c r="J162" s="19"/>
      <c r="K162" s="19"/>
      <c r="L162" s="19"/>
    </row>
    <row r="163" spans="1:12" ht="31.5" x14ac:dyDescent="0.25">
      <c r="A163" s="12">
        <f t="shared" si="136"/>
        <v>156</v>
      </c>
      <c r="B163" s="6" t="s">
        <v>117</v>
      </c>
      <c r="C163" s="19">
        <f t="shared" ref="C163:C167" si="160">+G163+K163</f>
        <v>1591.9</v>
      </c>
      <c r="D163" s="19">
        <f t="shared" ref="D163:D167" si="161">+H163+L163</f>
        <v>1552.2</v>
      </c>
      <c r="E163" s="19">
        <f t="shared" ref="E163:E167" si="162">+D163-C163</f>
        <v>-39.700000000000003</v>
      </c>
      <c r="F163" s="19">
        <f t="shared" ref="F163:F168" si="163">+D163/C163*100</f>
        <v>97.5</v>
      </c>
      <c r="G163" s="19">
        <f>1618.9-K163-27</f>
        <v>1478</v>
      </c>
      <c r="H163" s="19">
        <f>1579.2-L163-27</f>
        <v>1442.2</v>
      </c>
      <c r="I163" s="19">
        <v>934.8</v>
      </c>
      <c r="J163" s="19">
        <v>933.2</v>
      </c>
      <c r="K163" s="19">
        <f>110+3.9</f>
        <v>113.9</v>
      </c>
      <c r="L163" s="19">
        <f>109.5+0.5</f>
        <v>110</v>
      </c>
    </row>
    <row r="164" spans="1:12" ht="31.5" x14ac:dyDescent="0.25">
      <c r="A164" s="12">
        <f t="shared" si="136"/>
        <v>157</v>
      </c>
      <c r="B164" s="6" t="s">
        <v>118</v>
      </c>
      <c r="C164" s="19">
        <f t="shared" si="160"/>
        <v>22.5</v>
      </c>
      <c r="D164" s="19">
        <f t="shared" si="161"/>
        <v>16.600000000000001</v>
      </c>
      <c r="E164" s="19">
        <f t="shared" si="162"/>
        <v>-5.9</v>
      </c>
      <c r="F164" s="19">
        <f t="shared" si="163"/>
        <v>73.8</v>
      </c>
      <c r="G164" s="19">
        <f>6.5+16</f>
        <v>22.5</v>
      </c>
      <c r="H164" s="19">
        <f>4+12.6</f>
        <v>16.600000000000001</v>
      </c>
      <c r="I164" s="19">
        <f>1.8+12.3+0.1</f>
        <v>14.2</v>
      </c>
      <c r="J164" s="19">
        <f>1.8+9.7+0.1</f>
        <v>11.6</v>
      </c>
      <c r="K164" s="19"/>
      <c r="L164" s="19"/>
    </row>
    <row r="165" spans="1:12" ht="47.25" x14ac:dyDescent="0.25">
      <c r="A165" s="12">
        <f t="shared" si="136"/>
        <v>158</v>
      </c>
      <c r="B165" s="6" t="s">
        <v>197</v>
      </c>
      <c r="C165" s="19">
        <f t="shared" si="160"/>
        <v>121.1</v>
      </c>
      <c r="D165" s="19">
        <f t="shared" si="161"/>
        <v>1.6</v>
      </c>
      <c r="E165" s="19">
        <f t="shared" si="162"/>
        <v>-119.5</v>
      </c>
      <c r="F165" s="19">
        <f t="shared" si="163"/>
        <v>1.3</v>
      </c>
      <c r="G165" s="19">
        <f>121.1-K165</f>
        <v>72.900000000000006</v>
      </c>
      <c r="H165" s="19">
        <f>1.6-L165</f>
        <v>1.1000000000000001</v>
      </c>
      <c r="I165" s="19">
        <v>3.2</v>
      </c>
      <c r="J165" s="19">
        <v>0.2</v>
      </c>
      <c r="K165" s="19">
        <f>39.6+8.6</f>
        <v>48.2</v>
      </c>
      <c r="L165" s="19">
        <v>0.5</v>
      </c>
    </row>
    <row r="166" spans="1:12" ht="31.5" x14ac:dyDescent="0.25">
      <c r="A166" s="12">
        <f t="shared" si="136"/>
        <v>159</v>
      </c>
      <c r="B166" s="6" t="s">
        <v>89</v>
      </c>
      <c r="C166" s="19">
        <f t="shared" si="160"/>
        <v>105</v>
      </c>
      <c r="D166" s="19">
        <f t="shared" si="161"/>
        <v>95.8</v>
      </c>
      <c r="E166" s="19">
        <f t="shared" si="162"/>
        <v>-9.1999999999999993</v>
      </c>
      <c r="F166" s="19">
        <f t="shared" si="163"/>
        <v>91.2</v>
      </c>
      <c r="G166" s="19">
        <v>105</v>
      </c>
      <c r="H166" s="19">
        <v>95.8</v>
      </c>
      <c r="I166" s="19"/>
      <c r="J166" s="19"/>
      <c r="K166" s="19"/>
      <c r="L166" s="19"/>
    </row>
    <row r="167" spans="1:12" ht="31.5" x14ac:dyDescent="0.25">
      <c r="A167" s="12">
        <f t="shared" si="136"/>
        <v>160</v>
      </c>
      <c r="B167" s="11" t="s">
        <v>90</v>
      </c>
      <c r="C167" s="19">
        <f t="shared" si="160"/>
        <v>27</v>
      </c>
      <c r="D167" s="19">
        <f t="shared" si="161"/>
        <v>27</v>
      </c>
      <c r="E167" s="19">
        <f t="shared" si="162"/>
        <v>0</v>
      </c>
      <c r="F167" s="19">
        <f t="shared" si="163"/>
        <v>100</v>
      </c>
      <c r="G167" s="19">
        <v>27</v>
      </c>
      <c r="H167" s="19">
        <v>27</v>
      </c>
      <c r="I167" s="19"/>
      <c r="J167" s="19"/>
      <c r="K167" s="19"/>
      <c r="L167" s="19"/>
    </row>
    <row r="168" spans="1:12" ht="63" x14ac:dyDescent="0.25">
      <c r="A168" s="12">
        <f t="shared" si="136"/>
        <v>161</v>
      </c>
      <c r="B168" s="13" t="s">
        <v>88</v>
      </c>
      <c r="C168" s="19">
        <f>SUM(C170:C172)</f>
        <v>494.7</v>
      </c>
      <c r="D168" s="19">
        <f t="shared" ref="D168:L168" si="164">SUM(D170:D172)</f>
        <v>494.4</v>
      </c>
      <c r="E168" s="19">
        <f t="shared" si="164"/>
        <v>-0.3</v>
      </c>
      <c r="F168" s="19">
        <f t="shared" si="163"/>
        <v>99.9</v>
      </c>
      <c r="G168" s="19">
        <f t="shared" si="164"/>
        <v>494.7</v>
      </c>
      <c r="H168" s="19">
        <f t="shared" si="164"/>
        <v>494.4</v>
      </c>
      <c r="I168" s="19">
        <f t="shared" si="164"/>
        <v>351.2</v>
      </c>
      <c r="J168" s="19">
        <f t="shared" si="164"/>
        <v>350.9</v>
      </c>
      <c r="K168" s="19">
        <f t="shared" si="164"/>
        <v>0</v>
      </c>
      <c r="L168" s="19">
        <f t="shared" si="164"/>
        <v>0</v>
      </c>
    </row>
    <row r="169" spans="1:12" ht="15.75" x14ac:dyDescent="0.25">
      <c r="A169" s="12">
        <f t="shared" si="136"/>
        <v>162</v>
      </c>
      <c r="B169" s="60" t="s">
        <v>2</v>
      </c>
      <c r="C169" s="19">
        <v>0</v>
      </c>
      <c r="D169" s="19"/>
      <c r="E169" s="19"/>
      <c r="F169" s="19"/>
      <c r="G169" s="19"/>
      <c r="H169" s="19"/>
      <c r="I169" s="19"/>
      <c r="J169" s="19"/>
      <c r="K169" s="19"/>
      <c r="L169" s="19"/>
    </row>
    <row r="170" spans="1:12" ht="31.5" x14ac:dyDescent="0.25">
      <c r="A170" s="12">
        <f t="shared" si="136"/>
        <v>163</v>
      </c>
      <c r="B170" s="6" t="s">
        <v>177</v>
      </c>
      <c r="C170" s="19">
        <f t="shared" ref="C170:C172" si="165">+G170+K170</f>
        <v>372.6</v>
      </c>
      <c r="D170" s="19">
        <f t="shared" ref="D170:D172" si="166">+H170+L170</f>
        <v>372.3</v>
      </c>
      <c r="E170" s="19">
        <f t="shared" ref="E170:E172" si="167">+D170-C170</f>
        <v>-0.3</v>
      </c>
      <c r="F170" s="19">
        <f t="shared" ref="F170:F172" si="168">+D170/C170*100</f>
        <v>99.9</v>
      </c>
      <c r="G170" s="19">
        <v>372.6</v>
      </c>
      <c r="H170" s="19">
        <v>372.3</v>
      </c>
      <c r="I170" s="19">
        <v>266.7</v>
      </c>
      <c r="J170" s="19">
        <v>266.39999999999998</v>
      </c>
      <c r="K170" s="19"/>
      <c r="L170" s="19"/>
    </row>
    <row r="171" spans="1:12" ht="47.25" x14ac:dyDescent="0.25">
      <c r="A171" s="12">
        <f t="shared" si="136"/>
        <v>164</v>
      </c>
      <c r="B171" s="6" t="s">
        <v>176</v>
      </c>
      <c r="C171" s="19">
        <f t="shared" si="165"/>
        <v>118.2</v>
      </c>
      <c r="D171" s="19">
        <f t="shared" si="166"/>
        <v>118.2</v>
      </c>
      <c r="E171" s="19">
        <f t="shared" si="167"/>
        <v>0</v>
      </c>
      <c r="F171" s="19">
        <f t="shared" si="168"/>
        <v>100</v>
      </c>
      <c r="G171" s="19">
        <v>118.2</v>
      </c>
      <c r="H171" s="19">
        <v>118.2</v>
      </c>
      <c r="I171" s="19">
        <v>82</v>
      </c>
      <c r="J171" s="19">
        <v>82</v>
      </c>
      <c r="K171" s="19"/>
      <c r="L171" s="19"/>
    </row>
    <row r="172" spans="1:12" ht="15.75" x14ac:dyDescent="0.25">
      <c r="A172" s="12">
        <f t="shared" si="136"/>
        <v>165</v>
      </c>
      <c r="B172" s="13" t="s">
        <v>136</v>
      </c>
      <c r="C172" s="19">
        <f t="shared" si="165"/>
        <v>3.9</v>
      </c>
      <c r="D172" s="19">
        <f t="shared" si="166"/>
        <v>3.9</v>
      </c>
      <c r="E172" s="19">
        <f t="shared" si="167"/>
        <v>0</v>
      </c>
      <c r="F172" s="19">
        <f t="shared" si="168"/>
        <v>100</v>
      </c>
      <c r="G172" s="19">
        <v>3.9</v>
      </c>
      <c r="H172" s="19">
        <v>3.9</v>
      </c>
      <c r="I172" s="19">
        <v>2.5</v>
      </c>
      <c r="J172" s="19">
        <v>2.5</v>
      </c>
      <c r="K172" s="19"/>
      <c r="L172" s="19"/>
    </row>
    <row r="173" spans="1:12" ht="31.5" x14ac:dyDescent="0.25">
      <c r="A173" s="12">
        <f t="shared" si="136"/>
        <v>166</v>
      </c>
      <c r="B173" s="11" t="s">
        <v>160</v>
      </c>
      <c r="C173" s="18">
        <f>+G173+K173</f>
        <v>171.6</v>
      </c>
      <c r="D173" s="18">
        <f>+H173+L173</f>
        <v>171.4</v>
      </c>
      <c r="E173" s="18">
        <f>+D173-C173</f>
        <v>-0.2</v>
      </c>
      <c r="F173" s="18">
        <f>+D173/C173*100</f>
        <v>99.9</v>
      </c>
      <c r="G173" s="18">
        <v>171.6</v>
      </c>
      <c r="H173" s="18">
        <v>171.4</v>
      </c>
      <c r="I173" s="18">
        <v>17.7</v>
      </c>
      <c r="J173" s="18">
        <v>17.600000000000001</v>
      </c>
      <c r="K173" s="18"/>
      <c r="L173" s="18"/>
    </row>
    <row r="174" spans="1:12" ht="15.75" x14ac:dyDescent="0.25">
      <c r="A174" s="12">
        <f t="shared" si="136"/>
        <v>167</v>
      </c>
      <c r="B174" s="7" t="s">
        <v>91</v>
      </c>
      <c r="C174" s="18">
        <f>+C8+C12+C54+C99+C104+C127+C146</f>
        <v>170136</v>
      </c>
      <c r="D174" s="18">
        <f t="shared" ref="D174:L174" si="169">+D8+D12+D54+D99+D104+D127+D146</f>
        <v>156460.6</v>
      </c>
      <c r="E174" s="18">
        <f t="shared" si="169"/>
        <v>-13675.4</v>
      </c>
      <c r="F174" s="18">
        <f>+D174/C174*100</f>
        <v>92</v>
      </c>
      <c r="G174" s="18">
        <f t="shared" si="169"/>
        <v>144265.9</v>
      </c>
      <c r="H174" s="18">
        <f t="shared" si="169"/>
        <v>137649</v>
      </c>
      <c r="I174" s="18">
        <f t="shared" si="169"/>
        <v>65259.6</v>
      </c>
      <c r="J174" s="18">
        <f t="shared" si="169"/>
        <v>64452.9</v>
      </c>
      <c r="K174" s="18">
        <f t="shared" si="169"/>
        <v>25870.1</v>
      </c>
      <c r="L174" s="18">
        <f t="shared" si="169"/>
        <v>18811.599999999999</v>
      </c>
    </row>
    <row r="176" spans="1:12" x14ac:dyDescent="0.2">
      <c r="B176" s="17"/>
      <c r="C176" s="17"/>
    </row>
  </sheetData>
  <mergeCells count="14">
    <mergeCell ref="F3:F6"/>
    <mergeCell ref="G3:L3"/>
    <mergeCell ref="G4:J4"/>
    <mergeCell ref="K4:L4"/>
    <mergeCell ref="G5:G6"/>
    <mergeCell ref="H5:H6"/>
    <mergeCell ref="I5:J5"/>
    <mergeCell ref="K5:K6"/>
    <mergeCell ref="L5:L6"/>
    <mergeCell ref="A3:A6"/>
    <mergeCell ref="B3:B6"/>
    <mergeCell ref="C3:C6"/>
    <mergeCell ref="D3:D6"/>
    <mergeCell ref="E3:E6"/>
  </mergeCells>
  <pageMargins left="0.94488188976377963" right="0.35433070866141736" top="0.86614173228346458" bottom="0.39370078740157483" header="0" footer="0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showZeros="0" zoomScale="106" zoomScaleNormal="106" workbookViewId="0">
      <selection activeCell="Q14" sqref="Q14"/>
    </sheetView>
  </sheetViews>
  <sheetFormatPr defaultColWidth="10.140625" defaultRowHeight="12.75" x14ac:dyDescent="0.2"/>
  <cols>
    <col min="1" max="1" width="5.28515625" style="2" customWidth="1"/>
    <col min="2" max="2" width="23" style="2" customWidth="1"/>
    <col min="3" max="3" width="18" style="2" customWidth="1"/>
    <col min="4" max="4" width="11.42578125" style="2" customWidth="1"/>
    <col min="5" max="5" width="10.42578125" style="2" customWidth="1"/>
    <col min="6" max="6" width="10.28515625" style="2" bestFit="1" customWidth="1"/>
    <col min="7" max="7" width="9.85546875" style="2" customWidth="1"/>
    <col min="8" max="8" width="10.140625" style="2" customWidth="1"/>
    <col min="9" max="9" width="11" style="2" customWidth="1"/>
    <col min="10" max="10" width="10.7109375" style="2" customWidth="1"/>
    <col min="11" max="11" width="12.28515625" style="2" bestFit="1" customWidth="1"/>
    <col min="12" max="12" width="10.28515625" style="2" bestFit="1" customWidth="1"/>
    <col min="13" max="13" width="8.7109375" style="2" customWidth="1"/>
    <col min="14" max="181" width="10.140625" style="2"/>
    <col min="182" max="182" width="5.28515625" style="2" customWidth="1"/>
    <col min="183" max="183" width="23" style="2" customWidth="1"/>
    <col min="184" max="184" width="18" style="2" customWidth="1"/>
    <col min="185" max="185" width="12" style="2" customWidth="1"/>
    <col min="186" max="186" width="11" style="2" customWidth="1"/>
    <col min="187" max="187" width="10.85546875" style="2" customWidth="1"/>
    <col min="188" max="188" width="9.42578125" style="2" customWidth="1"/>
    <col min="189" max="437" width="10.140625" style="2"/>
    <col min="438" max="438" width="5.28515625" style="2" customWidth="1"/>
    <col min="439" max="439" width="23" style="2" customWidth="1"/>
    <col min="440" max="440" width="18" style="2" customWidth="1"/>
    <col min="441" max="441" width="12" style="2" customWidth="1"/>
    <col min="442" max="442" width="11" style="2" customWidth="1"/>
    <col min="443" max="443" width="10.85546875" style="2" customWidth="1"/>
    <col min="444" max="444" width="9.42578125" style="2" customWidth="1"/>
    <col min="445" max="693" width="10.140625" style="2"/>
    <col min="694" max="694" width="5.28515625" style="2" customWidth="1"/>
    <col min="695" max="695" width="23" style="2" customWidth="1"/>
    <col min="696" max="696" width="18" style="2" customWidth="1"/>
    <col min="697" max="697" width="12" style="2" customWidth="1"/>
    <col min="698" max="698" width="11" style="2" customWidth="1"/>
    <col min="699" max="699" width="10.85546875" style="2" customWidth="1"/>
    <col min="700" max="700" width="9.42578125" style="2" customWidth="1"/>
    <col min="701" max="949" width="10.140625" style="2"/>
    <col min="950" max="950" width="5.28515625" style="2" customWidth="1"/>
    <col min="951" max="951" width="23" style="2" customWidth="1"/>
    <col min="952" max="952" width="18" style="2" customWidth="1"/>
    <col min="953" max="953" width="12" style="2" customWidth="1"/>
    <col min="954" max="954" width="11" style="2" customWidth="1"/>
    <col min="955" max="955" width="10.85546875" style="2" customWidth="1"/>
    <col min="956" max="956" width="9.42578125" style="2" customWidth="1"/>
    <col min="957" max="1205" width="10.140625" style="2"/>
    <col min="1206" max="1206" width="5.28515625" style="2" customWidth="1"/>
    <col min="1207" max="1207" width="23" style="2" customWidth="1"/>
    <col min="1208" max="1208" width="18" style="2" customWidth="1"/>
    <col min="1209" max="1209" width="12" style="2" customWidth="1"/>
    <col min="1210" max="1210" width="11" style="2" customWidth="1"/>
    <col min="1211" max="1211" width="10.85546875" style="2" customWidth="1"/>
    <col min="1212" max="1212" width="9.42578125" style="2" customWidth="1"/>
    <col min="1213" max="1461" width="10.140625" style="2"/>
    <col min="1462" max="1462" width="5.28515625" style="2" customWidth="1"/>
    <col min="1463" max="1463" width="23" style="2" customWidth="1"/>
    <col min="1464" max="1464" width="18" style="2" customWidth="1"/>
    <col min="1465" max="1465" width="12" style="2" customWidth="1"/>
    <col min="1466" max="1466" width="11" style="2" customWidth="1"/>
    <col min="1467" max="1467" width="10.85546875" style="2" customWidth="1"/>
    <col min="1468" max="1468" width="9.42578125" style="2" customWidth="1"/>
    <col min="1469" max="1717" width="10.140625" style="2"/>
    <col min="1718" max="1718" width="5.28515625" style="2" customWidth="1"/>
    <col min="1719" max="1719" width="23" style="2" customWidth="1"/>
    <col min="1720" max="1720" width="18" style="2" customWidth="1"/>
    <col min="1721" max="1721" width="12" style="2" customWidth="1"/>
    <col min="1722" max="1722" width="11" style="2" customWidth="1"/>
    <col min="1723" max="1723" width="10.85546875" style="2" customWidth="1"/>
    <col min="1724" max="1724" width="9.42578125" style="2" customWidth="1"/>
    <col min="1725" max="1973" width="10.140625" style="2"/>
    <col min="1974" max="1974" width="5.28515625" style="2" customWidth="1"/>
    <col min="1975" max="1975" width="23" style="2" customWidth="1"/>
    <col min="1976" max="1976" width="18" style="2" customWidth="1"/>
    <col min="1977" max="1977" width="12" style="2" customWidth="1"/>
    <col min="1978" max="1978" width="11" style="2" customWidth="1"/>
    <col min="1979" max="1979" width="10.85546875" style="2" customWidth="1"/>
    <col min="1980" max="1980" width="9.42578125" style="2" customWidth="1"/>
    <col min="1981" max="2229" width="10.140625" style="2"/>
    <col min="2230" max="2230" width="5.28515625" style="2" customWidth="1"/>
    <col min="2231" max="2231" width="23" style="2" customWidth="1"/>
    <col min="2232" max="2232" width="18" style="2" customWidth="1"/>
    <col min="2233" max="2233" width="12" style="2" customWidth="1"/>
    <col min="2234" max="2234" width="11" style="2" customWidth="1"/>
    <col min="2235" max="2235" width="10.85546875" style="2" customWidth="1"/>
    <col min="2236" max="2236" width="9.42578125" style="2" customWidth="1"/>
    <col min="2237" max="2485" width="10.140625" style="2"/>
    <col min="2486" max="2486" width="5.28515625" style="2" customWidth="1"/>
    <col min="2487" max="2487" width="23" style="2" customWidth="1"/>
    <col min="2488" max="2488" width="18" style="2" customWidth="1"/>
    <col min="2489" max="2489" width="12" style="2" customWidth="1"/>
    <col min="2490" max="2490" width="11" style="2" customWidth="1"/>
    <col min="2491" max="2491" width="10.85546875" style="2" customWidth="1"/>
    <col min="2492" max="2492" width="9.42578125" style="2" customWidth="1"/>
    <col min="2493" max="2741" width="10.140625" style="2"/>
    <col min="2742" max="2742" width="5.28515625" style="2" customWidth="1"/>
    <col min="2743" max="2743" width="23" style="2" customWidth="1"/>
    <col min="2744" max="2744" width="18" style="2" customWidth="1"/>
    <col min="2745" max="2745" width="12" style="2" customWidth="1"/>
    <col min="2746" max="2746" width="11" style="2" customWidth="1"/>
    <col min="2747" max="2747" width="10.85546875" style="2" customWidth="1"/>
    <col min="2748" max="2748" width="9.42578125" style="2" customWidth="1"/>
    <col min="2749" max="2997" width="10.140625" style="2"/>
    <col min="2998" max="2998" width="5.28515625" style="2" customWidth="1"/>
    <col min="2999" max="2999" width="23" style="2" customWidth="1"/>
    <col min="3000" max="3000" width="18" style="2" customWidth="1"/>
    <col min="3001" max="3001" width="12" style="2" customWidth="1"/>
    <col min="3002" max="3002" width="11" style="2" customWidth="1"/>
    <col min="3003" max="3003" width="10.85546875" style="2" customWidth="1"/>
    <col min="3004" max="3004" width="9.42578125" style="2" customWidth="1"/>
    <col min="3005" max="3253" width="10.140625" style="2"/>
    <col min="3254" max="3254" width="5.28515625" style="2" customWidth="1"/>
    <col min="3255" max="3255" width="23" style="2" customWidth="1"/>
    <col min="3256" max="3256" width="18" style="2" customWidth="1"/>
    <col min="3257" max="3257" width="12" style="2" customWidth="1"/>
    <col min="3258" max="3258" width="11" style="2" customWidth="1"/>
    <col min="3259" max="3259" width="10.85546875" style="2" customWidth="1"/>
    <col min="3260" max="3260" width="9.42578125" style="2" customWidth="1"/>
    <col min="3261" max="3509" width="10.140625" style="2"/>
    <col min="3510" max="3510" width="5.28515625" style="2" customWidth="1"/>
    <col min="3511" max="3511" width="23" style="2" customWidth="1"/>
    <col min="3512" max="3512" width="18" style="2" customWidth="1"/>
    <col min="3513" max="3513" width="12" style="2" customWidth="1"/>
    <col min="3514" max="3514" width="11" style="2" customWidth="1"/>
    <col min="3515" max="3515" width="10.85546875" style="2" customWidth="1"/>
    <col min="3516" max="3516" width="9.42578125" style="2" customWidth="1"/>
    <col min="3517" max="3765" width="10.140625" style="2"/>
    <col min="3766" max="3766" width="5.28515625" style="2" customWidth="1"/>
    <col min="3767" max="3767" width="23" style="2" customWidth="1"/>
    <col min="3768" max="3768" width="18" style="2" customWidth="1"/>
    <col min="3769" max="3769" width="12" style="2" customWidth="1"/>
    <col min="3770" max="3770" width="11" style="2" customWidth="1"/>
    <col min="3771" max="3771" width="10.85546875" style="2" customWidth="1"/>
    <col min="3772" max="3772" width="9.42578125" style="2" customWidth="1"/>
    <col min="3773" max="4021" width="10.140625" style="2"/>
    <col min="4022" max="4022" width="5.28515625" style="2" customWidth="1"/>
    <col min="4023" max="4023" width="23" style="2" customWidth="1"/>
    <col min="4024" max="4024" width="18" style="2" customWidth="1"/>
    <col min="4025" max="4025" width="12" style="2" customWidth="1"/>
    <col min="4026" max="4026" width="11" style="2" customWidth="1"/>
    <col min="4027" max="4027" width="10.85546875" style="2" customWidth="1"/>
    <col min="4028" max="4028" width="9.42578125" style="2" customWidth="1"/>
    <col min="4029" max="4277" width="10.140625" style="2"/>
    <col min="4278" max="4278" width="5.28515625" style="2" customWidth="1"/>
    <col min="4279" max="4279" width="23" style="2" customWidth="1"/>
    <col min="4280" max="4280" width="18" style="2" customWidth="1"/>
    <col min="4281" max="4281" width="12" style="2" customWidth="1"/>
    <col min="4282" max="4282" width="11" style="2" customWidth="1"/>
    <col min="4283" max="4283" width="10.85546875" style="2" customWidth="1"/>
    <col min="4284" max="4284" width="9.42578125" style="2" customWidth="1"/>
    <col min="4285" max="4533" width="10.140625" style="2"/>
    <col min="4534" max="4534" width="5.28515625" style="2" customWidth="1"/>
    <col min="4535" max="4535" width="23" style="2" customWidth="1"/>
    <col min="4536" max="4536" width="18" style="2" customWidth="1"/>
    <col min="4537" max="4537" width="12" style="2" customWidth="1"/>
    <col min="4538" max="4538" width="11" style="2" customWidth="1"/>
    <col min="4539" max="4539" width="10.85546875" style="2" customWidth="1"/>
    <col min="4540" max="4540" width="9.42578125" style="2" customWidth="1"/>
    <col min="4541" max="4789" width="10.140625" style="2"/>
    <col min="4790" max="4790" width="5.28515625" style="2" customWidth="1"/>
    <col min="4791" max="4791" width="23" style="2" customWidth="1"/>
    <col min="4792" max="4792" width="18" style="2" customWidth="1"/>
    <col min="4793" max="4793" width="12" style="2" customWidth="1"/>
    <col min="4794" max="4794" width="11" style="2" customWidth="1"/>
    <col min="4795" max="4795" width="10.85546875" style="2" customWidth="1"/>
    <col min="4796" max="4796" width="9.42578125" style="2" customWidth="1"/>
    <col min="4797" max="5045" width="10.140625" style="2"/>
    <col min="5046" max="5046" width="5.28515625" style="2" customWidth="1"/>
    <col min="5047" max="5047" width="23" style="2" customWidth="1"/>
    <col min="5048" max="5048" width="18" style="2" customWidth="1"/>
    <col min="5049" max="5049" width="12" style="2" customWidth="1"/>
    <col min="5050" max="5050" width="11" style="2" customWidth="1"/>
    <col min="5051" max="5051" width="10.85546875" style="2" customWidth="1"/>
    <col min="5052" max="5052" width="9.42578125" style="2" customWidth="1"/>
    <col min="5053" max="5301" width="10.140625" style="2"/>
    <col min="5302" max="5302" width="5.28515625" style="2" customWidth="1"/>
    <col min="5303" max="5303" width="23" style="2" customWidth="1"/>
    <col min="5304" max="5304" width="18" style="2" customWidth="1"/>
    <col min="5305" max="5305" width="12" style="2" customWidth="1"/>
    <col min="5306" max="5306" width="11" style="2" customWidth="1"/>
    <col min="5307" max="5307" width="10.85546875" style="2" customWidth="1"/>
    <col min="5308" max="5308" width="9.42578125" style="2" customWidth="1"/>
    <col min="5309" max="5557" width="10.140625" style="2"/>
    <col min="5558" max="5558" width="5.28515625" style="2" customWidth="1"/>
    <col min="5559" max="5559" width="23" style="2" customWidth="1"/>
    <col min="5560" max="5560" width="18" style="2" customWidth="1"/>
    <col min="5561" max="5561" width="12" style="2" customWidth="1"/>
    <col min="5562" max="5562" width="11" style="2" customWidth="1"/>
    <col min="5563" max="5563" width="10.85546875" style="2" customWidth="1"/>
    <col min="5564" max="5564" width="9.42578125" style="2" customWidth="1"/>
    <col min="5565" max="5813" width="10.140625" style="2"/>
    <col min="5814" max="5814" width="5.28515625" style="2" customWidth="1"/>
    <col min="5815" max="5815" width="23" style="2" customWidth="1"/>
    <col min="5816" max="5816" width="18" style="2" customWidth="1"/>
    <col min="5817" max="5817" width="12" style="2" customWidth="1"/>
    <col min="5818" max="5818" width="11" style="2" customWidth="1"/>
    <col min="5819" max="5819" width="10.85546875" style="2" customWidth="1"/>
    <col min="5820" max="5820" width="9.42578125" style="2" customWidth="1"/>
    <col min="5821" max="6069" width="10.140625" style="2"/>
    <col min="6070" max="6070" width="5.28515625" style="2" customWidth="1"/>
    <col min="6071" max="6071" width="23" style="2" customWidth="1"/>
    <col min="6072" max="6072" width="18" style="2" customWidth="1"/>
    <col min="6073" max="6073" width="12" style="2" customWidth="1"/>
    <col min="6074" max="6074" width="11" style="2" customWidth="1"/>
    <col min="6075" max="6075" width="10.85546875" style="2" customWidth="1"/>
    <col min="6076" max="6076" width="9.42578125" style="2" customWidth="1"/>
    <col min="6077" max="6325" width="10.140625" style="2"/>
    <col min="6326" max="6326" width="5.28515625" style="2" customWidth="1"/>
    <col min="6327" max="6327" width="23" style="2" customWidth="1"/>
    <col min="6328" max="6328" width="18" style="2" customWidth="1"/>
    <col min="6329" max="6329" width="12" style="2" customWidth="1"/>
    <col min="6330" max="6330" width="11" style="2" customWidth="1"/>
    <col min="6331" max="6331" width="10.85546875" style="2" customWidth="1"/>
    <col min="6332" max="6332" width="9.42578125" style="2" customWidth="1"/>
    <col min="6333" max="6581" width="10.140625" style="2"/>
    <col min="6582" max="6582" width="5.28515625" style="2" customWidth="1"/>
    <col min="6583" max="6583" width="23" style="2" customWidth="1"/>
    <col min="6584" max="6584" width="18" style="2" customWidth="1"/>
    <col min="6585" max="6585" width="12" style="2" customWidth="1"/>
    <col min="6586" max="6586" width="11" style="2" customWidth="1"/>
    <col min="6587" max="6587" width="10.85546875" style="2" customWidth="1"/>
    <col min="6588" max="6588" width="9.42578125" style="2" customWidth="1"/>
    <col min="6589" max="6837" width="10.140625" style="2"/>
    <col min="6838" max="6838" width="5.28515625" style="2" customWidth="1"/>
    <col min="6839" max="6839" width="23" style="2" customWidth="1"/>
    <col min="6840" max="6840" width="18" style="2" customWidth="1"/>
    <col min="6841" max="6841" width="12" style="2" customWidth="1"/>
    <col min="6842" max="6842" width="11" style="2" customWidth="1"/>
    <col min="6843" max="6843" width="10.85546875" style="2" customWidth="1"/>
    <col min="6844" max="6844" width="9.42578125" style="2" customWidth="1"/>
    <col min="6845" max="7093" width="10.140625" style="2"/>
    <col min="7094" max="7094" width="5.28515625" style="2" customWidth="1"/>
    <col min="7095" max="7095" width="23" style="2" customWidth="1"/>
    <col min="7096" max="7096" width="18" style="2" customWidth="1"/>
    <col min="7097" max="7097" width="12" style="2" customWidth="1"/>
    <col min="7098" max="7098" width="11" style="2" customWidth="1"/>
    <col min="7099" max="7099" width="10.85546875" style="2" customWidth="1"/>
    <col min="7100" max="7100" width="9.42578125" style="2" customWidth="1"/>
    <col min="7101" max="7349" width="10.140625" style="2"/>
    <col min="7350" max="7350" width="5.28515625" style="2" customWidth="1"/>
    <col min="7351" max="7351" width="23" style="2" customWidth="1"/>
    <col min="7352" max="7352" width="18" style="2" customWidth="1"/>
    <col min="7353" max="7353" width="12" style="2" customWidth="1"/>
    <col min="7354" max="7354" width="11" style="2" customWidth="1"/>
    <col min="7355" max="7355" width="10.85546875" style="2" customWidth="1"/>
    <col min="7356" max="7356" width="9.42578125" style="2" customWidth="1"/>
    <col min="7357" max="7605" width="10.140625" style="2"/>
    <col min="7606" max="7606" width="5.28515625" style="2" customWidth="1"/>
    <col min="7607" max="7607" width="23" style="2" customWidth="1"/>
    <col min="7608" max="7608" width="18" style="2" customWidth="1"/>
    <col min="7609" max="7609" width="12" style="2" customWidth="1"/>
    <col min="7610" max="7610" width="11" style="2" customWidth="1"/>
    <col min="7611" max="7611" width="10.85546875" style="2" customWidth="1"/>
    <col min="7612" max="7612" width="9.42578125" style="2" customWidth="1"/>
    <col min="7613" max="7861" width="10.140625" style="2"/>
    <col min="7862" max="7862" width="5.28515625" style="2" customWidth="1"/>
    <col min="7863" max="7863" width="23" style="2" customWidth="1"/>
    <col min="7864" max="7864" width="18" style="2" customWidth="1"/>
    <col min="7865" max="7865" width="12" style="2" customWidth="1"/>
    <col min="7866" max="7866" width="11" style="2" customWidth="1"/>
    <col min="7867" max="7867" width="10.85546875" style="2" customWidth="1"/>
    <col min="7868" max="7868" width="9.42578125" style="2" customWidth="1"/>
    <col min="7869" max="8117" width="10.140625" style="2"/>
    <col min="8118" max="8118" width="5.28515625" style="2" customWidth="1"/>
    <col min="8119" max="8119" width="23" style="2" customWidth="1"/>
    <col min="8120" max="8120" width="18" style="2" customWidth="1"/>
    <col min="8121" max="8121" width="12" style="2" customWidth="1"/>
    <col min="8122" max="8122" width="11" style="2" customWidth="1"/>
    <col min="8123" max="8123" width="10.85546875" style="2" customWidth="1"/>
    <col min="8124" max="8124" width="9.42578125" style="2" customWidth="1"/>
    <col min="8125" max="8373" width="10.140625" style="2"/>
    <col min="8374" max="8374" width="5.28515625" style="2" customWidth="1"/>
    <col min="8375" max="8375" width="23" style="2" customWidth="1"/>
    <col min="8376" max="8376" width="18" style="2" customWidth="1"/>
    <col min="8377" max="8377" width="12" style="2" customWidth="1"/>
    <col min="8378" max="8378" width="11" style="2" customWidth="1"/>
    <col min="8379" max="8379" width="10.85546875" style="2" customWidth="1"/>
    <col min="8380" max="8380" width="9.42578125" style="2" customWidth="1"/>
    <col min="8381" max="8629" width="10.140625" style="2"/>
    <col min="8630" max="8630" width="5.28515625" style="2" customWidth="1"/>
    <col min="8631" max="8631" width="23" style="2" customWidth="1"/>
    <col min="8632" max="8632" width="18" style="2" customWidth="1"/>
    <col min="8633" max="8633" width="12" style="2" customWidth="1"/>
    <col min="8634" max="8634" width="11" style="2" customWidth="1"/>
    <col min="8635" max="8635" width="10.85546875" style="2" customWidth="1"/>
    <col min="8636" max="8636" width="9.42578125" style="2" customWidth="1"/>
    <col min="8637" max="8885" width="10.140625" style="2"/>
    <col min="8886" max="8886" width="5.28515625" style="2" customWidth="1"/>
    <col min="8887" max="8887" width="23" style="2" customWidth="1"/>
    <col min="8888" max="8888" width="18" style="2" customWidth="1"/>
    <col min="8889" max="8889" width="12" style="2" customWidth="1"/>
    <col min="8890" max="8890" width="11" style="2" customWidth="1"/>
    <col min="8891" max="8891" width="10.85546875" style="2" customWidth="1"/>
    <col min="8892" max="8892" width="9.42578125" style="2" customWidth="1"/>
    <col min="8893" max="9141" width="10.140625" style="2"/>
    <col min="9142" max="9142" width="5.28515625" style="2" customWidth="1"/>
    <col min="9143" max="9143" width="23" style="2" customWidth="1"/>
    <col min="9144" max="9144" width="18" style="2" customWidth="1"/>
    <col min="9145" max="9145" width="12" style="2" customWidth="1"/>
    <col min="9146" max="9146" width="11" style="2" customWidth="1"/>
    <col min="9147" max="9147" width="10.85546875" style="2" customWidth="1"/>
    <col min="9148" max="9148" width="9.42578125" style="2" customWidth="1"/>
    <col min="9149" max="9397" width="10.140625" style="2"/>
    <col min="9398" max="9398" width="5.28515625" style="2" customWidth="1"/>
    <col min="9399" max="9399" width="23" style="2" customWidth="1"/>
    <col min="9400" max="9400" width="18" style="2" customWidth="1"/>
    <col min="9401" max="9401" width="12" style="2" customWidth="1"/>
    <col min="9402" max="9402" width="11" style="2" customWidth="1"/>
    <col min="9403" max="9403" width="10.85546875" style="2" customWidth="1"/>
    <col min="9404" max="9404" width="9.42578125" style="2" customWidth="1"/>
    <col min="9405" max="9653" width="10.140625" style="2"/>
    <col min="9654" max="9654" width="5.28515625" style="2" customWidth="1"/>
    <col min="9655" max="9655" width="23" style="2" customWidth="1"/>
    <col min="9656" max="9656" width="18" style="2" customWidth="1"/>
    <col min="9657" max="9657" width="12" style="2" customWidth="1"/>
    <col min="9658" max="9658" width="11" style="2" customWidth="1"/>
    <col min="9659" max="9659" width="10.85546875" style="2" customWidth="1"/>
    <col min="9660" max="9660" width="9.42578125" style="2" customWidth="1"/>
    <col min="9661" max="9909" width="10.140625" style="2"/>
    <col min="9910" max="9910" width="5.28515625" style="2" customWidth="1"/>
    <col min="9911" max="9911" width="23" style="2" customWidth="1"/>
    <col min="9912" max="9912" width="18" style="2" customWidth="1"/>
    <col min="9913" max="9913" width="12" style="2" customWidth="1"/>
    <col min="9914" max="9914" width="11" style="2" customWidth="1"/>
    <col min="9915" max="9915" width="10.85546875" style="2" customWidth="1"/>
    <col min="9916" max="9916" width="9.42578125" style="2" customWidth="1"/>
    <col min="9917" max="10165" width="10.140625" style="2"/>
    <col min="10166" max="10166" width="5.28515625" style="2" customWidth="1"/>
    <col min="10167" max="10167" width="23" style="2" customWidth="1"/>
    <col min="10168" max="10168" width="18" style="2" customWidth="1"/>
    <col min="10169" max="10169" width="12" style="2" customWidth="1"/>
    <col min="10170" max="10170" width="11" style="2" customWidth="1"/>
    <col min="10171" max="10171" width="10.85546875" style="2" customWidth="1"/>
    <col min="10172" max="10172" width="9.42578125" style="2" customWidth="1"/>
    <col min="10173" max="10421" width="10.140625" style="2"/>
    <col min="10422" max="10422" width="5.28515625" style="2" customWidth="1"/>
    <col min="10423" max="10423" width="23" style="2" customWidth="1"/>
    <col min="10424" max="10424" width="18" style="2" customWidth="1"/>
    <col min="10425" max="10425" width="12" style="2" customWidth="1"/>
    <col min="10426" max="10426" width="11" style="2" customWidth="1"/>
    <col min="10427" max="10427" width="10.85546875" style="2" customWidth="1"/>
    <col min="10428" max="10428" width="9.42578125" style="2" customWidth="1"/>
    <col min="10429" max="10677" width="10.140625" style="2"/>
    <col min="10678" max="10678" width="5.28515625" style="2" customWidth="1"/>
    <col min="10679" max="10679" width="23" style="2" customWidth="1"/>
    <col min="10680" max="10680" width="18" style="2" customWidth="1"/>
    <col min="10681" max="10681" width="12" style="2" customWidth="1"/>
    <col min="10682" max="10682" width="11" style="2" customWidth="1"/>
    <col min="10683" max="10683" width="10.85546875" style="2" customWidth="1"/>
    <col min="10684" max="10684" width="9.42578125" style="2" customWidth="1"/>
    <col min="10685" max="10933" width="10.140625" style="2"/>
    <col min="10934" max="10934" width="5.28515625" style="2" customWidth="1"/>
    <col min="10935" max="10935" width="23" style="2" customWidth="1"/>
    <col min="10936" max="10936" width="18" style="2" customWidth="1"/>
    <col min="10937" max="10937" width="12" style="2" customWidth="1"/>
    <col min="10938" max="10938" width="11" style="2" customWidth="1"/>
    <col min="10939" max="10939" width="10.85546875" style="2" customWidth="1"/>
    <col min="10940" max="10940" width="9.42578125" style="2" customWidth="1"/>
    <col min="10941" max="11189" width="10.140625" style="2"/>
    <col min="11190" max="11190" width="5.28515625" style="2" customWidth="1"/>
    <col min="11191" max="11191" width="23" style="2" customWidth="1"/>
    <col min="11192" max="11192" width="18" style="2" customWidth="1"/>
    <col min="11193" max="11193" width="12" style="2" customWidth="1"/>
    <col min="11194" max="11194" width="11" style="2" customWidth="1"/>
    <col min="11195" max="11195" width="10.85546875" style="2" customWidth="1"/>
    <col min="11196" max="11196" width="9.42578125" style="2" customWidth="1"/>
    <col min="11197" max="11445" width="10.140625" style="2"/>
    <col min="11446" max="11446" width="5.28515625" style="2" customWidth="1"/>
    <col min="11447" max="11447" width="23" style="2" customWidth="1"/>
    <col min="11448" max="11448" width="18" style="2" customWidth="1"/>
    <col min="11449" max="11449" width="12" style="2" customWidth="1"/>
    <col min="11450" max="11450" width="11" style="2" customWidth="1"/>
    <col min="11451" max="11451" width="10.85546875" style="2" customWidth="1"/>
    <col min="11452" max="11452" width="9.42578125" style="2" customWidth="1"/>
    <col min="11453" max="11701" width="10.140625" style="2"/>
    <col min="11702" max="11702" width="5.28515625" style="2" customWidth="1"/>
    <col min="11703" max="11703" width="23" style="2" customWidth="1"/>
    <col min="11704" max="11704" width="18" style="2" customWidth="1"/>
    <col min="11705" max="11705" width="12" style="2" customWidth="1"/>
    <col min="11706" max="11706" width="11" style="2" customWidth="1"/>
    <col min="11707" max="11707" width="10.85546875" style="2" customWidth="1"/>
    <col min="11708" max="11708" width="9.42578125" style="2" customWidth="1"/>
    <col min="11709" max="11957" width="10.140625" style="2"/>
    <col min="11958" max="11958" width="5.28515625" style="2" customWidth="1"/>
    <col min="11959" max="11959" width="23" style="2" customWidth="1"/>
    <col min="11960" max="11960" width="18" style="2" customWidth="1"/>
    <col min="11961" max="11961" width="12" style="2" customWidth="1"/>
    <col min="11962" max="11962" width="11" style="2" customWidth="1"/>
    <col min="11963" max="11963" width="10.85546875" style="2" customWidth="1"/>
    <col min="11964" max="11964" width="9.42578125" style="2" customWidth="1"/>
    <col min="11965" max="12213" width="10.140625" style="2"/>
    <col min="12214" max="12214" width="5.28515625" style="2" customWidth="1"/>
    <col min="12215" max="12215" width="23" style="2" customWidth="1"/>
    <col min="12216" max="12216" width="18" style="2" customWidth="1"/>
    <col min="12217" max="12217" width="12" style="2" customWidth="1"/>
    <col min="12218" max="12218" width="11" style="2" customWidth="1"/>
    <col min="12219" max="12219" width="10.85546875" style="2" customWidth="1"/>
    <col min="12220" max="12220" width="9.42578125" style="2" customWidth="1"/>
    <col min="12221" max="12469" width="10.140625" style="2"/>
    <col min="12470" max="12470" width="5.28515625" style="2" customWidth="1"/>
    <col min="12471" max="12471" width="23" style="2" customWidth="1"/>
    <col min="12472" max="12472" width="18" style="2" customWidth="1"/>
    <col min="12473" max="12473" width="12" style="2" customWidth="1"/>
    <col min="12474" max="12474" width="11" style="2" customWidth="1"/>
    <col min="12475" max="12475" width="10.85546875" style="2" customWidth="1"/>
    <col min="12476" max="12476" width="9.42578125" style="2" customWidth="1"/>
    <col min="12477" max="12725" width="10.140625" style="2"/>
    <col min="12726" max="12726" width="5.28515625" style="2" customWidth="1"/>
    <col min="12727" max="12727" width="23" style="2" customWidth="1"/>
    <col min="12728" max="12728" width="18" style="2" customWidth="1"/>
    <col min="12729" max="12729" width="12" style="2" customWidth="1"/>
    <col min="12730" max="12730" width="11" style="2" customWidth="1"/>
    <col min="12731" max="12731" width="10.85546875" style="2" customWidth="1"/>
    <col min="12732" max="12732" width="9.42578125" style="2" customWidth="1"/>
    <col min="12733" max="12981" width="10.140625" style="2"/>
    <col min="12982" max="12982" width="5.28515625" style="2" customWidth="1"/>
    <col min="12983" max="12983" width="23" style="2" customWidth="1"/>
    <col min="12984" max="12984" width="18" style="2" customWidth="1"/>
    <col min="12985" max="12985" width="12" style="2" customWidth="1"/>
    <col min="12986" max="12986" width="11" style="2" customWidth="1"/>
    <col min="12987" max="12987" width="10.85546875" style="2" customWidth="1"/>
    <col min="12988" max="12988" width="9.42578125" style="2" customWidth="1"/>
    <col min="12989" max="13237" width="10.140625" style="2"/>
    <col min="13238" max="13238" width="5.28515625" style="2" customWidth="1"/>
    <col min="13239" max="13239" width="23" style="2" customWidth="1"/>
    <col min="13240" max="13240" width="18" style="2" customWidth="1"/>
    <col min="13241" max="13241" width="12" style="2" customWidth="1"/>
    <col min="13242" max="13242" width="11" style="2" customWidth="1"/>
    <col min="13243" max="13243" width="10.85546875" style="2" customWidth="1"/>
    <col min="13244" max="13244" width="9.42578125" style="2" customWidth="1"/>
    <col min="13245" max="13493" width="10.140625" style="2"/>
    <col min="13494" max="13494" width="5.28515625" style="2" customWidth="1"/>
    <col min="13495" max="13495" width="23" style="2" customWidth="1"/>
    <col min="13496" max="13496" width="18" style="2" customWidth="1"/>
    <col min="13497" max="13497" width="12" style="2" customWidth="1"/>
    <col min="13498" max="13498" width="11" style="2" customWidth="1"/>
    <col min="13499" max="13499" width="10.85546875" style="2" customWidth="1"/>
    <col min="13500" max="13500" width="9.42578125" style="2" customWidth="1"/>
    <col min="13501" max="13749" width="10.140625" style="2"/>
    <col min="13750" max="13750" width="5.28515625" style="2" customWidth="1"/>
    <col min="13751" max="13751" width="23" style="2" customWidth="1"/>
    <col min="13752" max="13752" width="18" style="2" customWidth="1"/>
    <col min="13753" max="13753" width="12" style="2" customWidth="1"/>
    <col min="13754" max="13754" width="11" style="2" customWidth="1"/>
    <col min="13755" max="13755" width="10.85546875" style="2" customWidth="1"/>
    <col min="13756" max="13756" width="9.42578125" style="2" customWidth="1"/>
    <col min="13757" max="14005" width="10.140625" style="2"/>
    <col min="14006" max="14006" width="5.28515625" style="2" customWidth="1"/>
    <col min="14007" max="14007" width="23" style="2" customWidth="1"/>
    <col min="14008" max="14008" width="18" style="2" customWidth="1"/>
    <col min="14009" max="14009" width="12" style="2" customWidth="1"/>
    <col min="14010" max="14010" width="11" style="2" customWidth="1"/>
    <col min="14011" max="14011" width="10.85546875" style="2" customWidth="1"/>
    <col min="14012" max="14012" width="9.42578125" style="2" customWidth="1"/>
    <col min="14013" max="14261" width="10.140625" style="2"/>
    <col min="14262" max="14262" width="5.28515625" style="2" customWidth="1"/>
    <col min="14263" max="14263" width="23" style="2" customWidth="1"/>
    <col min="14264" max="14264" width="18" style="2" customWidth="1"/>
    <col min="14265" max="14265" width="12" style="2" customWidth="1"/>
    <col min="14266" max="14266" width="11" style="2" customWidth="1"/>
    <col min="14267" max="14267" width="10.85546875" style="2" customWidth="1"/>
    <col min="14268" max="14268" width="9.42578125" style="2" customWidth="1"/>
    <col min="14269" max="14517" width="10.140625" style="2"/>
    <col min="14518" max="14518" width="5.28515625" style="2" customWidth="1"/>
    <col min="14519" max="14519" width="23" style="2" customWidth="1"/>
    <col min="14520" max="14520" width="18" style="2" customWidth="1"/>
    <col min="14521" max="14521" width="12" style="2" customWidth="1"/>
    <col min="14522" max="14522" width="11" style="2" customWidth="1"/>
    <col min="14523" max="14523" width="10.85546875" style="2" customWidth="1"/>
    <col min="14524" max="14524" width="9.42578125" style="2" customWidth="1"/>
    <col min="14525" max="14773" width="10.140625" style="2"/>
    <col min="14774" max="14774" width="5.28515625" style="2" customWidth="1"/>
    <col min="14775" max="14775" width="23" style="2" customWidth="1"/>
    <col min="14776" max="14776" width="18" style="2" customWidth="1"/>
    <col min="14777" max="14777" width="12" style="2" customWidth="1"/>
    <col min="14778" max="14778" width="11" style="2" customWidth="1"/>
    <col min="14779" max="14779" width="10.85546875" style="2" customWidth="1"/>
    <col min="14780" max="14780" width="9.42578125" style="2" customWidth="1"/>
    <col min="14781" max="15029" width="10.140625" style="2"/>
    <col min="15030" max="15030" width="5.28515625" style="2" customWidth="1"/>
    <col min="15031" max="15031" width="23" style="2" customWidth="1"/>
    <col min="15032" max="15032" width="18" style="2" customWidth="1"/>
    <col min="15033" max="15033" width="12" style="2" customWidth="1"/>
    <col min="15034" max="15034" width="11" style="2" customWidth="1"/>
    <col min="15035" max="15035" width="10.85546875" style="2" customWidth="1"/>
    <col min="15036" max="15036" width="9.42578125" style="2" customWidth="1"/>
    <col min="15037" max="15285" width="10.140625" style="2"/>
    <col min="15286" max="15286" width="5.28515625" style="2" customWidth="1"/>
    <col min="15287" max="15287" width="23" style="2" customWidth="1"/>
    <col min="15288" max="15288" width="18" style="2" customWidth="1"/>
    <col min="15289" max="15289" width="12" style="2" customWidth="1"/>
    <col min="15290" max="15290" width="11" style="2" customWidth="1"/>
    <col min="15291" max="15291" width="10.85546875" style="2" customWidth="1"/>
    <col min="15292" max="15292" width="9.42578125" style="2" customWidth="1"/>
    <col min="15293" max="15541" width="10.140625" style="2"/>
    <col min="15542" max="15542" width="5.28515625" style="2" customWidth="1"/>
    <col min="15543" max="15543" width="23" style="2" customWidth="1"/>
    <col min="15544" max="15544" width="18" style="2" customWidth="1"/>
    <col min="15545" max="15545" width="12" style="2" customWidth="1"/>
    <col min="15546" max="15546" width="11" style="2" customWidth="1"/>
    <col min="15547" max="15547" width="10.85546875" style="2" customWidth="1"/>
    <col min="15548" max="15548" width="9.42578125" style="2" customWidth="1"/>
    <col min="15549" max="15797" width="10.140625" style="2"/>
    <col min="15798" max="15798" width="5.28515625" style="2" customWidth="1"/>
    <col min="15799" max="15799" width="23" style="2" customWidth="1"/>
    <col min="15800" max="15800" width="18" style="2" customWidth="1"/>
    <col min="15801" max="15801" width="12" style="2" customWidth="1"/>
    <col min="15802" max="15802" width="11" style="2" customWidth="1"/>
    <col min="15803" max="15803" width="10.85546875" style="2" customWidth="1"/>
    <col min="15804" max="15804" width="9.42578125" style="2" customWidth="1"/>
    <col min="15805" max="16053" width="10.140625" style="2"/>
    <col min="16054" max="16054" width="5.28515625" style="2" customWidth="1"/>
    <col min="16055" max="16055" width="23" style="2" customWidth="1"/>
    <col min="16056" max="16056" width="18" style="2" customWidth="1"/>
    <col min="16057" max="16057" width="12" style="2" customWidth="1"/>
    <col min="16058" max="16058" width="11" style="2" customWidth="1"/>
    <col min="16059" max="16059" width="10.85546875" style="2" customWidth="1"/>
    <col min="16060" max="16060" width="9.42578125" style="2" customWidth="1"/>
    <col min="16061" max="16384" width="10.140625" style="2"/>
  </cols>
  <sheetData>
    <row r="1" spans="1:13" ht="15.75" x14ac:dyDescent="0.25">
      <c r="A1" s="8"/>
      <c r="B1" s="8"/>
      <c r="C1" s="8"/>
    </row>
    <row r="2" spans="1:13" ht="15.75" customHeight="1" x14ac:dyDescent="0.25">
      <c r="A2" s="84" t="s">
        <v>264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ht="8.25" customHeight="1" x14ac:dyDescent="0.25">
      <c r="A3" s="36"/>
      <c r="B3" s="36"/>
      <c r="C3" s="36"/>
    </row>
    <row r="4" spans="1:13" ht="15.75" x14ac:dyDescent="0.25">
      <c r="A4" s="8"/>
      <c r="B4" s="22"/>
      <c r="C4" s="8"/>
      <c r="L4" s="21" t="s">
        <v>122</v>
      </c>
    </row>
    <row r="5" spans="1:13" ht="15.75" x14ac:dyDescent="0.25">
      <c r="A5" s="77" t="s">
        <v>0</v>
      </c>
      <c r="B5" s="77" t="s">
        <v>92</v>
      </c>
      <c r="C5" s="77" t="s">
        <v>93</v>
      </c>
      <c r="D5" s="78" t="s">
        <v>257</v>
      </c>
      <c r="E5" s="78" t="s">
        <v>242</v>
      </c>
      <c r="F5" s="78" t="s">
        <v>258</v>
      </c>
      <c r="G5" s="79" t="s">
        <v>259</v>
      </c>
      <c r="H5" s="80" t="s">
        <v>245</v>
      </c>
      <c r="I5" s="80"/>
      <c r="J5" s="80"/>
      <c r="K5" s="80"/>
      <c r="L5" s="80"/>
      <c r="M5" s="80"/>
    </row>
    <row r="6" spans="1:13" ht="15.75" customHeight="1" x14ac:dyDescent="0.25">
      <c r="A6" s="77"/>
      <c r="B6" s="77"/>
      <c r="C6" s="77"/>
      <c r="D6" s="78"/>
      <c r="E6" s="78"/>
      <c r="F6" s="78"/>
      <c r="G6" s="79"/>
      <c r="H6" s="78" t="s">
        <v>38</v>
      </c>
      <c r="I6" s="78"/>
      <c r="J6" s="78"/>
      <c r="K6" s="78"/>
      <c r="L6" s="78" t="s">
        <v>39</v>
      </c>
      <c r="M6" s="78"/>
    </row>
    <row r="7" spans="1:13" ht="16.5" customHeight="1" x14ac:dyDescent="0.25">
      <c r="A7" s="77"/>
      <c r="B7" s="77"/>
      <c r="C7" s="77"/>
      <c r="D7" s="78"/>
      <c r="E7" s="78"/>
      <c r="F7" s="78"/>
      <c r="G7" s="79"/>
      <c r="H7" s="78" t="s">
        <v>260</v>
      </c>
      <c r="I7" s="78" t="s">
        <v>242</v>
      </c>
      <c r="J7" s="79" t="s">
        <v>246</v>
      </c>
      <c r="K7" s="79"/>
      <c r="L7" s="78" t="s">
        <v>260</v>
      </c>
      <c r="M7" s="78" t="s">
        <v>242</v>
      </c>
    </row>
    <row r="8" spans="1:13" ht="31.5" x14ac:dyDescent="0.25">
      <c r="A8" s="77"/>
      <c r="B8" s="77"/>
      <c r="C8" s="77"/>
      <c r="D8" s="78"/>
      <c r="E8" s="78"/>
      <c r="F8" s="78"/>
      <c r="G8" s="79"/>
      <c r="H8" s="78"/>
      <c r="I8" s="78"/>
      <c r="J8" s="23" t="s">
        <v>260</v>
      </c>
      <c r="K8" s="23" t="s">
        <v>242</v>
      </c>
      <c r="L8" s="78"/>
      <c r="M8" s="78"/>
    </row>
    <row r="9" spans="1:13" ht="15.75" x14ac:dyDescent="0.25">
      <c r="A9" s="66">
        <v>1</v>
      </c>
      <c r="B9" s="65">
        <v>2</v>
      </c>
      <c r="C9" s="65">
        <v>3</v>
      </c>
      <c r="D9" s="66">
        <v>4</v>
      </c>
      <c r="E9" s="66">
        <v>5</v>
      </c>
      <c r="F9" s="66">
        <v>6</v>
      </c>
      <c r="G9" s="66">
        <v>7</v>
      </c>
      <c r="H9" s="66">
        <v>8</v>
      </c>
      <c r="I9" s="66">
        <v>9</v>
      </c>
      <c r="J9" s="66">
        <v>10</v>
      </c>
      <c r="K9" s="66">
        <v>11</v>
      </c>
      <c r="L9" s="66">
        <v>12</v>
      </c>
      <c r="M9" s="66">
        <v>13</v>
      </c>
    </row>
    <row r="10" spans="1:13" ht="47.25" x14ac:dyDescent="0.25">
      <c r="A10" s="81" t="s">
        <v>97</v>
      </c>
      <c r="B10" s="82" t="s">
        <v>98</v>
      </c>
      <c r="C10" s="65" t="s">
        <v>69</v>
      </c>
      <c r="D10" s="19">
        <f>+'1 pr. asignavimai'!C100</f>
        <v>645.20000000000005</v>
      </c>
      <c r="E10" s="19">
        <f>+'1 pr. asignavimai'!D100</f>
        <v>320</v>
      </c>
      <c r="F10" s="19">
        <f>+'1 pr. asignavimai'!E100</f>
        <v>-325.2</v>
      </c>
      <c r="G10" s="19">
        <f>+E10/D10*100</f>
        <v>49.6</v>
      </c>
      <c r="H10" s="19">
        <f>+'1 pr. asignavimai'!G100</f>
        <v>288.60000000000002</v>
      </c>
      <c r="I10" s="19">
        <f>+'1 pr. asignavimai'!H100</f>
        <v>269.10000000000002</v>
      </c>
      <c r="J10" s="19">
        <f>+'1 pr. asignavimai'!I100</f>
        <v>0</v>
      </c>
      <c r="K10" s="19">
        <f>+'1 pr. asignavimai'!J100</f>
        <v>0</v>
      </c>
      <c r="L10" s="19">
        <f>+'1 pr. asignavimai'!K100</f>
        <v>356.6</v>
      </c>
      <c r="M10" s="19">
        <f>+'1 pr. asignavimai'!L100</f>
        <v>50.9</v>
      </c>
    </row>
    <row r="11" spans="1:13" ht="31.5" x14ac:dyDescent="0.25">
      <c r="A11" s="81"/>
      <c r="B11" s="82"/>
      <c r="C11" s="65" t="s">
        <v>3</v>
      </c>
      <c r="D11" s="19">
        <f>+'1 pr. asignavimai'!C13</f>
        <v>127.1</v>
      </c>
      <c r="E11" s="19">
        <f>+'1 pr. asignavimai'!D13</f>
        <v>7.5</v>
      </c>
      <c r="F11" s="19">
        <f>+'1 pr. asignavimai'!E13</f>
        <v>-119.6</v>
      </c>
      <c r="G11" s="19">
        <f t="shared" ref="G11:G57" si="0">+E11/D11*100</f>
        <v>5.9</v>
      </c>
      <c r="H11" s="19">
        <f>+'1 pr. asignavimai'!G13</f>
        <v>127.1</v>
      </c>
      <c r="I11" s="19">
        <f>+'1 pr. asignavimai'!H13</f>
        <v>7.5</v>
      </c>
      <c r="J11" s="19">
        <f>+'1 pr. asignavimai'!I13</f>
        <v>0</v>
      </c>
      <c r="K11" s="19">
        <f>+'1 pr. asignavimai'!J13</f>
        <v>0</v>
      </c>
      <c r="L11" s="19">
        <f>+'1 pr. asignavimai'!K13</f>
        <v>0</v>
      </c>
      <c r="M11" s="19">
        <f>+'1 pr. asignavimai'!L13</f>
        <v>0</v>
      </c>
    </row>
    <row r="12" spans="1:13" ht="47.25" x14ac:dyDescent="0.25">
      <c r="A12" s="81"/>
      <c r="B12" s="82"/>
      <c r="C12" s="65" t="s">
        <v>57</v>
      </c>
      <c r="D12" s="19">
        <f>+'1 pr. asignavimai'!C55</f>
        <v>30</v>
      </c>
      <c r="E12" s="19">
        <f>+'1 pr. asignavimai'!D55</f>
        <v>20.7</v>
      </c>
      <c r="F12" s="19">
        <f>+'1 pr. asignavimai'!E55</f>
        <v>-9.3000000000000007</v>
      </c>
      <c r="G12" s="19">
        <f t="shared" si="0"/>
        <v>69</v>
      </c>
      <c r="H12" s="19">
        <f>+'1 pr. asignavimai'!G55</f>
        <v>30</v>
      </c>
      <c r="I12" s="19">
        <f>+'1 pr. asignavimai'!H55</f>
        <v>20.7</v>
      </c>
      <c r="J12" s="19">
        <f>+'1 pr. asignavimai'!I55</f>
        <v>0</v>
      </c>
      <c r="K12" s="19">
        <f>+'1 pr. asignavimai'!J55</f>
        <v>0</v>
      </c>
      <c r="L12" s="19">
        <f>+'1 pr. asignavimai'!K55</f>
        <v>0</v>
      </c>
      <c r="M12" s="19">
        <f>+'1 pr. asignavimai'!L55</f>
        <v>0</v>
      </c>
    </row>
    <row r="13" spans="1:13" ht="15.75" x14ac:dyDescent="0.25">
      <c r="A13" s="81"/>
      <c r="B13" s="82"/>
      <c r="C13" s="65" t="s">
        <v>99</v>
      </c>
      <c r="D13" s="18">
        <f>SUM(D10:D12)</f>
        <v>802.3</v>
      </c>
      <c r="E13" s="18">
        <f t="shared" ref="E13:M13" si="1">SUM(E10:E12)</f>
        <v>348.2</v>
      </c>
      <c r="F13" s="18">
        <f t="shared" si="1"/>
        <v>-454.1</v>
      </c>
      <c r="G13" s="18">
        <f t="shared" si="0"/>
        <v>43.4</v>
      </c>
      <c r="H13" s="18">
        <f t="shared" si="1"/>
        <v>445.7</v>
      </c>
      <c r="I13" s="18">
        <f t="shared" si="1"/>
        <v>297.3</v>
      </c>
      <c r="J13" s="18">
        <f t="shared" si="1"/>
        <v>0</v>
      </c>
      <c r="K13" s="18">
        <f t="shared" si="1"/>
        <v>0</v>
      </c>
      <c r="L13" s="18">
        <f t="shared" si="1"/>
        <v>356.6</v>
      </c>
      <c r="M13" s="18">
        <f t="shared" si="1"/>
        <v>50.9</v>
      </c>
    </row>
    <row r="14" spans="1:13" ht="47.25" x14ac:dyDescent="0.25">
      <c r="A14" s="71" t="s">
        <v>100</v>
      </c>
      <c r="B14" s="72" t="s">
        <v>101</v>
      </c>
      <c r="C14" s="65" t="s">
        <v>57</v>
      </c>
      <c r="D14" s="18">
        <f>+'1 pr. asignavimai'!C56</f>
        <v>2241.1</v>
      </c>
      <c r="E14" s="18">
        <f>+'1 pr. asignavimai'!D56</f>
        <v>1871.3</v>
      </c>
      <c r="F14" s="18">
        <f>+'1 pr. asignavimai'!E56</f>
        <v>-369.8</v>
      </c>
      <c r="G14" s="18">
        <f t="shared" si="0"/>
        <v>83.5</v>
      </c>
      <c r="H14" s="18">
        <f>+'1 pr. asignavimai'!G56</f>
        <v>424.9</v>
      </c>
      <c r="I14" s="18">
        <f>+'1 pr. asignavimai'!H56</f>
        <v>311.3</v>
      </c>
      <c r="J14" s="18">
        <f>+'1 pr. asignavimai'!I56</f>
        <v>1.5</v>
      </c>
      <c r="K14" s="18">
        <f>+'1 pr. asignavimai'!J56</f>
        <v>1.1000000000000001</v>
      </c>
      <c r="L14" s="18">
        <f>+'1 pr. asignavimai'!K56</f>
        <v>1816.2</v>
      </c>
      <c r="M14" s="18">
        <f>+'1 pr. asignavimai'!L56</f>
        <v>1560</v>
      </c>
    </row>
    <row r="15" spans="1:13" ht="31.5" x14ac:dyDescent="0.25">
      <c r="A15" s="85" t="s">
        <v>102</v>
      </c>
      <c r="B15" s="82" t="s">
        <v>42</v>
      </c>
      <c r="C15" s="65" t="s">
        <v>3</v>
      </c>
      <c r="D15" s="19">
        <f>+'1 pr. asignavimai'!C14</f>
        <v>9269.5</v>
      </c>
      <c r="E15" s="19">
        <f>+'1 pr. asignavimai'!D14</f>
        <v>8593.2999999999993</v>
      </c>
      <c r="F15" s="19">
        <f>+'1 pr. asignavimai'!E14</f>
        <v>-676.2</v>
      </c>
      <c r="G15" s="19">
        <f t="shared" si="0"/>
        <v>92.7</v>
      </c>
      <c r="H15" s="19">
        <f>+'1 pr. asignavimai'!G14</f>
        <v>8930.6</v>
      </c>
      <c r="I15" s="19">
        <f>+'1 pr. asignavimai'!H14</f>
        <v>8385.2999999999993</v>
      </c>
      <c r="J15" s="19">
        <f>+'1 pr. asignavimai'!I14</f>
        <v>5147.5</v>
      </c>
      <c r="K15" s="19">
        <f>+'1 pr. asignavimai'!J14</f>
        <v>5093.6000000000004</v>
      </c>
      <c r="L15" s="19">
        <f>+'1 pr. asignavimai'!K14</f>
        <v>338.9</v>
      </c>
      <c r="M15" s="19">
        <f>+'1 pr. asignavimai'!L14</f>
        <v>208</v>
      </c>
    </row>
    <row r="16" spans="1:13" ht="47.25" x14ac:dyDescent="0.25">
      <c r="A16" s="85"/>
      <c r="B16" s="82"/>
      <c r="C16" s="65" t="s">
        <v>57</v>
      </c>
      <c r="D16" s="19">
        <f>+'1 pr. asignavimai'!C60</f>
        <v>194</v>
      </c>
      <c r="E16" s="19">
        <f>+'1 pr. asignavimai'!D60</f>
        <v>135.5</v>
      </c>
      <c r="F16" s="19">
        <f>+'1 pr. asignavimai'!E60</f>
        <v>-58.5</v>
      </c>
      <c r="G16" s="19">
        <f t="shared" si="0"/>
        <v>69.8</v>
      </c>
      <c r="H16" s="19">
        <f>+'1 pr. asignavimai'!G60</f>
        <v>194</v>
      </c>
      <c r="I16" s="19">
        <f>+'1 pr. asignavimai'!H60</f>
        <v>135.5</v>
      </c>
      <c r="J16" s="19">
        <f>+'1 pr. asignavimai'!I60</f>
        <v>0</v>
      </c>
      <c r="K16" s="19">
        <f>+'1 pr. asignavimai'!J60</f>
        <v>0</v>
      </c>
      <c r="L16" s="19">
        <f>+'1 pr. asignavimai'!K60</f>
        <v>0</v>
      </c>
      <c r="M16" s="19">
        <f>+'1 pr. asignavimai'!L60</f>
        <v>0</v>
      </c>
    </row>
    <row r="17" spans="1:13" ht="47.25" x14ac:dyDescent="0.25">
      <c r="A17" s="85"/>
      <c r="B17" s="82"/>
      <c r="C17" s="65" t="s">
        <v>40</v>
      </c>
      <c r="D17" s="19">
        <f>+'1 pr. asignavimai'!C9</f>
        <v>163.69999999999999</v>
      </c>
      <c r="E17" s="19">
        <f>+'1 pr. asignavimai'!D9</f>
        <v>150.80000000000001</v>
      </c>
      <c r="F17" s="19">
        <f>+'1 pr. asignavimai'!E9</f>
        <v>-12.9</v>
      </c>
      <c r="G17" s="19">
        <f t="shared" si="0"/>
        <v>92.1</v>
      </c>
      <c r="H17" s="19">
        <f>+'1 pr. asignavimai'!G9</f>
        <v>161.9</v>
      </c>
      <c r="I17" s="19">
        <f>+'1 pr. asignavimai'!H9</f>
        <v>149.1</v>
      </c>
      <c r="J17" s="19">
        <f>+'1 pr. asignavimai'!I9</f>
        <v>119</v>
      </c>
      <c r="K17" s="19">
        <f>+'1 pr. asignavimai'!J9</f>
        <v>107.4</v>
      </c>
      <c r="L17" s="19">
        <f>+'1 pr. asignavimai'!K9</f>
        <v>1.8</v>
      </c>
      <c r="M17" s="19">
        <f>+'1 pr. asignavimai'!L9</f>
        <v>1.7</v>
      </c>
    </row>
    <row r="18" spans="1:13" ht="15.75" x14ac:dyDescent="0.25">
      <c r="A18" s="85"/>
      <c r="B18" s="82"/>
      <c r="C18" s="65" t="s">
        <v>99</v>
      </c>
      <c r="D18" s="18">
        <f>SUM(D15:D17)</f>
        <v>9627.2000000000007</v>
      </c>
      <c r="E18" s="18">
        <f t="shared" ref="E18:M18" si="2">SUM(E15:E17)</f>
        <v>8879.6</v>
      </c>
      <c r="F18" s="18">
        <f t="shared" si="2"/>
        <v>-747.6</v>
      </c>
      <c r="G18" s="18">
        <f t="shared" si="0"/>
        <v>92.2</v>
      </c>
      <c r="H18" s="18">
        <f t="shared" si="2"/>
        <v>9286.5</v>
      </c>
      <c r="I18" s="18">
        <f t="shared" si="2"/>
        <v>8669.9</v>
      </c>
      <c r="J18" s="18">
        <f t="shared" si="2"/>
        <v>5266.5</v>
      </c>
      <c r="K18" s="18">
        <f t="shared" si="2"/>
        <v>5201</v>
      </c>
      <c r="L18" s="18">
        <f t="shared" si="2"/>
        <v>340.7</v>
      </c>
      <c r="M18" s="18">
        <f t="shared" si="2"/>
        <v>209.7</v>
      </c>
    </row>
    <row r="19" spans="1:13" ht="47.25" x14ac:dyDescent="0.25">
      <c r="A19" s="64" t="s">
        <v>153</v>
      </c>
      <c r="B19" s="63" t="s">
        <v>94</v>
      </c>
      <c r="C19" s="65" t="s">
        <v>57</v>
      </c>
      <c r="D19" s="18">
        <f>+'1 pr. asignavimai'!C66</f>
        <v>454.5</v>
      </c>
      <c r="E19" s="18">
        <f>+'1 pr. asignavimai'!D66</f>
        <v>363.8</v>
      </c>
      <c r="F19" s="18">
        <f>+'1 pr. asignavimai'!E66</f>
        <v>-90.7</v>
      </c>
      <c r="G19" s="18">
        <f t="shared" si="0"/>
        <v>80</v>
      </c>
      <c r="H19" s="18">
        <f>+'1 pr. asignavimai'!G66</f>
        <v>454.5</v>
      </c>
      <c r="I19" s="18">
        <f>+'1 pr. asignavimai'!H66</f>
        <v>363.8</v>
      </c>
      <c r="J19" s="18">
        <f>+'1 pr. asignavimai'!I66</f>
        <v>0</v>
      </c>
      <c r="K19" s="18">
        <f>+'1 pr. asignavimai'!J66</f>
        <v>0</v>
      </c>
      <c r="L19" s="18">
        <f>+'1 pr. asignavimai'!K66</f>
        <v>0</v>
      </c>
      <c r="M19" s="18">
        <f>+'1 pr. asignavimai'!L66</f>
        <v>0</v>
      </c>
    </row>
    <row r="20" spans="1:13" ht="31.5" x14ac:dyDescent="0.25">
      <c r="A20" s="81" t="s">
        <v>103</v>
      </c>
      <c r="B20" s="82" t="s">
        <v>70</v>
      </c>
      <c r="C20" s="65" t="s">
        <v>3</v>
      </c>
      <c r="D20" s="19">
        <f>+'1 pr. asignavimai'!C43</f>
        <v>916.5</v>
      </c>
      <c r="E20" s="19">
        <f>+'1 pr. asignavimai'!D43</f>
        <v>916.5</v>
      </c>
      <c r="F20" s="19">
        <f>+'1 pr. asignavimai'!E43</f>
        <v>0</v>
      </c>
      <c r="G20" s="19">
        <f t="shared" si="0"/>
        <v>100</v>
      </c>
      <c r="H20" s="19">
        <f>+'1 pr. asignavimai'!G43</f>
        <v>0</v>
      </c>
      <c r="I20" s="19">
        <f>+'1 pr. asignavimai'!H43</f>
        <v>0</v>
      </c>
      <c r="J20" s="19">
        <f>+'1 pr. asignavimai'!I43</f>
        <v>0</v>
      </c>
      <c r="K20" s="19">
        <f>+'1 pr. asignavimai'!J43</f>
        <v>0</v>
      </c>
      <c r="L20" s="19">
        <f>+'1 pr. asignavimai'!K43</f>
        <v>916.5</v>
      </c>
      <c r="M20" s="19">
        <f>+'1 pr. asignavimai'!L43</f>
        <v>916.5</v>
      </c>
    </row>
    <row r="21" spans="1:13" ht="47.25" x14ac:dyDescent="0.25">
      <c r="A21" s="81"/>
      <c r="B21" s="82"/>
      <c r="C21" s="65" t="s">
        <v>57</v>
      </c>
      <c r="D21" s="19">
        <f>+'1 pr. asignavimai'!C67</f>
        <v>1257.5</v>
      </c>
      <c r="E21" s="19">
        <f>+'1 pr. asignavimai'!D67</f>
        <v>678.2</v>
      </c>
      <c r="F21" s="19">
        <f>+'1 pr. asignavimai'!E67</f>
        <v>-579.29999999999995</v>
      </c>
      <c r="G21" s="19">
        <f t="shared" si="0"/>
        <v>53.9</v>
      </c>
      <c r="H21" s="19">
        <f>+'1 pr. asignavimai'!G67</f>
        <v>49.5</v>
      </c>
      <c r="I21" s="19">
        <f>+'1 pr. asignavimai'!H67</f>
        <v>35.9</v>
      </c>
      <c r="J21" s="19">
        <f>+'1 pr. asignavimai'!I67</f>
        <v>10.7</v>
      </c>
      <c r="K21" s="19">
        <f>+'1 pr. asignavimai'!J67</f>
        <v>4.3</v>
      </c>
      <c r="L21" s="19">
        <f>+'1 pr. asignavimai'!K67</f>
        <v>1208</v>
      </c>
      <c r="M21" s="19">
        <f>+'1 pr. asignavimai'!L67</f>
        <v>642.29999999999995</v>
      </c>
    </row>
    <row r="22" spans="1:13" ht="31.5" x14ac:dyDescent="0.25">
      <c r="A22" s="81"/>
      <c r="B22" s="82"/>
      <c r="C22" s="65" t="s">
        <v>4</v>
      </c>
      <c r="D22" s="19">
        <f>+'1 pr. asignavimai'!C105</f>
        <v>5198.6000000000004</v>
      </c>
      <c r="E22" s="19">
        <f>+'1 pr. asignavimai'!D105</f>
        <v>4862.2</v>
      </c>
      <c r="F22" s="19">
        <f>+'1 pr. asignavimai'!E105</f>
        <v>-336.4</v>
      </c>
      <c r="G22" s="19">
        <f t="shared" si="0"/>
        <v>93.5</v>
      </c>
      <c r="H22" s="19">
        <f>+'1 pr. asignavimai'!G105</f>
        <v>5198.6000000000004</v>
      </c>
      <c r="I22" s="19">
        <f>+'1 pr. asignavimai'!H105</f>
        <v>4862.2</v>
      </c>
      <c r="J22" s="19">
        <f>+'1 pr. asignavimai'!I105</f>
        <v>0</v>
      </c>
      <c r="K22" s="19">
        <f>+'1 pr. asignavimai'!J105</f>
        <v>0</v>
      </c>
      <c r="L22" s="19">
        <f>+'1 pr. asignavimai'!K105</f>
        <v>0</v>
      </c>
      <c r="M22" s="19">
        <f>+'1 pr. asignavimai'!L105</f>
        <v>0</v>
      </c>
    </row>
    <row r="23" spans="1:13" ht="15.75" x14ac:dyDescent="0.25">
      <c r="A23" s="81"/>
      <c r="B23" s="82"/>
      <c r="C23" s="65" t="s">
        <v>99</v>
      </c>
      <c r="D23" s="18">
        <f>SUM(D20:D22)</f>
        <v>7372.6</v>
      </c>
      <c r="E23" s="18">
        <f t="shared" ref="E23:M23" si="3">SUM(E20:E22)</f>
        <v>6456.9</v>
      </c>
      <c r="F23" s="18">
        <f t="shared" si="3"/>
        <v>-915.7</v>
      </c>
      <c r="G23" s="18">
        <f t="shared" si="0"/>
        <v>87.6</v>
      </c>
      <c r="H23" s="18">
        <f t="shared" si="3"/>
        <v>5248.1</v>
      </c>
      <c r="I23" s="18">
        <f t="shared" si="3"/>
        <v>4898.1000000000004</v>
      </c>
      <c r="J23" s="18">
        <f t="shared" si="3"/>
        <v>10.7</v>
      </c>
      <c r="K23" s="18">
        <f t="shared" si="3"/>
        <v>4.3</v>
      </c>
      <c r="L23" s="18">
        <f t="shared" si="3"/>
        <v>2124.5</v>
      </c>
      <c r="M23" s="18">
        <f t="shared" si="3"/>
        <v>1558.8</v>
      </c>
    </row>
    <row r="24" spans="1:13" ht="31.5" x14ac:dyDescent="0.25">
      <c r="A24" s="81" t="s">
        <v>104</v>
      </c>
      <c r="B24" s="82" t="s">
        <v>95</v>
      </c>
      <c r="C24" s="65" t="s">
        <v>3</v>
      </c>
      <c r="D24" s="19">
        <f>+'1 pr. asignavimai'!C44</f>
        <v>112.6</v>
      </c>
      <c r="E24" s="19">
        <f>+'1 pr. asignavimai'!D44</f>
        <v>103.8</v>
      </c>
      <c r="F24" s="19">
        <f>+'1 pr. asignavimai'!E44</f>
        <v>-8.8000000000000007</v>
      </c>
      <c r="G24" s="19">
        <f t="shared" si="0"/>
        <v>92.2</v>
      </c>
      <c r="H24" s="19">
        <f>+'1 pr. asignavimai'!G44</f>
        <v>112.6</v>
      </c>
      <c r="I24" s="19">
        <f>+'1 pr. asignavimai'!H44</f>
        <v>103.8</v>
      </c>
      <c r="J24" s="19">
        <f>+'1 pr. asignavimai'!I44</f>
        <v>0</v>
      </c>
      <c r="K24" s="19">
        <f>+'1 pr. asignavimai'!J44</f>
        <v>0</v>
      </c>
      <c r="L24" s="19">
        <f>+'1 pr. asignavimai'!K44</f>
        <v>0</v>
      </c>
      <c r="M24" s="19">
        <f>+'1 pr. asignavimai'!L44</f>
        <v>0</v>
      </c>
    </row>
    <row r="25" spans="1:13" ht="47.25" x14ac:dyDescent="0.25">
      <c r="A25" s="81"/>
      <c r="B25" s="82"/>
      <c r="C25" s="65" t="s">
        <v>57</v>
      </c>
      <c r="D25" s="19">
        <f>+'1 pr. asignavimai'!C72</f>
        <v>6937.6</v>
      </c>
      <c r="E25" s="19">
        <f>+'1 pr. asignavimai'!D72</f>
        <v>6299.9</v>
      </c>
      <c r="F25" s="19">
        <f>+'1 pr. asignavimai'!E72</f>
        <v>-637.70000000000005</v>
      </c>
      <c r="G25" s="19">
        <f t="shared" si="0"/>
        <v>90.8</v>
      </c>
      <c r="H25" s="19">
        <f>+'1 pr. asignavimai'!G72</f>
        <v>138</v>
      </c>
      <c r="I25" s="19">
        <f>+'1 pr. asignavimai'!H72</f>
        <v>12.6</v>
      </c>
      <c r="J25" s="19">
        <f>+'1 pr. asignavimai'!I72</f>
        <v>3.8</v>
      </c>
      <c r="K25" s="19">
        <f>+'1 pr. asignavimai'!J72</f>
        <v>2.1</v>
      </c>
      <c r="L25" s="19">
        <f>+'1 pr. asignavimai'!K72</f>
        <v>6799.6</v>
      </c>
      <c r="M25" s="19">
        <f>+'1 pr. asignavimai'!L72</f>
        <v>6287.3</v>
      </c>
    </row>
    <row r="26" spans="1:13" ht="31.5" x14ac:dyDescent="0.25">
      <c r="A26" s="81"/>
      <c r="B26" s="82"/>
      <c r="C26" s="65" t="s">
        <v>4</v>
      </c>
      <c r="D26" s="19">
        <f>+'1 pr. asignavimai'!C111</f>
        <v>9766.2999999999993</v>
      </c>
      <c r="E26" s="19">
        <f>+'1 pr. asignavimai'!D111</f>
        <v>9162.7000000000007</v>
      </c>
      <c r="F26" s="19">
        <f>+'1 pr. asignavimai'!E111</f>
        <v>-603.6</v>
      </c>
      <c r="G26" s="19">
        <f t="shared" si="0"/>
        <v>93.8</v>
      </c>
      <c r="H26" s="19">
        <f>+'1 pr. asignavimai'!G111</f>
        <v>8624.9</v>
      </c>
      <c r="I26" s="19">
        <f>+'1 pr. asignavimai'!H111</f>
        <v>8476.1</v>
      </c>
      <c r="J26" s="19">
        <f>+'1 pr. asignavimai'!I111</f>
        <v>0</v>
      </c>
      <c r="K26" s="19">
        <f>+'1 pr. asignavimai'!J111</f>
        <v>0</v>
      </c>
      <c r="L26" s="19">
        <f>+'1 pr. asignavimai'!K111</f>
        <v>1141.4000000000001</v>
      </c>
      <c r="M26" s="19">
        <f>+'1 pr. asignavimai'!L111</f>
        <v>686.6</v>
      </c>
    </row>
    <row r="27" spans="1:13" ht="15.75" x14ac:dyDescent="0.25">
      <c r="A27" s="81"/>
      <c r="B27" s="82"/>
      <c r="C27" s="65" t="s">
        <v>99</v>
      </c>
      <c r="D27" s="18">
        <f>SUM(D24:D26)</f>
        <v>16816.5</v>
      </c>
      <c r="E27" s="18">
        <f t="shared" ref="E27:M27" si="4">SUM(E24:E26)</f>
        <v>15566.4</v>
      </c>
      <c r="F27" s="18">
        <f t="shared" si="4"/>
        <v>-1250.0999999999999</v>
      </c>
      <c r="G27" s="18">
        <f t="shared" si="0"/>
        <v>92.6</v>
      </c>
      <c r="H27" s="18">
        <f t="shared" si="4"/>
        <v>8875.5</v>
      </c>
      <c r="I27" s="18">
        <f t="shared" si="4"/>
        <v>8592.5</v>
      </c>
      <c r="J27" s="18">
        <f t="shared" si="4"/>
        <v>3.8</v>
      </c>
      <c r="K27" s="18">
        <f t="shared" si="4"/>
        <v>2.1</v>
      </c>
      <c r="L27" s="18">
        <f t="shared" si="4"/>
        <v>7941</v>
      </c>
      <c r="M27" s="18">
        <f t="shared" si="4"/>
        <v>6973.9</v>
      </c>
    </row>
    <row r="28" spans="1:13" ht="31.5" x14ac:dyDescent="0.25">
      <c r="A28" s="81" t="s">
        <v>105</v>
      </c>
      <c r="B28" s="82" t="s">
        <v>133</v>
      </c>
      <c r="C28" s="65" t="s">
        <v>3</v>
      </c>
      <c r="D28" s="19">
        <f>+'1 pr. asignavimai'!C45</f>
        <v>308.60000000000002</v>
      </c>
      <c r="E28" s="19">
        <f>+'1 pr. asignavimai'!D45</f>
        <v>148.9</v>
      </c>
      <c r="F28" s="19">
        <f>+'1 pr. asignavimai'!E45</f>
        <v>-159.69999999999999</v>
      </c>
      <c r="G28" s="19">
        <f t="shared" si="0"/>
        <v>48.3</v>
      </c>
      <c r="H28" s="19">
        <f>+'1 pr. asignavimai'!G45</f>
        <v>202.6</v>
      </c>
      <c r="I28" s="19">
        <f>+'1 pr. asignavimai'!H45</f>
        <v>148.9</v>
      </c>
      <c r="J28" s="19">
        <f>+'1 pr. asignavimai'!I45</f>
        <v>0</v>
      </c>
      <c r="K28" s="19">
        <f>+'1 pr. asignavimai'!J45</f>
        <v>0</v>
      </c>
      <c r="L28" s="19">
        <f>+'1 pr. asignavimai'!K45</f>
        <v>106</v>
      </c>
      <c r="M28" s="19">
        <f>+'1 pr. asignavimai'!L45</f>
        <v>0</v>
      </c>
    </row>
    <row r="29" spans="1:13" ht="47.25" x14ac:dyDescent="0.25">
      <c r="A29" s="81"/>
      <c r="B29" s="82"/>
      <c r="C29" s="65" t="s">
        <v>57</v>
      </c>
      <c r="D29" s="19">
        <f>+'1 pr. asignavimai'!C77</f>
        <v>1123.0999999999999</v>
      </c>
      <c r="E29" s="19">
        <f>+'1 pr. asignavimai'!D77</f>
        <v>190.7</v>
      </c>
      <c r="F29" s="19">
        <f>+'1 pr. asignavimai'!E77</f>
        <v>-932.4</v>
      </c>
      <c r="G29" s="19">
        <f t="shared" si="0"/>
        <v>17</v>
      </c>
      <c r="H29" s="19">
        <f>+'1 pr. asignavimai'!G77</f>
        <v>0</v>
      </c>
      <c r="I29" s="19">
        <f>+'1 pr. asignavimai'!H77</f>
        <v>0</v>
      </c>
      <c r="J29" s="19">
        <f>+'1 pr. asignavimai'!I77</f>
        <v>0</v>
      </c>
      <c r="K29" s="19">
        <f>+'1 pr. asignavimai'!J77</f>
        <v>0</v>
      </c>
      <c r="L29" s="19">
        <f>+'1 pr. asignavimai'!K77</f>
        <v>1123.0999999999999</v>
      </c>
      <c r="M29" s="19">
        <f>+'1 pr. asignavimai'!L77</f>
        <v>190.7</v>
      </c>
    </row>
    <row r="30" spans="1:13" ht="31.5" x14ac:dyDescent="0.25">
      <c r="A30" s="81"/>
      <c r="B30" s="82"/>
      <c r="C30" s="65" t="s">
        <v>4</v>
      </c>
      <c r="D30" s="19">
        <f>+'1 pr. asignavimai'!C115</f>
        <v>9659.5</v>
      </c>
      <c r="E30" s="19">
        <f>+'1 pr. asignavimai'!D115</f>
        <v>7965.9</v>
      </c>
      <c r="F30" s="19">
        <f>+'1 pr. asignavimai'!E115</f>
        <v>-1693.6</v>
      </c>
      <c r="G30" s="19">
        <f t="shared" si="0"/>
        <v>82.5</v>
      </c>
      <c r="H30" s="19">
        <f>+'1 pr. asignavimai'!G115</f>
        <v>6549.3</v>
      </c>
      <c r="I30" s="19">
        <f>+'1 pr. asignavimai'!H115</f>
        <v>6329.1</v>
      </c>
      <c r="J30" s="19">
        <f>+'1 pr. asignavimai'!I115</f>
        <v>377.1</v>
      </c>
      <c r="K30" s="19">
        <f>+'1 pr. asignavimai'!J115</f>
        <v>358.4</v>
      </c>
      <c r="L30" s="19">
        <f>+'1 pr. asignavimai'!K115</f>
        <v>3110.2</v>
      </c>
      <c r="M30" s="19">
        <f>+'1 pr. asignavimai'!L115</f>
        <v>1636.8</v>
      </c>
    </row>
    <row r="31" spans="1:13" ht="15.75" x14ac:dyDescent="0.25">
      <c r="A31" s="81"/>
      <c r="B31" s="82"/>
      <c r="C31" s="65" t="s">
        <v>99</v>
      </c>
      <c r="D31" s="18">
        <f>SUM(D28:D30)</f>
        <v>11091.2</v>
      </c>
      <c r="E31" s="18">
        <f t="shared" ref="E31:M31" si="5">SUM(E28:E30)</f>
        <v>8305.5</v>
      </c>
      <c r="F31" s="18">
        <f t="shared" si="5"/>
        <v>-2785.7</v>
      </c>
      <c r="G31" s="18">
        <f t="shared" si="0"/>
        <v>74.900000000000006</v>
      </c>
      <c r="H31" s="18">
        <f t="shared" si="5"/>
        <v>6751.9</v>
      </c>
      <c r="I31" s="18">
        <f t="shared" si="5"/>
        <v>6478</v>
      </c>
      <c r="J31" s="18">
        <f t="shared" si="5"/>
        <v>377.1</v>
      </c>
      <c r="K31" s="18">
        <f t="shared" si="5"/>
        <v>358.4</v>
      </c>
      <c r="L31" s="18">
        <f t="shared" si="5"/>
        <v>4339.3</v>
      </c>
      <c r="M31" s="18">
        <f t="shared" si="5"/>
        <v>1827.5</v>
      </c>
    </row>
    <row r="32" spans="1:13" ht="47.25" x14ac:dyDescent="0.25">
      <c r="A32" s="81" t="s">
        <v>112</v>
      </c>
      <c r="B32" s="82" t="s">
        <v>140</v>
      </c>
      <c r="C32" s="65" t="s">
        <v>57</v>
      </c>
      <c r="D32" s="19">
        <f>+'1 pr. asignavimai'!C81</f>
        <v>740.6</v>
      </c>
      <c r="E32" s="19">
        <f>+'1 pr. asignavimai'!D81</f>
        <v>446.2</v>
      </c>
      <c r="F32" s="19">
        <f>+'1 pr. asignavimai'!E81</f>
        <v>-294.39999999999998</v>
      </c>
      <c r="G32" s="19">
        <f t="shared" si="0"/>
        <v>60.2</v>
      </c>
      <c r="H32" s="19">
        <f>+'1 pr. asignavimai'!G81</f>
        <v>481.6</v>
      </c>
      <c r="I32" s="19">
        <f>+'1 pr. asignavimai'!H81</f>
        <v>303.89999999999998</v>
      </c>
      <c r="J32" s="19">
        <f>+'1 pr. asignavimai'!I81</f>
        <v>7.8</v>
      </c>
      <c r="K32" s="19">
        <f>+'1 pr. asignavimai'!J81</f>
        <v>5</v>
      </c>
      <c r="L32" s="19">
        <f>+'1 pr. asignavimai'!K81</f>
        <v>259</v>
      </c>
      <c r="M32" s="19">
        <f>+'1 pr. asignavimai'!L81</f>
        <v>142.30000000000001</v>
      </c>
    </row>
    <row r="33" spans="1:13" ht="45" customHeight="1" x14ac:dyDescent="0.25">
      <c r="A33" s="81"/>
      <c r="B33" s="83"/>
      <c r="C33" s="65" t="s">
        <v>5</v>
      </c>
      <c r="D33" s="19">
        <f>+'1 pr. asignavimai'!C128</f>
        <v>6995</v>
      </c>
      <c r="E33" s="19">
        <f>+'1 pr. asignavimai'!D128</f>
        <v>6780.4</v>
      </c>
      <c r="F33" s="19">
        <f>+'1 pr. asignavimai'!E128</f>
        <v>-214.6</v>
      </c>
      <c r="G33" s="19">
        <f t="shared" si="0"/>
        <v>96.9</v>
      </c>
      <c r="H33" s="19">
        <f>+'1 pr. asignavimai'!G128</f>
        <v>6737.3</v>
      </c>
      <c r="I33" s="19">
        <f>+'1 pr. asignavimai'!H128</f>
        <v>6598.8</v>
      </c>
      <c r="J33" s="19">
        <f>+'1 pr. asignavimai'!I128</f>
        <v>2402.4</v>
      </c>
      <c r="K33" s="19">
        <f>+'1 pr. asignavimai'!J128</f>
        <v>2394.9</v>
      </c>
      <c r="L33" s="19">
        <f>+'1 pr. asignavimai'!K128</f>
        <v>257.7</v>
      </c>
      <c r="M33" s="19">
        <f>+'1 pr. asignavimai'!L128</f>
        <v>181.6</v>
      </c>
    </row>
    <row r="34" spans="1:13" ht="31.5" x14ac:dyDescent="0.25">
      <c r="A34" s="81"/>
      <c r="B34" s="83"/>
      <c r="C34" s="65" t="s">
        <v>4</v>
      </c>
      <c r="D34" s="19">
        <f>+'1 pr. asignavimai'!C119</f>
        <v>200.5</v>
      </c>
      <c r="E34" s="19">
        <f>+'1 pr. asignavimai'!D119</f>
        <v>164.5</v>
      </c>
      <c r="F34" s="19">
        <f>+'1 pr. asignavimai'!E119</f>
        <v>-36</v>
      </c>
      <c r="G34" s="19">
        <f t="shared" si="0"/>
        <v>82</v>
      </c>
      <c r="H34" s="19">
        <f>+'1 pr. asignavimai'!G119</f>
        <v>176.2</v>
      </c>
      <c r="I34" s="19">
        <f>+'1 pr. asignavimai'!H119</f>
        <v>164.5</v>
      </c>
      <c r="J34" s="19">
        <f>+'1 pr. asignavimai'!I119</f>
        <v>0</v>
      </c>
      <c r="K34" s="19">
        <f>+'1 pr. asignavimai'!J119</f>
        <v>0</v>
      </c>
      <c r="L34" s="19">
        <f>+'1 pr. asignavimai'!K119</f>
        <v>24.3</v>
      </c>
      <c r="M34" s="19">
        <f>+'1 pr. asignavimai'!L119</f>
        <v>0</v>
      </c>
    </row>
    <row r="35" spans="1:13" ht="15.75" x14ac:dyDescent="0.25">
      <c r="A35" s="81"/>
      <c r="B35" s="83"/>
      <c r="C35" s="65" t="s">
        <v>99</v>
      </c>
      <c r="D35" s="18">
        <f>SUM(D32:D34)</f>
        <v>7936.1</v>
      </c>
      <c r="E35" s="18">
        <f t="shared" ref="E35:M35" si="6">SUM(E32:E34)</f>
        <v>7391.1</v>
      </c>
      <c r="F35" s="18">
        <f t="shared" si="6"/>
        <v>-545</v>
      </c>
      <c r="G35" s="18">
        <f t="shared" si="0"/>
        <v>93.1</v>
      </c>
      <c r="H35" s="18">
        <f t="shared" si="6"/>
        <v>7395.1</v>
      </c>
      <c r="I35" s="18">
        <f t="shared" si="6"/>
        <v>7067.2</v>
      </c>
      <c r="J35" s="18">
        <f t="shared" si="6"/>
        <v>2410.1999999999998</v>
      </c>
      <c r="K35" s="18">
        <f t="shared" si="6"/>
        <v>2399.9</v>
      </c>
      <c r="L35" s="18">
        <f t="shared" si="6"/>
        <v>541</v>
      </c>
      <c r="M35" s="18">
        <f t="shared" si="6"/>
        <v>323.89999999999998</v>
      </c>
    </row>
    <row r="36" spans="1:13" ht="31.5" x14ac:dyDescent="0.25">
      <c r="A36" s="64" t="s">
        <v>106</v>
      </c>
      <c r="B36" s="24" t="s">
        <v>107</v>
      </c>
      <c r="C36" s="65" t="s">
        <v>3</v>
      </c>
      <c r="D36" s="18">
        <f>+'1 pr. asignavimai'!C46</f>
        <v>190.6</v>
      </c>
      <c r="E36" s="18">
        <f>+'1 pr. asignavimai'!D46</f>
        <v>175.1</v>
      </c>
      <c r="F36" s="18">
        <f>+'1 pr. asignavimai'!E46</f>
        <v>-15.5</v>
      </c>
      <c r="G36" s="18">
        <f t="shared" si="0"/>
        <v>91.9</v>
      </c>
      <c r="H36" s="18">
        <f>+'1 pr. asignavimai'!G46</f>
        <v>190.6</v>
      </c>
      <c r="I36" s="18">
        <f>+'1 pr. asignavimai'!H46</f>
        <v>175.1</v>
      </c>
      <c r="J36" s="18">
        <f>+'1 pr. asignavimai'!I46</f>
        <v>2.5</v>
      </c>
      <c r="K36" s="18">
        <f>+'1 pr. asignavimai'!J46</f>
        <v>2.4</v>
      </c>
      <c r="L36" s="18">
        <f>+'1 pr. asignavimai'!K46</f>
        <v>0</v>
      </c>
      <c r="M36" s="18">
        <f>+'1 pr. asignavimai'!L46</f>
        <v>0</v>
      </c>
    </row>
    <row r="37" spans="1:13" ht="31.5" x14ac:dyDescent="0.25">
      <c r="A37" s="81" t="s">
        <v>108</v>
      </c>
      <c r="B37" s="82" t="s">
        <v>74</v>
      </c>
      <c r="C37" s="65" t="s">
        <v>3</v>
      </c>
      <c r="D37" s="19">
        <f>+'1 pr. asignavimai'!C47</f>
        <v>39.6</v>
      </c>
      <c r="E37" s="19">
        <f>+'1 pr. asignavimai'!D47</f>
        <v>38.200000000000003</v>
      </c>
      <c r="F37" s="19">
        <f>+'1 pr. asignavimai'!E47</f>
        <v>-1.4</v>
      </c>
      <c r="G37" s="19">
        <f t="shared" si="0"/>
        <v>96.5</v>
      </c>
      <c r="H37" s="19">
        <f>+'1 pr. asignavimai'!G47</f>
        <v>5</v>
      </c>
      <c r="I37" s="19">
        <f>+'1 pr. asignavimai'!H47</f>
        <v>3.9</v>
      </c>
      <c r="J37" s="19">
        <f>+'1 pr. asignavimai'!I47</f>
        <v>0</v>
      </c>
      <c r="K37" s="19">
        <f>+'1 pr. asignavimai'!J47</f>
        <v>0</v>
      </c>
      <c r="L37" s="19">
        <f>+'1 pr. asignavimai'!K47</f>
        <v>34.6</v>
      </c>
      <c r="M37" s="19">
        <f>+'1 pr. asignavimai'!L47</f>
        <v>34.299999999999997</v>
      </c>
    </row>
    <row r="38" spans="1:13" ht="47.25" x14ac:dyDescent="0.25">
      <c r="A38" s="81"/>
      <c r="B38" s="82"/>
      <c r="C38" s="65" t="s">
        <v>57</v>
      </c>
      <c r="D38" s="19">
        <f>+'1 pr. asignavimai'!C85</f>
        <v>572.1</v>
      </c>
      <c r="E38" s="19">
        <f>+'1 pr. asignavimai'!D85</f>
        <v>338.9</v>
      </c>
      <c r="F38" s="19">
        <f>+'1 pr. asignavimai'!E85</f>
        <v>-233.2</v>
      </c>
      <c r="G38" s="19">
        <f t="shared" si="0"/>
        <v>59.2</v>
      </c>
      <c r="H38" s="19">
        <f>+'1 pr. asignavimai'!G85</f>
        <v>11.8</v>
      </c>
      <c r="I38" s="19">
        <f>+'1 pr. asignavimai'!H85</f>
        <v>3.9</v>
      </c>
      <c r="J38" s="19">
        <f>+'1 pr. asignavimai'!I85</f>
        <v>3.6</v>
      </c>
      <c r="K38" s="19">
        <f>+'1 pr. asignavimai'!J85</f>
        <v>2.8</v>
      </c>
      <c r="L38" s="19">
        <f>+'1 pr. asignavimai'!K85</f>
        <v>560.29999999999995</v>
      </c>
      <c r="M38" s="19">
        <f>+'1 pr. asignavimai'!L85</f>
        <v>335</v>
      </c>
    </row>
    <row r="39" spans="1:13" ht="31.5" x14ac:dyDescent="0.25">
      <c r="A39" s="81"/>
      <c r="B39" s="82"/>
      <c r="C39" s="65" t="s">
        <v>4</v>
      </c>
      <c r="D39" s="19">
        <f>+'1 pr. asignavimai'!C120</f>
        <v>6726.1</v>
      </c>
      <c r="E39" s="19">
        <f>+'1 pr. asignavimai'!D120</f>
        <v>6256.1</v>
      </c>
      <c r="F39" s="19">
        <f>+'1 pr. asignavimai'!E120</f>
        <v>-470</v>
      </c>
      <c r="G39" s="19">
        <f t="shared" si="0"/>
        <v>93</v>
      </c>
      <c r="H39" s="19">
        <f>+'1 pr. asignavimai'!G120</f>
        <v>4883.2</v>
      </c>
      <c r="I39" s="19">
        <f>+'1 pr. asignavimai'!H120</f>
        <v>4798.3</v>
      </c>
      <c r="J39" s="19">
        <f>+'1 pr. asignavimai'!I120</f>
        <v>0</v>
      </c>
      <c r="K39" s="19">
        <f>+'1 pr. asignavimai'!J120</f>
        <v>0</v>
      </c>
      <c r="L39" s="19">
        <f>+'1 pr. asignavimai'!K120</f>
        <v>1842.9</v>
      </c>
      <c r="M39" s="19">
        <f>+'1 pr. asignavimai'!L120</f>
        <v>1457.8</v>
      </c>
    </row>
    <row r="40" spans="1:13" ht="48" customHeight="1" x14ac:dyDescent="0.25">
      <c r="A40" s="81"/>
      <c r="B40" s="82"/>
      <c r="C40" s="65" t="s">
        <v>5</v>
      </c>
      <c r="D40" s="19">
        <f>+'1 pr. asignavimai'!C132</f>
        <v>74152.7</v>
      </c>
      <c r="E40" s="19">
        <f>+'1 pr. asignavimai'!D132</f>
        <v>72682.5</v>
      </c>
      <c r="F40" s="19">
        <f>+'1 pr. asignavimai'!E132</f>
        <v>-1470.2</v>
      </c>
      <c r="G40" s="19">
        <f t="shared" si="0"/>
        <v>98</v>
      </c>
      <c r="H40" s="19">
        <f>+'1 pr. asignavimai'!G132</f>
        <v>73784.899999999994</v>
      </c>
      <c r="I40" s="19">
        <f>+'1 pr. asignavimai'!H132</f>
        <v>72316.899999999994</v>
      </c>
      <c r="J40" s="19">
        <f>+'1 pr. asignavimai'!I132</f>
        <v>48831.4</v>
      </c>
      <c r="K40" s="19">
        <f>+'1 pr. asignavimai'!J132</f>
        <v>48240.1</v>
      </c>
      <c r="L40" s="19">
        <f>+'1 pr. asignavimai'!K132</f>
        <v>367.8</v>
      </c>
      <c r="M40" s="19">
        <f>+'1 pr. asignavimai'!L132</f>
        <v>365.6</v>
      </c>
    </row>
    <row r="41" spans="1:13" ht="15.75" x14ac:dyDescent="0.25">
      <c r="A41" s="81"/>
      <c r="B41" s="82"/>
      <c r="C41" s="65" t="s">
        <v>99</v>
      </c>
      <c r="D41" s="18">
        <f>SUM(D37:D40)</f>
        <v>81490.5</v>
      </c>
      <c r="E41" s="18">
        <f t="shared" ref="E41:M41" si="7">SUM(E37:E40)</f>
        <v>79315.7</v>
      </c>
      <c r="F41" s="18">
        <f t="shared" si="7"/>
        <v>-2174.8000000000002</v>
      </c>
      <c r="G41" s="18">
        <f t="shared" si="0"/>
        <v>97.3</v>
      </c>
      <c r="H41" s="18">
        <f t="shared" si="7"/>
        <v>78684.899999999994</v>
      </c>
      <c r="I41" s="18">
        <f t="shared" si="7"/>
        <v>77123</v>
      </c>
      <c r="J41" s="18">
        <f t="shared" si="7"/>
        <v>48835</v>
      </c>
      <c r="K41" s="18">
        <f t="shared" si="7"/>
        <v>48242.9</v>
      </c>
      <c r="L41" s="18">
        <f t="shared" si="7"/>
        <v>2805.6</v>
      </c>
      <c r="M41" s="18">
        <f t="shared" si="7"/>
        <v>2192.6999999999998</v>
      </c>
    </row>
    <row r="42" spans="1:13" ht="31.5" x14ac:dyDescent="0.25">
      <c r="A42" s="81" t="s">
        <v>109</v>
      </c>
      <c r="B42" s="82" t="s">
        <v>78</v>
      </c>
      <c r="C42" s="65" t="s">
        <v>3</v>
      </c>
      <c r="D42" s="19">
        <f>+'1 pr. asignavimai'!C48</f>
        <v>237</v>
      </c>
      <c r="E42" s="19">
        <f>+'1 pr. asignavimai'!D48</f>
        <v>30</v>
      </c>
      <c r="F42" s="19">
        <f>+'1 pr. asignavimai'!E48</f>
        <v>-207</v>
      </c>
      <c r="G42" s="19">
        <f t="shared" si="0"/>
        <v>12.7</v>
      </c>
      <c r="H42" s="19">
        <f>+'1 pr. asignavimai'!G48</f>
        <v>0</v>
      </c>
      <c r="I42" s="19">
        <f>+'1 pr. asignavimai'!H48</f>
        <v>0</v>
      </c>
      <c r="J42" s="19">
        <f>+'1 pr. asignavimai'!I48</f>
        <v>0</v>
      </c>
      <c r="K42" s="19">
        <f>+'1 pr. asignavimai'!J48</f>
        <v>0</v>
      </c>
      <c r="L42" s="19">
        <f>+'1 pr. asignavimai'!K48</f>
        <v>237</v>
      </c>
      <c r="M42" s="19">
        <f>+'1 pr. asignavimai'!L48</f>
        <v>30</v>
      </c>
    </row>
    <row r="43" spans="1:13" ht="47.25" x14ac:dyDescent="0.25">
      <c r="A43" s="81"/>
      <c r="B43" s="82"/>
      <c r="C43" s="65" t="s">
        <v>57</v>
      </c>
      <c r="D43" s="19">
        <f>+'1 pr. asignavimai'!C90</f>
        <v>2438.1999999999998</v>
      </c>
      <c r="E43" s="19">
        <f>+'1 pr. asignavimai'!D90</f>
        <v>1798.4</v>
      </c>
      <c r="F43" s="19">
        <f>+'1 pr. asignavimai'!E90</f>
        <v>-639.79999999999995</v>
      </c>
      <c r="G43" s="19">
        <f t="shared" si="0"/>
        <v>73.8</v>
      </c>
      <c r="H43" s="19">
        <f>+'1 pr. asignavimai'!G90</f>
        <v>0</v>
      </c>
      <c r="I43" s="19">
        <f>+'1 pr. asignavimai'!H90</f>
        <v>0</v>
      </c>
      <c r="J43" s="19">
        <f>+'1 pr. asignavimai'!I90</f>
        <v>0</v>
      </c>
      <c r="K43" s="19">
        <f>+'1 pr. asignavimai'!J90</f>
        <v>0</v>
      </c>
      <c r="L43" s="19">
        <f>+'1 pr. asignavimai'!K90</f>
        <v>2438.1999999999998</v>
      </c>
      <c r="M43" s="19">
        <f>+'1 pr. asignavimai'!L90</f>
        <v>1798.4</v>
      </c>
    </row>
    <row r="44" spans="1:13" ht="31.5" x14ac:dyDescent="0.25">
      <c r="A44" s="81"/>
      <c r="B44" s="82"/>
      <c r="C44" s="65" t="s">
        <v>4</v>
      </c>
      <c r="D44" s="19">
        <f>+'1 pr. asignavimai'!C125</f>
        <v>157.9</v>
      </c>
      <c r="E44" s="19">
        <f>+'1 pr. asignavimai'!D125</f>
        <v>150.9</v>
      </c>
      <c r="F44" s="19">
        <f>+'1 pr. asignavimai'!E125</f>
        <v>-7</v>
      </c>
      <c r="G44" s="19">
        <f t="shared" si="0"/>
        <v>95.6</v>
      </c>
      <c r="H44" s="19">
        <f>+'1 pr. asignavimai'!G125</f>
        <v>157.9</v>
      </c>
      <c r="I44" s="19">
        <f>+'1 pr. asignavimai'!H125</f>
        <v>150.9</v>
      </c>
      <c r="J44" s="19">
        <f>+'1 pr. asignavimai'!I125</f>
        <v>0</v>
      </c>
      <c r="K44" s="19">
        <f>+'1 pr. asignavimai'!J125</f>
        <v>0</v>
      </c>
      <c r="L44" s="19">
        <f>+'1 pr. asignavimai'!K125</f>
        <v>0</v>
      </c>
      <c r="M44" s="19">
        <f>+'1 pr. asignavimai'!L125</f>
        <v>0</v>
      </c>
    </row>
    <row r="45" spans="1:13" ht="46.5" customHeight="1" x14ac:dyDescent="0.25">
      <c r="A45" s="81"/>
      <c r="B45" s="82"/>
      <c r="C45" s="65" t="s">
        <v>5</v>
      </c>
      <c r="D45" s="19">
        <f>+'1 pr. asignavimai'!C142</f>
        <v>7163.2</v>
      </c>
      <c r="E45" s="19">
        <f>+'1 pr. asignavimai'!D142</f>
        <v>6925.4</v>
      </c>
      <c r="F45" s="19">
        <f>+'1 pr. asignavimai'!E142</f>
        <v>-237.8</v>
      </c>
      <c r="G45" s="19">
        <f t="shared" si="0"/>
        <v>96.7</v>
      </c>
      <c r="H45" s="19">
        <f>+'1 pr. asignavimai'!G142</f>
        <v>6879.3</v>
      </c>
      <c r="I45" s="19">
        <f>+'1 pr. asignavimai'!H142</f>
        <v>6660.9</v>
      </c>
      <c r="J45" s="19">
        <f>+'1 pr. asignavimai'!I142</f>
        <v>2452.6</v>
      </c>
      <c r="K45" s="19">
        <f>+'1 pr. asignavimai'!J142</f>
        <v>2437.6999999999998</v>
      </c>
      <c r="L45" s="19">
        <f>+'1 pr. asignavimai'!K142</f>
        <v>283.89999999999998</v>
      </c>
      <c r="M45" s="19">
        <f>+'1 pr. asignavimai'!L142</f>
        <v>264.5</v>
      </c>
    </row>
    <row r="46" spans="1:13" ht="31.5" x14ac:dyDescent="0.25">
      <c r="A46" s="81"/>
      <c r="B46" s="82"/>
      <c r="C46" s="65" t="s">
        <v>6</v>
      </c>
      <c r="D46" s="19">
        <f>+'1 pr. asignavimai'!C173</f>
        <v>171.6</v>
      </c>
      <c r="E46" s="19">
        <f>+'1 pr. asignavimai'!D173</f>
        <v>171.4</v>
      </c>
      <c r="F46" s="19">
        <f>+'1 pr. asignavimai'!E173</f>
        <v>-0.2</v>
      </c>
      <c r="G46" s="19">
        <f t="shared" si="0"/>
        <v>99.9</v>
      </c>
      <c r="H46" s="19">
        <f>+'1 pr. asignavimai'!G173</f>
        <v>171.6</v>
      </c>
      <c r="I46" s="19">
        <f>+'1 pr. asignavimai'!H173</f>
        <v>171.4</v>
      </c>
      <c r="J46" s="19">
        <f>+'1 pr. asignavimai'!I173</f>
        <v>17.7</v>
      </c>
      <c r="K46" s="19">
        <f>+'1 pr. asignavimai'!J173</f>
        <v>17.600000000000001</v>
      </c>
      <c r="L46" s="19">
        <f>+'1 pr. asignavimai'!K173</f>
        <v>0</v>
      </c>
      <c r="M46" s="19">
        <f>+'1 pr. asignavimai'!L173</f>
        <v>0</v>
      </c>
    </row>
    <row r="47" spans="1:13" ht="15.75" x14ac:dyDescent="0.25">
      <c r="A47" s="81"/>
      <c r="B47" s="82"/>
      <c r="C47" s="65" t="s">
        <v>99</v>
      </c>
      <c r="D47" s="18">
        <f>SUM(D42:D46)</f>
        <v>10167.9</v>
      </c>
      <c r="E47" s="18">
        <f t="shared" ref="E47:M47" si="8">SUM(E42:E46)</f>
        <v>9076.1</v>
      </c>
      <c r="F47" s="18">
        <f t="shared" si="8"/>
        <v>-1091.8</v>
      </c>
      <c r="G47" s="18">
        <f t="shared" si="0"/>
        <v>89.3</v>
      </c>
      <c r="H47" s="18">
        <f t="shared" si="8"/>
        <v>7208.8</v>
      </c>
      <c r="I47" s="18">
        <f t="shared" si="8"/>
        <v>6983.2</v>
      </c>
      <c r="J47" s="18">
        <f t="shared" si="8"/>
        <v>2470.3000000000002</v>
      </c>
      <c r="K47" s="18">
        <f t="shared" si="8"/>
        <v>2455.3000000000002</v>
      </c>
      <c r="L47" s="18">
        <f t="shared" si="8"/>
        <v>2959.1</v>
      </c>
      <c r="M47" s="18">
        <f t="shared" si="8"/>
        <v>2092.9</v>
      </c>
    </row>
    <row r="48" spans="1:13" ht="34.5" customHeight="1" x14ac:dyDescent="0.25">
      <c r="A48" s="81" t="s">
        <v>110</v>
      </c>
      <c r="B48" s="82" t="s">
        <v>81</v>
      </c>
      <c r="C48" s="65" t="s">
        <v>3</v>
      </c>
      <c r="D48" s="19">
        <f>+'1 pr. asignavimai'!C49</f>
        <v>748</v>
      </c>
      <c r="E48" s="19">
        <f>+'1 pr. asignavimai'!D49</f>
        <v>541.6</v>
      </c>
      <c r="F48" s="19">
        <f>+'1 pr. asignavimai'!E49</f>
        <v>-206.4</v>
      </c>
      <c r="G48" s="19">
        <f t="shared" si="0"/>
        <v>72.400000000000006</v>
      </c>
      <c r="H48" s="19">
        <f>+'1 pr. asignavimai'!G49</f>
        <v>0</v>
      </c>
      <c r="I48" s="19">
        <f>+'1 pr. asignavimai'!H49</f>
        <v>0</v>
      </c>
      <c r="J48" s="19">
        <f>+'1 pr. asignavimai'!I49</f>
        <v>0</v>
      </c>
      <c r="K48" s="19">
        <f>+'1 pr. asignavimai'!J49</f>
        <v>0</v>
      </c>
      <c r="L48" s="19">
        <f>+'1 pr. asignavimai'!K49</f>
        <v>748</v>
      </c>
      <c r="M48" s="19">
        <f>+'1 pr. asignavimai'!L49</f>
        <v>541.6</v>
      </c>
    </row>
    <row r="49" spans="1:13" ht="51.75" customHeight="1" x14ac:dyDescent="0.25">
      <c r="A49" s="81"/>
      <c r="B49" s="82"/>
      <c r="C49" s="65" t="s">
        <v>57</v>
      </c>
      <c r="D49" s="19">
        <f>+'1 pr. asignavimai'!C94</f>
        <v>1482.2</v>
      </c>
      <c r="E49" s="19">
        <f>+'1 pr. asignavimai'!D94</f>
        <v>1151.0999999999999</v>
      </c>
      <c r="F49" s="19">
        <f>+'1 pr. asignavimai'!E94</f>
        <v>-331.1</v>
      </c>
      <c r="G49" s="19">
        <f t="shared" si="0"/>
        <v>77.7</v>
      </c>
      <c r="H49" s="19">
        <f>+'1 pr. asignavimai'!G94</f>
        <v>41.2</v>
      </c>
      <c r="I49" s="19">
        <f>+'1 pr. asignavimai'!H94</f>
        <v>3.9</v>
      </c>
      <c r="J49" s="19">
        <f>+'1 pr. asignavimai'!I94</f>
        <v>3.5</v>
      </c>
      <c r="K49" s="19">
        <f>+'1 pr. asignavimai'!J94</f>
        <v>2.9</v>
      </c>
      <c r="L49" s="19">
        <f>+'1 pr. asignavimai'!K94</f>
        <v>1441</v>
      </c>
      <c r="M49" s="19">
        <f>+'1 pr. asignavimai'!L94</f>
        <v>1147.2</v>
      </c>
    </row>
    <row r="50" spans="1:13" ht="36.75" customHeight="1" x14ac:dyDescent="0.25">
      <c r="A50" s="81"/>
      <c r="B50" s="82"/>
      <c r="C50" s="65" t="s">
        <v>4</v>
      </c>
      <c r="D50" s="19">
        <f>+'1 pr. asignavimai'!C126</f>
        <v>168.9</v>
      </c>
      <c r="E50" s="19">
        <f>+'1 pr. asignavimai'!D126</f>
        <v>168.6</v>
      </c>
      <c r="F50" s="19">
        <f>+'1 pr. asignavimai'!E126</f>
        <v>-0.3</v>
      </c>
      <c r="G50" s="19">
        <f t="shared" si="0"/>
        <v>99.8</v>
      </c>
      <c r="H50" s="19">
        <f>+'1 pr. asignavimai'!G126</f>
        <v>143.1</v>
      </c>
      <c r="I50" s="19">
        <f>+'1 pr. asignavimai'!H126</f>
        <v>142.80000000000001</v>
      </c>
      <c r="J50" s="19">
        <f>+'1 pr. asignavimai'!I126</f>
        <v>0</v>
      </c>
      <c r="K50" s="19">
        <f>+'1 pr. asignavimai'!J126</f>
        <v>0</v>
      </c>
      <c r="L50" s="19">
        <f>+'1 pr. asignavimai'!K126</f>
        <v>25.8</v>
      </c>
      <c r="M50" s="19">
        <f>+'1 pr. asignavimai'!L126</f>
        <v>25.8</v>
      </c>
    </row>
    <row r="51" spans="1:13" ht="36" customHeight="1" x14ac:dyDescent="0.25">
      <c r="A51" s="81"/>
      <c r="B51" s="82"/>
      <c r="C51" s="65" t="s">
        <v>6</v>
      </c>
      <c r="D51" s="19">
        <f>+'1 pr. asignavimai'!C147</f>
        <v>17011.2</v>
      </c>
      <c r="E51" s="19">
        <f>+'1 pr. asignavimai'!D147</f>
        <v>14605</v>
      </c>
      <c r="F51" s="19">
        <f>+'1 pr. asignavimai'!E147</f>
        <v>-2406.1999999999998</v>
      </c>
      <c r="G51" s="19">
        <f t="shared" si="0"/>
        <v>85.9</v>
      </c>
      <c r="H51" s="19">
        <f>+'1 pr. asignavimai'!G147</f>
        <v>16832</v>
      </c>
      <c r="I51" s="19">
        <f>+'1 pr. asignavimai'!H147</f>
        <v>14458.8</v>
      </c>
      <c r="J51" s="19">
        <f>+'1 pr. asignavimai'!I147</f>
        <v>4575.1000000000004</v>
      </c>
      <c r="K51" s="19">
        <f>+'1 pr. asignavimai'!J147</f>
        <v>4486.7</v>
      </c>
      <c r="L51" s="19">
        <f>+'1 pr. asignavimai'!K147</f>
        <v>179.2</v>
      </c>
      <c r="M51" s="19">
        <f>+'1 pr. asignavimai'!L147</f>
        <v>146.19999999999999</v>
      </c>
    </row>
    <row r="52" spans="1:13" ht="21" customHeight="1" x14ac:dyDescent="0.25">
      <c r="A52" s="81"/>
      <c r="B52" s="82"/>
      <c r="C52" s="65" t="s">
        <v>99</v>
      </c>
      <c r="D52" s="18">
        <f>SUM(D48:D51)</f>
        <v>19410.3</v>
      </c>
      <c r="E52" s="18">
        <f t="shared" ref="E52:M52" si="9">SUM(E48:E51)</f>
        <v>16466.3</v>
      </c>
      <c r="F52" s="18">
        <f t="shared" si="9"/>
        <v>-2944</v>
      </c>
      <c r="G52" s="18">
        <f t="shared" si="0"/>
        <v>84.8</v>
      </c>
      <c r="H52" s="18">
        <f t="shared" si="9"/>
        <v>17016.3</v>
      </c>
      <c r="I52" s="18">
        <f t="shared" si="9"/>
        <v>14605.5</v>
      </c>
      <c r="J52" s="18">
        <f t="shared" si="9"/>
        <v>4578.6000000000004</v>
      </c>
      <c r="K52" s="18">
        <f t="shared" si="9"/>
        <v>4489.6000000000004</v>
      </c>
      <c r="L52" s="18">
        <f t="shared" si="9"/>
        <v>2394</v>
      </c>
      <c r="M52" s="18">
        <f t="shared" si="9"/>
        <v>1860.8</v>
      </c>
    </row>
    <row r="53" spans="1:13" ht="28.5" customHeight="1" x14ac:dyDescent="0.25">
      <c r="A53" s="64"/>
      <c r="B53" s="82" t="s">
        <v>87</v>
      </c>
      <c r="C53" s="65" t="s">
        <v>3</v>
      </c>
      <c r="D53" s="19">
        <f>+'1 pr. asignavimai'!C53</f>
        <v>50</v>
      </c>
      <c r="E53" s="19">
        <f>+'1 pr. asignavimai'!D53</f>
        <v>50</v>
      </c>
      <c r="F53" s="19">
        <f>+'1 pr. asignavimai'!E53</f>
        <v>0</v>
      </c>
      <c r="G53" s="19">
        <f t="shared" si="0"/>
        <v>100</v>
      </c>
      <c r="H53" s="19">
        <f>+'1 pr. asignavimai'!G53</f>
        <v>0</v>
      </c>
      <c r="I53" s="19">
        <f>+'1 pr. asignavimai'!H53</f>
        <v>0</v>
      </c>
      <c r="J53" s="19">
        <f>+'1 pr. asignavimai'!I53</f>
        <v>0</v>
      </c>
      <c r="K53" s="19">
        <f>+'1 pr. asignavimai'!J53</f>
        <v>0</v>
      </c>
      <c r="L53" s="19">
        <f>+'1 pr. asignavimai'!K53</f>
        <v>50</v>
      </c>
      <c r="M53" s="19">
        <f>+'1 pr. asignavimai'!L53</f>
        <v>50</v>
      </c>
    </row>
    <row r="54" spans="1:13" ht="47.25" x14ac:dyDescent="0.25">
      <c r="A54" s="81" t="s">
        <v>150</v>
      </c>
      <c r="B54" s="82"/>
      <c r="C54" s="65" t="s">
        <v>57</v>
      </c>
      <c r="D54" s="19">
        <f>+'1 pr. asignavimai'!C98</f>
        <v>123</v>
      </c>
      <c r="E54" s="19">
        <f>+'1 pr. asignavimai'!D98</f>
        <v>7</v>
      </c>
      <c r="F54" s="19">
        <f>+'1 pr. asignavimai'!E98</f>
        <v>-116</v>
      </c>
      <c r="G54" s="19">
        <f t="shared" si="0"/>
        <v>5.7</v>
      </c>
      <c r="H54" s="19">
        <f>+'1 pr. asignavimai'!G98</f>
        <v>83</v>
      </c>
      <c r="I54" s="19">
        <f>+'1 pr. asignavimai'!H98</f>
        <v>7</v>
      </c>
      <c r="J54" s="19">
        <f>+'1 pr. asignavimai'!I98</f>
        <v>0</v>
      </c>
      <c r="K54" s="19">
        <f>+'1 pr. asignavimai'!J98</f>
        <v>0</v>
      </c>
      <c r="L54" s="19">
        <f>+'1 pr. asignavimai'!K98</f>
        <v>40</v>
      </c>
      <c r="M54" s="19">
        <f>+'1 pr. asignavimai'!L98</f>
        <v>0</v>
      </c>
    </row>
    <row r="55" spans="1:13" ht="31.5" x14ac:dyDescent="0.25">
      <c r="A55" s="81"/>
      <c r="B55" s="82"/>
      <c r="C55" s="65" t="s">
        <v>6</v>
      </c>
      <c r="D55" s="19">
        <f>+'1 pr. asignavimai'!C161</f>
        <v>2362.1999999999998</v>
      </c>
      <c r="E55" s="19">
        <f>+'1 pr. asignavimai'!D161</f>
        <v>2187.6</v>
      </c>
      <c r="F55" s="19">
        <f>+'1 pr. asignavimai'!E161</f>
        <v>-174.6</v>
      </c>
      <c r="G55" s="19">
        <f t="shared" si="0"/>
        <v>92.6</v>
      </c>
      <c r="H55" s="19">
        <f>+'1 pr. asignavimai'!G161</f>
        <v>2200.1</v>
      </c>
      <c r="I55" s="19">
        <f>+'1 pr. asignavimai'!H161</f>
        <v>2077.1</v>
      </c>
      <c r="J55" s="19">
        <f>+'1 pr. asignavimai'!I161</f>
        <v>1303.4000000000001</v>
      </c>
      <c r="K55" s="19">
        <f>+'1 pr. asignavimai'!J161</f>
        <v>1295.9000000000001</v>
      </c>
      <c r="L55" s="19">
        <f>+'1 pr. asignavimai'!K161</f>
        <v>162.1</v>
      </c>
      <c r="M55" s="19">
        <f>+'1 pr. asignavimai'!L161</f>
        <v>110.5</v>
      </c>
    </row>
    <row r="56" spans="1:13" ht="15.75" x14ac:dyDescent="0.25">
      <c r="A56" s="81"/>
      <c r="B56" s="82"/>
      <c r="C56" s="65" t="s">
        <v>99</v>
      </c>
      <c r="D56" s="18">
        <f>SUM(D53:D55)</f>
        <v>2535.1999999999998</v>
      </c>
      <c r="E56" s="18">
        <f t="shared" ref="E56:M56" si="10">SUM(E53:E55)</f>
        <v>2244.6</v>
      </c>
      <c r="F56" s="18">
        <f t="shared" si="10"/>
        <v>-290.60000000000002</v>
      </c>
      <c r="G56" s="18">
        <f t="shared" si="0"/>
        <v>88.5</v>
      </c>
      <c r="H56" s="18">
        <f t="shared" si="10"/>
        <v>2283.1</v>
      </c>
      <c r="I56" s="18">
        <f t="shared" si="10"/>
        <v>2084.1</v>
      </c>
      <c r="J56" s="18">
        <f t="shared" si="10"/>
        <v>1303.4000000000001</v>
      </c>
      <c r="K56" s="18">
        <f t="shared" si="10"/>
        <v>1295.9000000000001</v>
      </c>
      <c r="L56" s="18">
        <f t="shared" si="10"/>
        <v>252.1</v>
      </c>
      <c r="M56" s="18">
        <f t="shared" si="10"/>
        <v>160.5</v>
      </c>
    </row>
    <row r="57" spans="1:13" ht="15.75" x14ac:dyDescent="0.25">
      <c r="A57" s="66" t="s">
        <v>96</v>
      </c>
      <c r="B57" s="7" t="s">
        <v>111</v>
      </c>
      <c r="C57" s="7"/>
      <c r="D57" s="18">
        <f>+D13+D14+D18+D19+D23+D27+D31+D35+D41+D47+D52+D56+D36</f>
        <v>170136</v>
      </c>
      <c r="E57" s="18">
        <f t="shared" ref="E57:M57" si="11">+E13+E14+E18+E19+E23+E27+E31+E35+E41+E47+E52+E56+E36</f>
        <v>156460.6</v>
      </c>
      <c r="F57" s="18">
        <f t="shared" si="11"/>
        <v>-13675.4</v>
      </c>
      <c r="G57" s="18">
        <f t="shared" si="0"/>
        <v>92</v>
      </c>
      <c r="H57" s="18">
        <f t="shared" si="11"/>
        <v>144265.9</v>
      </c>
      <c r="I57" s="18">
        <f t="shared" si="11"/>
        <v>137649</v>
      </c>
      <c r="J57" s="18">
        <f t="shared" si="11"/>
        <v>65259.6</v>
      </c>
      <c r="K57" s="18">
        <f t="shared" si="11"/>
        <v>64452.9</v>
      </c>
      <c r="L57" s="18">
        <f t="shared" si="11"/>
        <v>25870.1</v>
      </c>
      <c r="M57" s="18">
        <f t="shared" si="11"/>
        <v>18811.599999999999</v>
      </c>
    </row>
    <row r="59" spans="1:13" x14ac:dyDescent="0.2">
      <c r="B59" s="17"/>
      <c r="C59" s="17"/>
    </row>
  </sheetData>
  <mergeCells count="36">
    <mergeCell ref="A28:A31"/>
    <mergeCell ref="B28:B31"/>
    <mergeCell ref="A10:A13"/>
    <mergeCell ref="B10:B13"/>
    <mergeCell ref="A15:A18"/>
    <mergeCell ref="B15:B18"/>
    <mergeCell ref="A20:A23"/>
    <mergeCell ref="B20:B23"/>
    <mergeCell ref="A24:A27"/>
    <mergeCell ref="A2:M2"/>
    <mergeCell ref="A5:A8"/>
    <mergeCell ref="B5:B8"/>
    <mergeCell ref="C5:C8"/>
    <mergeCell ref="B24:B27"/>
    <mergeCell ref="D5:D8"/>
    <mergeCell ref="A54:A56"/>
    <mergeCell ref="B32:B35"/>
    <mergeCell ref="A48:A52"/>
    <mergeCell ref="B48:B52"/>
    <mergeCell ref="B37:B41"/>
    <mergeCell ref="B42:B47"/>
    <mergeCell ref="B53:B56"/>
    <mergeCell ref="A42:A47"/>
    <mergeCell ref="A37:A41"/>
    <mergeCell ref="A32:A35"/>
    <mergeCell ref="E5:E8"/>
    <mergeCell ref="F5:F8"/>
    <mergeCell ref="G5:G8"/>
    <mergeCell ref="H5:M5"/>
    <mergeCell ref="H6:K6"/>
    <mergeCell ref="L6:M6"/>
    <mergeCell ref="H7:H8"/>
    <mergeCell ref="I7:I8"/>
    <mergeCell ref="J7:K7"/>
    <mergeCell ref="L7:L8"/>
    <mergeCell ref="M7:M8"/>
  </mergeCells>
  <pageMargins left="0.9055118110236221" right="0.51181102362204722" top="0.74803149606299213" bottom="0.3937007874015748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showZeros="0" zoomScaleNormal="100" workbookViewId="0">
      <pane xSplit="2" ySplit="9" topLeftCell="C43" activePane="bottomRight" state="frozen"/>
      <selection pane="topRight" activeCell="C1" sqref="C1"/>
      <selection pane="bottomLeft" activeCell="A12" sqref="A12"/>
      <selection pane="bottomRight" activeCell="F53" sqref="F53"/>
    </sheetView>
  </sheetViews>
  <sheetFormatPr defaultRowHeight="15" x14ac:dyDescent="0.25"/>
  <cols>
    <col min="2" max="2" width="44" customWidth="1"/>
    <col min="3" max="3" width="10.5703125" customWidth="1"/>
    <col min="4" max="4" width="9.5703125" bestFit="1" customWidth="1"/>
    <col min="5" max="8" width="9.28515625" bestFit="1" customWidth="1"/>
    <col min="9" max="9" width="11.28515625" customWidth="1"/>
    <col min="10" max="10" width="10.42578125" customWidth="1"/>
    <col min="11" max="12" width="9.5703125" bestFit="1" customWidth="1"/>
  </cols>
  <sheetData>
    <row r="1" spans="1:12" ht="15.75" x14ac:dyDescent="0.2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s="2" customFormat="1" ht="15.75" x14ac:dyDescent="0.25">
      <c r="A2" s="76" t="s">
        <v>235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s="2" customFormat="1" ht="15.75" x14ac:dyDescent="0.25">
      <c r="A3" s="62"/>
      <c r="B3" s="62"/>
      <c r="C3" s="62"/>
      <c r="D3" s="62"/>
      <c r="E3" s="62"/>
      <c r="F3" s="62"/>
      <c r="G3" s="62"/>
      <c r="H3" s="62"/>
      <c r="I3" s="8"/>
      <c r="J3" s="8"/>
      <c r="K3" s="8"/>
      <c r="L3" s="8"/>
    </row>
    <row r="4" spans="1:12" s="2" customFormat="1" ht="15.75" x14ac:dyDescent="0.25">
      <c r="A4" s="62"/>
      <c r="B4" s="62"/>
      <c r="C4" s="8"/>
      <c r="D4" s="8"/>
      <c r="E4" s="8"/>
      <c r="F4" s="8"/>
      <c r="G4" s="8"/>
      <c r="H4" s="8"/>
      <c r="I4" s="8"/>
      <c r="J4" s="8"/>
      <c r="K4" s="8" t="s">
        <v>122</v>
      </c>
      <c r="L4" s="8"/>
    </row>
    <row r="5" spans="1:12" s="34" customFormat="1" ht="15.75" x14ac:dyDescent="0.25">
      <c r="A5" s="77" t="s">
        <v>0</v>
      </c>
      <c r="B5" s="77" t="s">
        <v>135</v>
      </c>
      <c r="C5" s="78" t="s">
        <v>257</v>
      </c>
      <c r="D5" s="78" t="s">
        <v>242</v>
      </c>
      <c r="E5" s="78" t="s">
        <v>258</v>
      </c>
      <c r="F5" s="79" t="s">
        <v>259</v>
      </c>
      <c r="G5" s="80" t="s">
        <v>245</v>
      </c>
      <c r="H5" s="80"/>
      <c r="I5" s="80"/>
      <c r="J5" s="80"/>
      <c r="K5" s="80"/>
      <c r="L5" s="80"/>
    </row>
    <row r="6" spans="1:12" s="2" customFormat="1" ht="15.75" customHeight="1" x14ac:dyDescent="0.25">
      <c r="A6" s="77"/>
      <c r="B6" s="77"/>
      <c r="C6" s="78"/>
      <c r="D6" s="78"/>
      <c r="E6" s="78"/>
      <c r="F6" s="79"/>
      <c r="G6" s="78" t="s">
        <v>38</v>
      </c>
      <c r="H6" s="78"/>
      <c r="I6" s="78"/>
      <c r="J6" s="78"/>
      <c r="K6" s="78" t="s">
        <v>39</v>
      </c>
      <c r="L6" s="78"/>
    </row>
    <row r="7" spans="1:12" s="2" customFormat="1" ht="15.75" customHeight="1" x14ac:dyDescent="0.25">
      <c r="A7" s="77"/>
      <c r="B7" s="77"/>
      <c r="C7" s="78"/>
      <c r="D7" s="78"/>
      <c r="E7" s="78"/>
      <c r="F7" s="79"/>
      <c r="G7" s="78" t="s">
        <v>260</v>
      </c>
      <c r="H7" s="78" t="s">
        <v>242</v>
      </c>
      <c r="I7" s="79" t="s">
        <v>246</v>
      </c>
      <c r="J7" s="79"/>
      <c r="K7" s="78" t="s">
        <v>260</v>
      </c>
      <c r="L7" s="78" t="s">
        <v>242</v>
      </c>
    </row>
    <row r="8" spans="1:12" s="2" customFormat="1" ht="47.25" customHeight="1" x14ac:dyDescent="0.25">
      <c r="A8" s="77"/>
      <c r="B8" s="77"/>
      <c r="C8" s="78"/>
      <c r="D8" s="78"/>
      <c r="E8" s="78"/>
      <c r="F8" s="79"/>
      <c r="G8" s="78"/>
      <c r="H8" s="78"/>
      <c r="I8" s="23" t="s">
        <v>217</v>
      </c>
      <c r="J8" s="23" t="s">
        <v>242</v>
      </c>
      <c r="K8" s="78"/>
      <c r="L8" s="78"/>
    </row>
    <row r="9" spans="1:12" s="2" customFormat="1" ht="15.75" x14ac:dyDescent="0.25">
      <c r="A9" s="65">
        <v>1</v>
      </c>
      <c r="B9" s="65">
        <v>2</v>
      </c>
      <c r="C9" s="65">
        <v>3</v>
      </c>
      <c r="D9" s="65">
        <v>4</v>
      </c>
      <c r="E9" s="65">
        <v>5</v>
      </c>
      <c r="F9" s="65">
        <v>6</v>
      </c>
      <c r="G9" s="65">
        <v>7</v>
      </c>
      <c r="H9" s="65">
        <v>8</v>
      </c>
      <c r="I9" s="65">
        <v>9</v>
      </c>
      <c r="J9" s="65">
        <v>10</v>
      </c>
      <c r="K9" s="65">
        <v>11</v>
      </c>
      <c r="L9" s="65">
        <v>12</v>
      </c>
    </row>
    <row r="10" spans="1:12" s="2" customFormat="1" ht="31.5" x14ac:dyDescent="0.25">
      <c r="A10" s="12">
        <v>1</v>
      </c>
      <c r="B10" s="10" t="s">
        <v>125</v>
      </c>
      <c r="C10" s="18">
        <f>+C12+C15+C17+C24</f>
        <v>1598.7</v>
      </c>
      <c r="D10" s="18">
        <f t="shared" ref="D10:L10" si="0">+D12+D15+D17+D24</f>
        <v>1320.4</v>
      </c>
      <c r="E10" s="18">
        <f t="shared" si="0"/>
        <v>-278.3</v>
      </c>
      <c r="F10" s="18">
        <f>+D10/C10*100</f>
        <v>82.6</v>
      </c>
      <c r="G10" s="18">
        <f t="shared" si="0"/>
        <v>1460.9</v>
      </c>
      <c r="H10" s="18">
        <f t="shared" si="0"/>
        <v>1184</v>
      </c>
      <c r="I10" s="18">
        <f t="shared" si="0"/>
        <v>120.8</v>
      </c>
      <c r="J10" s="18">
        <f t="shared" si="0"/>
        <v>120.7</v>
      </c>
      <c r="K10" s="18">
        <f t="shared" si="0"/>
        <v>137.80000000000001</v>
      </c>
      <c r="L10" s="18">
        <f t="shared" si="0"/>
        <v>136.4</v>
      </c>
    </row>
    <row r="11" spans="1:12" s="2" customFormat="1" ht="15.75" x14ac:dyDescent="0.25">
      <c r="A11" s="12">
        <v>2</v>
      </c>
      <c r="B11" s="65" t="s">
        <v>2</v>
      </c>
      <c r="C11" s="19">
        <f t="shared" ref="C11:C72" si="1">+G11+K11</f>
        <v>0</v>
      </c>
      <c r="D11" s="19">
        <f t="shared" ref="D11:D72" si="2">+H11+L11</f>
        <v>0</v>
      </c>
      <c r="E11" s="19">
        <f t="shared" ref="E11:E72" si="3">+D11-C11</f>
        <v>0</v>
      </c>
      <c r="F11" s="19"/>
      <c r="G11" s="19"/>
      <c r="H11" s="19"/>
      <c r="I11" s="19"/>
      <c r="J11" s="19"/>
      <c r="K11" s="19"/>
      <c r="L11" s="19"/>
    </row>
    <row r="12" spans="1:12" s="2" customFormat="1" ht="15.75" x14ac:dyDescent="0.25">
      <c r="A12" s="12">
        <v>3</v>
      </c>
      <c r="B12" s="7" t="s">
        <v>3</v>
      </c>
      <c r="C12" s="18">
        <f>+C13</f>
        <v>43.1</v>
      </c>
      <c r="D12" s="18">
        <f t="shared" ref="D12:E12" si="4">+D13</f>
        <v>43.1</v>
      </c>
      <c r="E12" s="18">
        <f t="shared" si="4"/>
        <v>0</v>
      </c>
      <c r="F12" s="18">
        <f t="shared" ref="F12:F74" si="5">+D12/C12*100</f>
        <v>100</v>
      </c>
      <c r="G12" s="18">
        <f t="shared" ref="G12" si="6">+G13</f>
        <v>0.1</v>
      </c>
      <c r="H12" s="18">
        <f t="shared" ref="H12" si="7">+H13</f>
        <v>0.1</v>
      </c>
      <c r="I12" s="18">
        <f t="shared" ref="I12" si="8">+I13</f>
        <v>0</v>
      </c>
      <c r="J12" s="18">
        <f t="shared" ref="J12" si="9">+J13</f>
        <v>0</v>
      </c>
      <c r="K12" s="18">
        <f t="shared" ref="K12" si="10">+K13</f>
        <v>43</v>
      </c>
      <c r="L12" s="18">
        <f t="shared" ref="L12" si="11">+L13</f>
        <v>43</v>
      </c>
    </row>
    <row r="13" spans="1:12" s="2" customFormat="1" ht="15.75" x14ac:dyDescent="0.25">
      <c r="A13" s="12">
        <v>4</v>
      </c>
      <c r="B13" s="6" t="s">
        <v>42</v>
      </c>
      <c r="C13" s="19">
        <f t="shared" si="1"/>
        <v>43.1</v>
      </c>
      <c r="D13" s="19">
        <f t="shared" si="2"/>
        <v>43.1</v>
      </c>
      <c r="E13" s="19">
        <f t="shared" si="3"/>
        <v>0</v>
      </c>
      <c r="F13" s="19">
        <f t="shared" si="5"/>
        <v>100</v>
      </c>
      <c r="G13" s="19">
        <v>0.1</v>
      </c>
      <c r="H13" s="19">
        <v>0.1</v>
      </c>
      <c r="I13" s="19"/>
      <c r="J13" s="19"/>
      <c r="K13" s="19">
        <v>43</v>
      </c>
      <c r="L13" s="19">
        <v>43</v>
      </c>
    </row>
    <row r="14" spans="1:12" s="2" customFormat="1" ht="15.75" x14ac:dyDescent="0.25">
      <c r="A14" s="12">
        <v>5</v>
      </c>
      <c r="B14" s="32" t="s">
        <v>149</v>
      </c>
      <c r="C14" s="19">
        <f t="shared" si="1"/>
        <v>41.2</v>
      </c>
      <c r="D14" s="19">
        <f t="shared" si="2"/>
        <v>41.2</v>
      </c>
      <c r="E14" s="19">
        <f t="shared" si="3"/>
        <v>0</v>
      </c>
      <c r="F14" s="19">
        <f t="shared" si="5"/>
        <v>100</v>
      </c>
      <c r="G14" s="19"/>
      <c r="H14" s="19"/>
      <c r="I14" s="19"/>
      <c r="J14" s="19"/>
      <c r="K14" s="19">
        <v>41.2</v>
      </c>
      <c r="L14" s="19">
        <v>41.2</v>
      </c>
    </row>
    <row r="15" spans="1:12" s="2" customFormat="1" ht="15.75" x14ac:dyDescent="0.25">
      <c r="A15" s="12">
        <v>6</v>
      </c>
      <c r="B15" s="7" t="s">
        <v>4</v>
      </c>
      <c r="C15" s="18">
        <f>+C16</f>
        <v>3.6</v>
      </c>
      <c r="D15" s="18">
        <f t="shared" ref="D15:E15" si="12">+D16</f>
        <v>3.5</v>
      </c>
      <c r="E15" s="18">
        <f t="shared" si="12"/>
        <v>-0.1</v>
      </c>
      <c r="F15" s="18">
        <f t="shared" si="5"/>
        <v>97.2</v>
      </c>
      <c r="G15" s="18">
        <f t="shared" ref="G15" si="13">+G16</f>
        <v>3.6</v>
      </c>
      <c r="H15" s="18">
        <f t="shared" ref="H15" si="14">+H16</f>
        <v>3.5</v>
      </c>
      <c r="I15" s="18">
        <f t="shared" ref="I15" si="15">+I16</f>
        <v>0</v>
      </c>
      <c r="J15" s="18">
        <f t="shared" ref="J15" si="16">+J16</f>
        <v>0</v>
      </c>
      <c r="K15" s="18">
        <f t="shared" ref="K15" si="17">+K16</f>
        <v>0</v>
      </c>
      <c r="L15" s="18">
        <f t="shared" ref="L15" si="18">+L16</f>
        <v>0</v>
      </c>
    </row>
    <row r="16" spans="1:12" s="2" customFormat="1" ht="31.5" x14ac:dyDescent="0.25">
      <c r="A16" s="12">
        <v>7</v>
      </c>
      <c r="B16" s="6" t="s">
        <v>71</v>
      </c>
      <c r="C16" s="19">
        <f t="shared" si="1"/>
        <v>3.6</v>
      </c>
      <c r="D16" s="19">
        <f t="shared" si="2"/>
        <v>3.5</v>
      </c>
      <c r="E16" s="19">
        <f t="shared" si="3"/>
        <v>-0.1</v>
      </c>
      <c r="F16" s="19">
        <f t="shared" si="5"/>
        <v>97.2</v>
      </c>
      <c r="G16" s="19">
        <f>0.5+3.1</f>
        <v>3.6</v>
      </c>
      <c r="H16" s="19">
        <f>3.1+0.4</f>
        <v>3.5</v>
      </c>
      <c r="I16" s="19"/>
      <c r="J16" s="19"/>
      <c r="K16" s="19"/>
      <c r="L16" s="19"/>
    </row>
    <row r="17" spans="1:12" s="2" customFormat="1" ht="15.75" x14ac:dyDescent="0.25">
      <c r="A17" s="12">
        <v>8</v>
      </c>
      <c r="B17" s="3" t="s">
        <v>126</v>
      </c>
      <c r="C17" s="18">
        <f>+C18+C20+C22</f>
        <v>706</v>
      </c>
      <c r="D17" s="18">
        <f t="shared" ref="D17:E17" si="19">+D18+D20+D22</f>
        <v>700.2</v>
      </c>
      <c r="E17" s="18">
        <f t="shared" si="19"/>
        <v>-5.8</v>
      </c>
      <c r="F17" s="18">
        <f t="shared" si="5"/>
        <v>99.2</v>
      </c>
      <c r="G17" s="18">
        <f t="shared" ref="G17" si="20">+G18+G20+G22</f>
        <v>615.6</v>
      </c>
      <c r="H17" s="18">
        <f t="shared" ref="H17" si="21">+H18+H20+H22</f>
        <v>609.9</v>
      </c>
      <c r="I17" s="18">
        <f t="shared" ref="I17" si="22">+I18+I20+I22</f>
        <v>120.8</v>
      </c>
      <c r="J17" s="18">
        <f t="shared" ref="J17" si="23">+J18+J20+J22</f>
        <v>120.7</v>
      </c>
      <c r="K17" s="18">
        <f t="shared" ref="K17" si="24">+K18+K20+K22</f>
        <v>90.4</v>
      </c>
      <c r="L17" s="18">
        <f t="shared" ref="L17" si="25">+L18+L20+L22</f>
        <v>90.3</v>
      </c>
    </row>
    <row r="18" spans="1:12" s="2" customFormat="1" ht="15.75" x14ac:dyDescent="0.25">
      <c r="A18" s="12">
        <v>9</v>
      </c>
      <c r="B18" s="6" t="s">
        <v>140</v>
      </c>
      <c r="C18" s="19">
        <f t="shared" si="1"/>
        <v>61.4</v>
      </c>
      <c r="D18" s="19">
        <f t="shared" si="2"/>
        <v>55.6</v>
      </c>
      <c r="E18" s="19">
        <f t="shared" si="3"/>
        <v>-5.8</v>
      </c>
      <c r="F18" s="19">
        <f t="shared" si="5"/>
        <v>90.6</v>
      </c>
      <c r="G18" s="19">
        <f>14.1+41.5-K18+5.8</f>
        <v>56.1</v>
      </c>
      <c r="H18" s="19">
        <f>14.1+41.2-L18+0.3</f>
        <v>50.4</v>
      </c>
      <c r="I18" s="19"/>
      <c r="J18" s="19"/>
      <c r="K18" s="19">
        <v>5.3</v>
      </c>
      <c r="L18" s="19">
        <v>5.2</v>
      </c>
    </row>
    <row r="19" spans="1:12" s="2" customFormat="1" ht="15.75" x14ac:dyDescent="0.25">
      <c r="A19" s="12">
        <v>10</v>
      </c>
      <c r="B19" s="32" t="s">
        <v>149</v>
      </c>
      <c r="C19" s="19">
        <f t="shared" si="1"/>
        <v>0.5</v>
      </c>
      <c r="D19" s="19">
        <f t="shared" si="2"/>
        <v>0.5</v>
      </c>
      <c r="E19" s="19">
        <f t="shared" si="3"/>
        <v>0</v>
      </c>
      <c r="F19" s="19">
        <f t="shared" si="5"/>
        <v>100</v>
      </c>
      <c r="G19" s="19">
        <v>0.5</v>
      </c>
      <c r="H19" s="19">
        <v>0.5</v>
      </c>
      <c r="I19" s="19"/>
      <c r="J19" s="19"/>
      <c r="K19" s="19"/>
      <c r="L19" s="19"/>
    </row>
    <row r="20" spans="1:12" s="2" customFormat="1" ht="15.75" x14ac:dyDescent="0.25">
      <c r="A20" s="12">
        <v>11</v>
      </c>
      <c r="B20" s="4" t="s">
        <v>64</v>
      </c>
      <c r="C20" s="19">
        <f t="shared" si="1"/>
        <v>593.70000000000005</v>
      </c>
      <c r="D20" s="19">
        <f t="shared" si="2"/>
        <v>593.70000000000005</v>
      </c>
      <c r="E20" s="19">
        <f t="shared" si="3"/>
        <v>0</v>
      </c>
      <c r="F20" s="19">
        <f t="shared" si="5"/>
        <v>100</v>
      </c>
      <c r="G20" s="19">
        <f>1.1+9.8+42.9-K20+448+91.9</f>
        <v>508.6</v>
      </c>
      <c r="H20" s="19">
        <f>1.1+9.8+42.9-L20+448+91.9</f>
        <v>508.6</v>
      </c>
      <c r="I20" s="19">
        <f>11.3+89.9+19.6</f>
        <v>120.8</v>
      </c>
      <c r="J20" s="19">
        <f>89.9+11.3+19.5</f>
        <v>120.7</v>
      </c>
      <c r="K20" s="19">
        <f>0.6+84.5</f>
        <v>85.1</v>
      </c>
      <c r="L20" s="19">
        <f>0.6+84.5</f>
        <v>85.1</v>
      </c>
    </row>
    <row r="21" spans="1:12" s="2" customFormat="1" ht="15.75" x14ac:dyDescent="0.25">
      <c r="A21" s="12">
        <v>12</v>
      </c>
      <c r="B21" s="32" t="s">
        <v>149</v>
      </c>
      <c r="C21" s="19">
        <f t="shared" si="1"/>
        <v>24.1</v>
      </c>
      <c r="D21" s="19">
        <f t="shared" si="2"/>
        <v>24.1</v>
      </c>
      <c r="E21" s="19">
        <f t="shared" si="3"/>
        <v>0</v>
      </c>
      <c r="F21" s="19">
        <f t="shared" si="5"/>
        <v>100</v>
      </c>
      <c r="G21" s="19">
        <v>24.1</v>
      </c>
      <c r="H21" s="19">
        <v>24.1</v>
      </c>
      <c r="I21" s="19">
        <v>0.5</v>
      </c>
      <c r="J21" s="19">
        <v>0.5</v>
      </c>
      <c r="K21" s="19"/>
      <c r="L21" s="19"/>
    </row>
    <row r="22" spans="1:12" s="2" customFormat="1" ht="15.75" x14ac:dyDescent="0.25">
      <c r="A22" s="12">
        <v>13</v>
      </c>
      <c r="B22" s="4" t="s">
        <v>78</v>
      </c>
      <c r="C22" s="19">
        <f t="shared" si="1"/>
        <v>50.9</v>
      </c>
      <c r="D22" s="19">
        <f t="shared" si="2"/>
        <v>50.9</v>
      </c>
      <c r="E22" s="19">
        <f t="shared" si="3"/>
        <v>0</v>
      </c>
      <c r="F22" s="19">
        <f t="shared" si="5"/>
        <v>100</v>
      </c>
      <c r="G22" s="19">
        <f>0.6+20.7+29.6</f>
        <v>50.9</v>
      </c>
      <c r="H22" s="19">
        <f>0.6+20.7+29.6</f>
        <v>50.9</v>
      </c>
      <c r="I22" s="19"/>
      <c r="J22" s="19"/>
      <c r="K22" s="19"/>
      <c r="L22" s="19"/>
    </row>
    <row r="23" spans="1:12" s="2" customFormat="1" ht="15.75" x14ac:dyDescent="0.25">
      <c r="A23" s="12">
        <v>14</v>
      </c>
      <c r="B23" s="32" t="s">
        <v>149</v>
      </c>
      <c r="C23" s="19">
        <f t="shared" si="1"/>
        <v>4.9000000000000004</v>
      </c>
      <c r="D23" s="19">
        <f t="shared" si="2"/>
        <v>4.9000000000000004</v>
      </c>
      <c r="E23" s="19">
        <f t="shared" si="3"/>
        <v>0</v>
      </c>
      <c r="F23" s="19">
        <f t="shared" si="5"/>
        <v>100</v>
      </c>
      <c r="G23" s="19">
        <v>4.9000000000000004</v>
      </c>
      <c r="H23" s="19">
        <v>4.9000000000000004</v>
      </c>
      <c r="I23" s="19"/>
      <c r="J23" s="19"/>
      <c r="K23" s="19"/>
      <c r="L23" s="19"/>
    </row>
    <row r="24" spans="1:12" s="2" customFormat="1" ht="15.75" x14ac:dyDescent="0.25">
      <c r="A24" s="12">
        <v>15</v>
      </c>
      <c r="B24" s="3" t="s">
        <v>6</v>
      </c>
      <c r="C24" s="18">
        <f>+C25+C27</f>
        <v>846</v>
      </c>
      <c r="D24" s="18">
        <f t="shared" ref="D24:E24" si="26">+D25+D27</f>
        <v>573.6</v>
      </c>
      <c r="E24" s="18">
        <f t="shared" si="26"/>
        <v>-272.39999999999998</v>
      </c>
      <c r="F24" s="18">
        <f t="shared" si="5"/>
        <v>67.8</v>
      </c>
      <c r="G24" s="18">
        <f t="shared" ref="G24" si="27">+G25+G27</f>
        <v>841.6</v>
      </c>
      <c r="H24" s="18">
        <f t="shared" ref="H24" si="28">+H25+H27</f>
        <v>570.5</v>
      </c>
      <c r="I24" s="18">
        <f t="shared" ref="I24" si="29">+I25+I27</f>
        <v>0</v>
      </c>
      <c r="J24" s="18">
        <f t="shared" ref="J24" si="30">+J25+J27</f>
        <v>0</v>
      </c>
      <c r="K24" s="18">
        <f t="shared" ref="K24" si="31">+K25+K27</f>
        <v>4.4000000000000004</v>
      </c>
      <c r="L24" s="18">
        <f t="shared" ref="L24" si="32">+L25+L27</f>
        <v>3.1</v>
      </c>
    </row>
    <row r="25" spans="1:12" s="2" customFormat="1" ht="15.75" x14ac:dyDescent="0.25">
      <c r="A25" s="12">
        <v>16</v>
      </c>
      <c r="B25" s="4" t="s">
        <v>81</v>
      </c>
      <c r="C25" s="19">
        <f t="shared" si="1"/>
        <v>841.1</v>
      </c>
      <c r="D25" s="19">
        <f t="shared" si="2"/>
        <v>568.70000000000005</v>
      </c>
      <c r="E25" s="19">
        <f t="shared" si="3"/>
        <v>-272.39999999999998</v>
      </c>
      <c r="F25" s="19">
        <f t="shared" si="5"/>
        <v>67.599999999999994</v>
      </c>
      <c r="G25" s="19">
        <f>15.4-K25+55.1+770.6</f>
        <v>836.7</v>
      </c>
      <c r="H25" s="19">
        <f>15.4-L25+55.1+498.2</f>
        <v>565.6</v>
      </c>
      <c r="I25" s="19"/>
      <c r="J25" s="19"/>
      <c r="K25" s="19">
        <f>1.9+2.5</f>
        <v>4.4000000000000004</v>
      </c>
      <c r="L25" s="19">
        <f>1.9+1.2</f>
        <v>3.1</v>
      </c>
    </row>
    <row r="26" spans="1:12" s="2" customFormat="1" ht="15.75" x14ac:dyDescent="0.25">
      <c r="A26" s="12">
        <v>17</v>
      </c>
      <c r="B26" s="32" t="s">
        <v>149</v>
      </c>
      <c r="C26" s="19">
        <f t="shared" si="1"/>
        <v>42.1</v>
      </c>
      <c r="D26" s="19">
        <f t="shared" si="2"/>
        <v>42.1</v>
      </c>
      <c r="E26" s="19">
        <f t="shared" si="3"/>
        <v>0</v>
      </c>
      <c r="F26" s="19">
        <f t="shared" si="5"/>
        <v>100</v>
      </c>
      <c r="G26" s="19">
        <v>40.200000000000003</v>
      </c>
      <c r="H26" s="19">
        <v>40.200000000000003</v>
      </c>
      <c r="I26" s="19"/>
      <c r="J26" s="19"/>
      <c r="K26" s="19">
        <v>1.9</v>
      </c>
      <c r="L26" s="19">
        <v>1.9</v>
      </c>
    </row>
    <row r="27" spans="1:12" s="2" customFormat="1" ht="15.75" x14ac:dyDescent="0.25">
      <c r="A27" s="12">
        <v>18</v>
      </c>
      <c r="B27" s="4" t="s">
        <v>87</v>
      </c>
      <c r="C27" s="19">
        <f t="shared" si="1"/>
        <v>4.9000000000000004</v>
      </c>
      <c r="D27" s="19">
        <f t="shared" si="2"/>
        <v>4.9000000000000004</v>
      </c>
      <c r="E27" s="19">
        <f t="shared" si="3"/>
        <v>0</v>
      </c>
      <c r="F27" s="19">
        <f t="shared" si="5"/>
        <v>100</v>
      </c>
      <c r="G27" s="19">
        <f>4.1+0.8</f>
        <v>4.9000000000000004</v>
      </c>
      <c r="H27" s="19">
        <f>4.1+0.8</f>
        <v>4.9000000000000004</v>
      </c>
      <c r="I27" s="19"/>
      <c r="J27" s="19"/>
      <c r="K27" s="19"/>
      <c r="L27" s="19"/>
    </row>
    <row r="28" spans="1:12" s="2" customFormat="1" ht="15.75" x14ac:dyDescent="0.25">
      <c r="A28" s="12">
        <v>19</v>
      </c>
      <c r="B28" s="32" t="s">
        <v>149</v>
      </c>
      <c r="C28" s="19">
        <f t="shared" si="1"/>
        <v>0.2</v>
      </c>
      <c r="D28" s="19">
        <f t="shared" si="2"/>
        <v>0.2</v>
      </c>
      <c r="E28" s="19">
        <f t="shared" si="3"/>
        <v>0</v>
      </c>
      <c r="F28" s="19">
        <f t="shared" si="5"/>
        <v>100</v>
      </c>
      <c r="G28" s="19">
        <v>0.2</v>
      </c>
      <c r="H28" s="19">
        <v>0.2</v>
      </c>
      <c r="I28" s="19"/>
      <c r="J28" s="19"/>
      <c r="K28" s="19"/>
      <c r="L28" s="19"/>
    </row>
    <row r="29" spans="1:12" s="2" customFormat="1" ht="31.5" x14ac:dyDescent="0.25">
      <c r="A29" s="12">
        <v>20</v>
      </c>
      <c r="B29" s="10" t="s">
        <v>127</v>
      </c>
      <c r="C29" s="18">
        <f>+C31+C42+C48+C52+C59+C62+C65+C70+C39</f>
        <v>5124.7</v>
      </c>
      <c r="D29" s="18">
        <f t="shared" ref="D29:L29" si="33">+D31+D42+D48+D52+D59+D62+D65+D70+D39</f>
        <v>3286.7</v>
      </c>
      <c r="E29" s="18">
        <f t="shared" si="33"/>
        <v>-1838</v>
      </c>
      <c r="F29" s="18">
        <f t="shared" si="5"/>
        <v>64.099999999999994</v>
      </c>
      <c r="G29" s="18">
        <f t="shared" si="33"/>
        <v>2081.4</v>
      </c>
      <c r="H29" s="18">
        <f t="shared" si="33"/>
        <v>1321.5</v>
      </c>
      <c r="I29" s="18">
        <f t="shared" si="33"/>
        <v>122.7</v>
      </c>
      <c r="J29" s="18">
        <f t="shared" si="33"/>
        <v>111</v>
      </c>
      <c r="K29" s="18">
        <f t="shared" si="33"/>
        <v>3043.3</v>
      </c>
      <c r="L29" s="18">
        <f t="shared" si="33"/>
        <v>1965.2</v>
      </c>
    </row>
    <row r="30" spans="1:12" s="2" customFormat="1" ht="15.75" x14ac:dyDescent="0.25">
      <c r="A30" s="12">
        <v>21</v>
      </c>
      <c r="B30" s="65" t="s">
        <v>2</v>
      </c>
      <c r="C30" s="19">
        <f t="shared" si="1"/>
        <v>0</v>
      </c>
      <c r="D30" s="19">
        <f t="shared" si="2"/>
        <v>0</v>
      </c>
      <c r="E30" s="19">
        <f t="shared" si="3"/>
        <v>0</v>
      </c>
      <c r="F30" s="19"/>
      <c r="G30" s="19"/>
      <c r="H30" s="19"/>
      <c r="I30" s="19"/>
      <c r="J30" s="19"/>
      <c r="K30" s="19"/>
      <c r="L30" s="19"/>
    </row>
    <row r="31" spans="1:12" s="2" customFormat="1" ht="47.25" x14ac:dyDescent="0.25">
      <c r="A31" s="12">
        <v>22</v>
      </c>
      <c r="B31" s="3" t="s">
        <v>128</v>
      </c>
      <c r="C31" s="18">
        <f>+C33+C35+C37</f>
        <v>193.7</v>
      </c>
      <c r="D31" s="18">
        <f t="shared" ref="D31:L31" si="34">+D33+D35+D37</f>
        <v>142.80000000000001</v>
      </c>
      <c r="E31" s="18">
        <f t="shared" si="34"/>
        <v>-50.9</v>
      </c>
      <c r="F31" s="18">
        <f t="shared" si="5"/>
        <v>73.7</v>
      </c>
      <c r="G31" s="18">
        <f t="shared" si="34"/>
        <v>65.5</v>
      </c>
      <c r="H31" s="18">
        <f t="shared" si="34"/>
        <v>63.5</v>
      </c>
      <c r="I31" s="18">
        <f t="shared" si="34"/>
        <v>0</v>
      </c>
      <c r="J31" s="18">
        <f t="shared" si="34"/>
        <v>0</v>
      </c>
      <c r="K31" s="18">
        <f t="shared" si="34"/>
        <v>128.19999999999999</v>
      </c>
      <c r="L31" s="18">
        <f t="shared" si="34"/>
        <v>79.3</v>
      </c>
    </row>
    <row r="32" spans="1:12" s="2" customFormat="1" ht="15.75" x14ac:dyDescent="0.25">
      <c r="A32" s="12">
        <v>23</v>
      </c>
      <c r="B32" s="30" t="s">
        <v>2</v>
      </c>
      <c r="C32" s="19">
        <f t="shared" si="1"/>
        <v>0</v>
      </c>
      <c r="D32" s="19">
        <f t="shared" si="2"/>
        <v>0</v>
      </c>
      <c r="E32" s="19">
        <f t="shared" si="3"/>
        <v>0</v>
      </c>
      <c r="F32" s="19"/>
      <c r="G32" s="19"/>
      <c r="H32" s="19"/>
      <c r="I32" s="19"/>
      <c r="J32" s="19"/>
      <c r="K32" s="19"/>
      <c r="L32" s="19"/>
    </row>
    <row r="33" spans="1:12" s="2" customFormat="1" ht="15.75" x14ac:dyDescent="0.25">
      <c r="A33" s="12">
        <v>24</v>
      </c>
      <c r="B33" s="3" t="s">
        <v>57</v>
      </c>
      <c r="C33" s="18">
        <f>+C34</f>
        <v>110.6</v>
      </c>
      <c r="D33" s="18">
        <f t="shared" ref="D33:E33" si="35">+D34</f>
        <v>79.3</v>
      </c>
      <c r="E33" s="18">
        <f t="shared" si="35"/>
        <v>-31.3</v>
      </c>
      <c r="F33" s="18">
        <f t="shared" si="5"/>
        <v>71.7</v>
      </c>
      <c r="G33" s="18">
        <f t="shared" ref="G33" si="36">+G34</f>
        <v>0</v>
      </c>
      <c r="H33" s="18">
        <f t="shared" ref="H33" si="37">+H34</f>
        <v>0</v>
      </c>
      <c r="I33" s="18">
        <f t="shared" ref="I33" si="38">+I34</f>
        <v>0</v>
      </c>
      <c r="J33" s="18">
        <f t="shared" ref="J33" si="39">+J34</f>
        <v>0</v>
      </c>
      <c r="K33" s="18">
        <f t="shared" ref="K33" si="40">+K34</f>
        <v>110.6</v>
      </c>
      <c r="L33" s="18">
        <f t="shared" ref="L33" si="41">+L34</f>
        <v>79.3</v>
      </c>
    </row>
    <row r="34" spans="1:12" s="2" customFormat="1" ht="15.75" x14ac:dyDescent="0.25">
      <c r="A34" s="12">
        <v>25</v>
      </c>
      <c r="B34" s="4" t="s">
        <v>70</v>
      </c>
      <c r="C34" s="19">
        <f t="shared" si="1"/>
        <v>110.6</v>
      </c>
      <c r="D34" s="19">
        <f t="shared" si="2"/>
        <v>79.3</v>
      </c>
      <c r="E34" s="19">
        <f t="shared" si="3"/>
        <v>-31.3</v>
      </c>
      <c r="F34" s="19">
        <f t="shared" si="5"/>
        <v>71.7</v>
      </c>
      <c r="G34" s="19"/>
      <c r="H34" s="19"/>
      <c r="I34" s="19"/>
      <c r="J34" s="19"/>
      <c r="K34" s="19">
        <v>110.6</v>
      </c>
      <c r="L34" s="19">
        <v>79.3</v>
      </c>
    </row>
    <row r="35" spans="1:12" s="2" customFormat="1" ht="15.75" x14ac:dyDescent="0.25">
      <c r="A35" s="12">
        <v>26</v>
      </c>
      <c r="B35" s="7" t="s">
        <v>69</v>
      </c>
      <c r="C35" s="18">
        <f>+C36</f>
        <v>17.600000000000001</v>
      </c>
      <c r="D35" s="18">
        <f t="shared" ref="D35:E35" si="42">+D36</f>
        <v>0</v>
      </c>
      <c r="E35" s="18">
        <f t="shared" si="42"/>
        <v>-17.600000000000001</v>
      </c>
      <c r="F35" s="18">
        <f t="shared" si="5"/>
        <v>0</v>
      </c>
      <c r="G35" s="18">
        <f t="shared" ref="G35" si="43">+G36</f>
        <v>0</v>
      </c>
      <c r="H35" s="18">
        <f t="shared" ref="H35" si="44">+H36</f>
        <v>0</v>
      </c>
      <c r="I35" s="18">
        <f t="shared" ref="I35" si="45">+I36</f>
        <v>0</v>
      </c>
      <c r="J35" s="18">
        <f t="shared" ref="J35" si="46">+J36</f>
        <v>0</v>
      </c>
      <c r="K35" s="18">
        <f t="shared" ref="K35" si="47">+K36</f>
        <v>17.600000000000001</v>
      </c>
      <c r="L35" s="18">
        <f t="shared" ref="L35" si="48">+L36</f>
        <v>0</v>
      </c>
    </row>
    <row r="36" spans="1:12" s="2" customFormat="1" ht="15.75" x14ac:dyDescent="0.25">
      <c r="A36" s="12">
        <v>27</v>
      </c>
      <c r="B36" s="4" t="s">
        <v>70</v>
      </c>
      <c r="C36" s="19">
        <f t="shared" si="1"/>
        <v>17.600000000000001</v>
      </c>
      <c r="D36" s="19">
        <f t="shared" si="2"/>
        <v>0</v>
      </c>
      <c r="E36" s="19">
        <f t="shared" si="3"/>
        <v>-17.600000000000001</v>
      </c>
      <c r="F36" s="19">
        <f t="shared" si="5"/>
        <v>0</v>
      </c>
      <c r="G36" s="19"/>
      <c r="H36" s="19"/>
      <c r="I36" s="19"/>
      <c r="J36" s="19"/>
      <c r="K36" s="19">
        <v>17.600000000000001</v>
      </c>
      <c r="L36" s="19"/>
    </row>
    <row r="37" spans="1:12" s="2" customFormat="1" ht="15.75" x14ac:dyDescent="0.25">
      <c r="A37" s="12">
        <v>28</v>
      </c>
      <c r="B37" s="3" t="s">
        <v>4</v>
      </c>
      <c r="C37" s="18">
        <f>+C38</f>
        <v>65.5</v>
      </c>
      <c r="D37" s="18">
        <f t="shared" ref="D37:E37" si="49">+D38</f>
        <v>63.5</v>
      </c>
      <c r="E37" s="18">
        <f t="shared" si="49"/>
        <v>-2</v>
      </c>
      <c r="F37" s="18">
        <f t="shared" si="5"/>
        <v>96.9</v>
      </c>
      <c r="G37" s="18">
        <f t="shared" ref="G37" si="50">+G38</f>
        <v>65.5</v>
      </c>
      <c r="H37" s="18">
        <f t="shared" ref="H37" si="51">+H38</f>
        <v>63.5</v>
      </c>
      <c r="I37" s="18">
        <f t="shared" ref="I37" si="52">+I38</f>
        <v>0</v>
      </c>
      <c r="J37" s="18">
        <f t="shared" ref="J37" si="53">+J38</f>
        <v>0</v>
      </c>
      <c r="K37" s="18">
        <f t="shared" ref="K37" si="54">+K38</f>
        <v>0</v>
      </c>
      <c r="L37" s="18">
        <f t="shared" ref="L37" si="55">+L38</f>
        <v>0</v>
      </c>
    </row>
    <row r="38" spans="1:12" s="2" customFormat="1" ht="15.75" x14ac:dyDescent="0.25">
      <c r="A38" s="12">
        <v>29</v>
      </c>
      <c r="B38" s="4" t="s">
        <v>70</v>
      </c>
      <c r="C38" s="19">
        <f t="shared" si="1"/>
        <v>65.5</v>
      </c>
      <c r="D38" s="19">
        <f t="shared" si="2"/>
        <v>63.5</v>
      </c>
      <c r="E38" s="19">
        <f t="shared" si="3"/>
        <v>-2</v>
      </c>
      <c r="F38" s="19">
        <f t="shared" si="5"/>
        <v>96.9</v>
      </c>
      <c r="G38" s="19">
        <v>65.5</v>
      </c>
      <c r="H38" s="19">
        <v>63.5</v>
      </c>
      <c r="I38" s="19"/>
      <c r="J38" s="19"/>
      <c r="K38" s="19"/>
      <c r="L38" s="19"/>
    </row>
    <row r="39" spans="1:12" s="2" customFormat="1" ht="47.25" x14ac:dyDescent="0.25">
      <c r="A39" s="12">
        <v>30</v>
      </c>
      <c r="B39" s="7" t="s">
        <v>131</v>
      </c>
      <c r="C39" s="18">
        <f>+C40</f>
        <v>16.8</v>
      </c>
      <c r="D39" s="18">
        <f t="shared" ref="D39:G40" si="56">+D40</f>
        <v>16.8</v>
      </c>
      <c r="E39" s="18">
        <f t="shared" si="56"/>
        <v>0</v>
      </c>
      <c r="F39" s="18">
        <f t="shared" si="5"/>
        <v>100</v>
      </c>
      <c r="G39" s="18">
        <f t="shared" si="56"/>
        <v>16.8</v>
      </c>
      <c r="H39" s="18">
        <f t="shared" ref="H39:H40" si="57">+H40</f>
        <v>16.8</v>
      </c>
      <c r="I39" s="18">
        <f t="shared" ref="I39:I40" si="58">+I40</f>
        <v>0</v>
      </c>
      <c r="J39" s="18">
        <f t="shared" ref="J39:J40" si="59">+J40</f>
        <v>0</v>
      </c>
      <c r="K39" s="18">
        <f t="shared" ref="K39:K40" si="60">+K40</f>
        <v>0</v>
      </c>
      <c r="L39" s="18">
        <f t="shared" ref="L39:L40" si="61">+L40</f>
        <v>0</v>
      </c>
    </row>
    <row r="40" spans="1:12" s="2" customFormat="1" ht="15.75" x14ac:dyDescent="0.25">
      <c r="A40" s="12">
        <v>31</v>
      </c>
      <c r="B40" s="7" t="s">
        <v>6</v>
      </c>
      <c r="C40" s="18">
        <f>+C41</f>
        <v>16.8</v>
      </c>
      <c r="D40" s="18">
        <f t="shared" si="56"/>
        <v>16.8</v>
      </c>
      <c r="E40" s="18">
        <f t="shared" si="56"/>
        <v>0</v>
      </c>
      <c r="F40" s="18">
        <f t="shared" si="5"/>
        <v>100</v>
      </c>
      <c r="G40" s="18">
        <f t="shared" si="56"/>
        <v>16.8</v>
      </c>
      <c r="H40" s="18">
        <f t="shared" si="57"/>
        <v>16.8</v>
      </c>
      <c r="I40" s="18">
        <f t="shared" si="58"/>
        <v>0</v>
      </c>
      <c r="J40" s="18">
        <f t="shared" si="59"/>
        <v>0</v>
      </c>
      <c r="K40" s="18">
        <f t="shared" si="60"/>
        <v>0</v>
      </c>
      <c r="L40" s="18">
        <f t="shared" si="61"/>
        <v>0</v>
      </c>
    </row>
    <row r="41" spans="1:12" s="2" customFormat="1" ht="15.75" x14ac:dyDescent="0.25">
      <c r="A41" s="12">
        <v>32</v>
      </c>
      <c r="B41" s="6" t="s">
        <v>87</v>
      </c>
      <c r="C41" s="19">
        <f t="shared" si="1"/>
        <v>16.8</v>
      </c>
      <c r="D41" s="19">
        <f t="shared" si="2"/>
        <v>16.8</v>
      </c>
      <c r="E41" s="19">
        <f t="shared" si="3"/>
        <v>0</v>
      </c>
      <c r="F41" s="19">
        <f t="shared" si="5"/>
        <v>100</v>
      </c>
      <c r="G41" s="19">
        <v>16.8</v>
      </c>
      <c r="H41" s="19">
        <v>16.8</v>
      </c>
      <c r="I41" s="19"/>
      <c r="J41" s="18"/>
      <c r="K41" s="18"/>
      <c r="L41" s="18"/>
    </row>
    <row r="42" spans="1:12" s="2" customFormat="1" ht="63" x14ac:dyDescent="0.25">
      <c r="A42" s="12">
        <v>33</v>
      </c>
      <c r="B42" s="3" t="s">
        <v>129</v>
      </c>
      <c r="C42" s="18">
        <f>+C43+C45</f>
        <v>1228.7</v>
      </c>
      <c r="D42" s="18">
        <f t="shared" ref="D42:E42" si="62">+D43+D45</f>
        <v>521.4</v>
      </c>
      <c r="E42" s="18">
        <f t="shared" si="62"/>
        <v>-707.3</v>
      </c>
      <c r="F42" s="18">
        <f t="shared" si="5"/>
        <v>42.4</v>
      </c>
      <c r="G42" s="18">
        <f t="shared" ref="G42" si="63">+G43+G45</f>
        <v>1228.7</v>
      </c>
      <c r="H42" s="18">
        <f t="shared" ref="H42" si="64">+H43+H45</f>
        <v>521.4</v>
      </c>
      <c r="I42" s="18">
        <f t="shared" ref="I42" si="65">+I43+I45</f>
        <v>0</v>
      </c>
      <c r="J42" s="18">
        <f t="shared" ref="J42" si="66">+J43+J45</f>
        <v>0</v>
      </c>
      <c r="K42" s="18">
        <f t="shared" ref="K42" si="67">+K43+K45</f>
        <v>0</v>
      </c>
      <c r="L42" s="18">
        <f t="shared" ref="L42" si="68">+L43+L45</f>
        <v>0</v>
      </c>
    </row>
    <row r="43" spans="1:12" s="2" customFormat="1" ht="15.75" x14ac:dyDescent="0.25">
      <c r="A43" s="12">
        <v>34</v>
      </c>
      <c r="B43" s="3" t="s">
        <v>57</v>
      </c>
      <c r="C43" s="18">
        <f>+C44</f>
        <v>728.1</v>
      </c>
      <c r="D43" s="18">
        <f t="shared" ref="D43:E43" si="69">+D44</f>
        <v>20.9</v>
      </c>
      <c r="E43" s="18">
        <f t="shared" si="69"/>
        <v>-707.2</v>
      </c>
      <c r="F43" s="18">
        <f t="shared" si="5"/>
        <v>2.9</v>
      </c>
      <c r="G43" s="18">
        <f t="shared" ref="G43" si="70">+G44</f>
        <v>728.1</v>
      </c>
      <c r="H43" s="18">
        <f t="shared" ref="H43" si="71">+H44</f>
        <v>20.9</v>
      </c>
      <c r="I43" s="18">
        <f t="shared" ref="I43" si="72">+I44</f>
        <v>0</v>
      </c>
      <c r="J43" s="18">
        <f t="shared" ref="J43" si="73">+J44</f>
        <v>0</v>
      </c>
      <c r="K43" s="18">
        <f t="shared" ref="K43" si="74">+K44</f>
        <v>0</v>
      </c>
      <c r="L43" s="18">
        <f t="shared" ref="L43" si="75">+L44</f>
        <v>0</v>
      </c>
    </row>
    <row r="44" spans="1:12" s="2" customFormat="1" ht="15.75" x14ac:dyDescent="0.25">
      <c r="A44" s="12">
        <v>35</v>
      </c>
      <c r="B44" s="4" t="s">
        <v>70</v>
      </c>
      <c r="C44" s="19">
        <f t="shared" si="1"/>
        <v>728.1</v>
      </c>
      <c r="D44" s="19">
        <f t="shared" si="2"/>
        <v>20.9</v>
      </c>
      <c r="E44" s="19">
        <f t="shared" si="3"/>
        <v>-707.2</v>
      </c>
      <c r="F44" s="19">
        <f t="shared" si="5"/>
        <v>2.9</v>
      </c>
      <c r="G44" s="19">
        <v>728.1</v>
      </c>
      <c r="H44" s="19">
        <v>20.9</v>
      </c>
      <c r="I44" s="19"/>
      <c r="J44" s="19"/>
      <c r="K44" s="19"/>
      <c r="L44" s="19"/>
    </row>
    <row r="45" spans="1:12" s="2" customFormat="1" ht="15.75" x14ac:dyDescent="0.25">
      <c r="A45" s="12">
        <v>36</v>
      </c>
      <c r="B45" s="3" t="s">
        <v>4</v>
      </c>
      <c r="C45" s="18">
        <f>+C46</f>
        <v>500.6</v>
      </c>
      <c r="D45" s="18">
        <f t="shared" ref="D45:E45" si="76">+D46</f>
        <v>500.5</v>
      </c>
      <c r="E45" s="18">
        <f t="shared" si="76"/>
        <v>-0.1</v>
      </c>
      <c r="F45" s="18">
        <f t="shared" si="5"/>
        <v>100</v>
      </c>
      <c r="G45" s="18">
        <f t="shared" ref="G45" si="77">+G46</f>
        <v>500.6</v>
      </c>
      <c r="H45" s="18">
        <f t="shared" ref="H45" si="78">+H46</f>
        <v>500.5</v>
      </c>
      <c r="I45" s="18">
        <f t="shared" ref="I45" si="79">+I46</f>
        <v>0</v>
      </c>
      <c r="J45" s="18">
        <f t="shared" ref="J45" si="80">+J46</f>
        <v>0</v>
      </c>
      <c r="K45" s="18">
        <f t="shared" ref="K45" si="81">+K46</f>
        <v>0</v>
      </c>
      <c r="L45" s="18">
        <f t="shared" ref="L45" si="82">+L46</f>
        <v>0</v>
      </c>
    </row>
    <row r="46" spans="1:12" s="2" customFormat="1" ht="15.75" x14ac:dyDescent="0.25">
      <c r="A46" s="12">
        <v>37</v>
      </c>
      <c r="B46" s="4" t="s">
        <v>70</v>
      </c>
      <c r="C46" s="19">
        <f t="shared" si="1"/>
        <v>500.6</v>
      </c>
      <c r="D46" s="19">
        <f t="shared" si="2"/>
        <v>500.5</v>
      </c>
      <c r="E46" s="19">
        <f t="shared" si="3"/>
        <v>-0.1</v>
      </c>
      <c r="F46" s="19">
        <f t="shared" si="5"/>
        <v>100</v>
      </c>
      <c r="G46" s="19">
        <v>500.6</v>
      </c>
      <c r="H46" s="19">
        <v>500.5</v>
      </c>
      <c r="I46" s="19"/>
      <c r="J46" s="19"/>
      <c r="K46" s="19"/>
      <c r="L46" s="19"/>
    </row>
    <row r="47" spans="1:12" s="2" customFormat="1" ht="15.75" x14ac:dyDescent="0.25">
      <c r="A47" s="12">
        <v>38</v>
      </c>
      <c r="B47" s="32" t="s">
        <v>149</v>
      </c>
      <c r="C47" s="19">
        <f t="shared" si="1"/>
        <v>490.7</v>
      </c>
      <c r="D47" s="19">
        <f t="shared" si="2"/>
        <v>490.7</v>
      </c>
      <c r="E47" s="19">
        <f t="shared" si="3"/>
        <v>0</v>
      </c>
      <c r="F47" s="19">
        <f t="shared" si="5"/>
        <v>100</v>
      </c>
      <c r="G47" s="19">
        <v>490.7</v>
      </c>
      <c r="H47" s="19">
        <v>490.7</v>
      </c>
      <c r="I47" s="19"/>
      <c r="J47" s="19"/>
      <c r="K47" s="19"/>
      <c r="L47" s="19"/>
    </row>
    <row r="48" spans="1:12" s="2" customFormat="1" ht="46.5" customHeight="1" x14ac:dyDescent="0.25">
      <c r="A48" s="12">
        <v>39</v>
      </c>
      <c r="B48" s="3" t="s">
        <v>146</v>
      </c>
      <c r="C48" s="18">
        <f>+C49</f>
        <v>768.9</v>
      </c>
      <c r="D48" s="18">
        <f t="shared" ref="D48:E49" si="83">+D49</f>
        <v>667</v>
      </c>
      <c r="E48" s="18">
        <f t="shared" si="83"/>
        <v>-101.9</v>
      </c>
      <c r="F48" s="18">
        <f t="shared" si="5"/>
        <v>86.7</v>
      </c>
      <c r="G48" s="18">
        <f t="shared" ref="G48:G49" si="84">+G49</f>
        <v>490.8</v>
      </c>
      <c r="H48" s="18">
        <f t="shared" ref="H48:H49" si="85">+H49</f>
        <v>471.8</v>
      </c>
      <c r="I48" s="18">
        <f t="shared" ref="I48:I49" si="86">+I49</f>
        <v>0</v>
      </c>
      <c r="J48" s="18">
        <f t="shared" ref="J48:J49" si="87">+J49</f>
        <v>0</v>
      </c>
      <c r="K48" s="18">
        <f t="shared" ref="K48:K49" si="88">+K49</f>
        <v>278.10000000000002</v>
      </c>
      <c r="L48" s="18">
        <f t="shared" ref="L48:L49" si="89">+L49</f>
        <v>195.2</v>
      </c>
    </row>
    <row r="49" spans="1:12" s="2" customFormat="1" ht="18" customHeight="1" x14ac:dyDescent="0.25">
      <c r="A49" s="12">
        <v>40</v>
      </c>
      <c r="B49" s="3" t="s">
        <v>4</v>
      </c>
      <c r="C49" s="18">
        <f>+C50</f>
        <v>768.9</v>
      </c>
      <c r="D49" s="18">
        <f t="shared" si="83"/>
        <v>667</v>
      </c>
      <c r="E49" s="18">
        <f t="shared" si="83"/>
        <v>-101.9</v>
      </c>
      <c r="F49" s="18">
        <f t="shared" si="5"/>
        <v>86.7</v>
      </c>
      <c r="G49" s="18">
        <f t="shared" si="84"/>
        <v>490.8</v>
      </c>
      <c r="H49" s="18">
        <f t="shared" si="85"/>
        <v>471.8</v>
      </c>
      <c r="I49" s="18">
        <f t="shared" si="86"/>
        <v>0</v>
      </c>
      <c r="J49" s="18">
        <f t="shared" si="87"/>
        <v>0</v>
      </c>
      <c r="K49" s="18">
        <f t="shared" si="88"/>
        <v>278.10000000000002</v>
      </c>
      <c r="L49" s="18">
        <f t="shared" si="89"/>
        <v>195.2</v>
      </c>
    </row>
    <row r="50" spans="1:12" s="2" customFormat="1" ht="31.5" x14ac:dyDescent="0.25">
      <c r="A50" s="12">
        <v>41</v>
      </c>
      <c r="B50" s="4" t="s">
        <v>95</v>
      </c>
      <c r="C50" s="19">
        <f t="shared" si="1"/>
        <v>768.9</v>
      </c>
      <c r="D50" s="19">
        <f t="shared" si="2"/>
        <v>667</v>
      </c>
      <c r="E50" s="19">
        <f t="shared" si="3"/>
        <v>-101.9</v>
      </c>
      <c r="F50" s="19">
        <f t="shared" si="5"/>
        <v>86.7</v>
      </c>
      <c r="G50" s="19">
        <f>768.9-K50</f>
        <v>490.8</v>
      </c>
      <c r="H50" s="19">
        <f>667-L50</f>
        <v>471.8</v>
      </c>
      <c r="I50" s="19"/>
      <c r="J50" s="19"/>
      <c r="K50" s="19">
        <f>253.9+24.2</f>
        <v>278.10000000000002</v>
      </c>
      <c r="L50" s="19">
        <f>193.6+1.6</f>
        <v>195.2</v>
      </c>
    </row>
    <row r="51" spans="1:12" s="2" customFormat="1" ht="15.75" x14ac:dyDescent="0.25">
      <c r="A51" s="12">
        <v>42</v>
      </c>
      <c r="B51" s="32" t="s">
        <v>149</v>
      </c>
      <c r="C51" s="19">
        <f t="shared" si="1"/>
        <v>17.3</v>
      </c>
      <c r="D51" s="19">
        <f t="shared" si="2"/>
        <v>17.3</v>
      </c>
      <c r="E51" s="19">
        <f t="shared" si="3"/>
        <v>0</v>
      </c>
      <c r="F51" s="19">
        <f t="shared" si="5"/>
        <v>100</v>
      </c>
      <c r="G51" s="19">
        <v>17.3</v>
      </c>
      <c r="H51" s="19">
        <v>17.3</v>
      </c>
      <c r="I51" s="19"/>
      <c r="J51" s="19"/>
      <c r="K51" s="19"/>
      <c r="L51" s="19"/>
    </row>
    <row r="52" spans="1:12" s="2" customFormat="1" ht="31.5" x14ac:dyDescent="0.25">
      <c r="A52" s="12">
        <v>43</v>
      </c>
      <c r="B52" s="7" t="s">
        <v>147</v>
      </c>
      <c r="C52" s="18">
        <f>+C54+C57</f>
        <v>2262.5</v>
      </c>
      <c r="D52" s="18">
        <f t="shared" ref="D52:L52" si="90">+D54+D57</f>
        <v>1699.9</v>
      </c>
      <c r="E52" s="18">
        <f t="shared" si="90"/>
        <v>-562.6</v>
      </c>
      <c r="F52" s="18">
        <f t="shared" si="5"/>
        <v>75.099999999999994</v>
      </c>
      <c r="G52" s="18">
        <f t="shared" si="90"/>
        <v>17.5</v>
      </c>
      <c r="H52" s="18">
        <f t="shared" si="90"/>
        <v>16.2</v>
      </c>
      <c r="I52" s="18">
        <f t="shared" si="90"/>
        <v>0</v>
      </c>
      <c r="J52" s="18">
        <f t="shared" si="90"/>
        <v>0</v>
      </c>
      <c r="K52" s="18">
        <f t="shared" si="90"/>
        <v>2245</v>
      </c>
      <c r="L52" s="18">
        <f t="shared" si="90"/>
        <v>1683.7</v>
      </c>
    </row>
    <row r="53" spans="1:12" s="2" customFormat="1" ht="15.75" x14ac:dyDescent="0.25">
      <c r="A53" s="12">
        <v>44</v>
      </c>
      <c r="B53" s="30" t="s">
        <v>2</v>
      </c>
      <c r="C53" s="19">
        <f t="shared" si="1"/>
        <v>0</v>
      </c>
      <c r="D53" s="19">
        <f t="shared" si="2"/>
        <v>0</v>
      </c>
      <c r="E53" s="19">
        <f t="shared" si="3"/>
        <v>0</v>
      </c>
      <c r="F53" s="19"/>
      <c r="G53" s="19"/>
      <c r="H53" s="19"/>
      <c r="I53" s="19"/>
      <c r="J53" s="19"/>
      <c r="K53" s="19"/>
      <c r="L53" s="19"/>
    </row>
    <row r="54" spans="1:12" s="2" customFormat="1" ht="15.75" x14ac:dyDescent="0.25">
      <c r="A54" s="12">
        <v>45</v>
      </c>
      <c r="B54" s="3" t="s">
        <v>57</v>
      </c>
      <c r="C54" s="18">
        <f>+C55+C56</f>
        <v>1969.3</v>
      </c>
      <c r="D54" s="18">
        <f t="shared" ref="D54:E54" si="91">+D55+D56</f>
        <v>1414.6</v>
      </c>
      <c r="E54" s="18">
        <f t="shared" si="91"/>
        <v>-554.70000000000005</v>
      </c>
      <c r="F54" s="18">
        <f t="shared" si="5"/>
        <v>71.8</v>
      </c>
      <c r="G54" s="18">
        <f t="shared" ref="G54" si="92">+G55+G56</f>
        <v>0</v>
      </c>
      <c r="H54" s="18">
        <f t="shared" ref="H54" si="93">+H55+H56</f>
        <v>0</v>
      </c>
      <c r="I54" s="18">
        <f t="shared" ref="I54" si="94">+I55+I56</f>
        <v>0</v>
      </c>
      <c r="J54" s="18">
        <f t="shared" ref="J54" si="95">+J55+J56</f>
        <v>0</v>
      </c>
      <c r="K54" s="18">
        <f t="shared" ref="K54" si="96">+K55+K56</f>
        <v>1969.3</v>
      </c>
      <c r="L54" s="18">
        <f t="shared" ref="L54" si="97">+L55+L56</f>
        <v>1414.6</v>
      </c>
    </row>
    <row r="55" spans="1:12" s="2" customFormat="1" ht="31.5" x14ac:dyDescent="0.25">
      <c r="A55" s="12">
        <v>46</v>
      </c>
      <c r="B55" s="4" t="s">
        <v>95</v>
      </c>
      <c r="C55" s="19">
        <f t="shared" si="1"/>
        <v>1527.4</v>
      </c>
      <c r="D55" s="19">
        <f t="shared" si="2"/>
        <v>972.7</v>
      </c>
      <c r="E55" s="19">
        <f t="shared" si="3"/>
        <v>-554.70000000000005</v>
      </c>
      <c r="F55" s="19">
        <f t="shared" si="5"/>
        <v>63.7</v>
      </c>
      <c r="G55" s="19"/>
      <c r="H55" s="19"/>
      <c r="I55" s="19"/>
      <c r="J55" s="19"/>
      <c r="K55" s="19">
        <v>1527.4</v>
      </c>
      <c r="L55" s="19">
        <v>972.7</v>
      </c>
    </row>
    <row r="56" spans="1:12" s="2" customFormat="1" ht="31.5" x14ac:dyDescent="0.25">
      <c r="A56" s="12">
        <v>47</v>
      </c>
      <c r="B56" s="6" t="s">
        <v>71</v>
      </c>
      <c r="C56" s="19">
        <f t="shared" si="1"/>
        <v>441.9</v>
      </c>
      <c r="D56" s="19">
        <f t="shared" si="2"/>
        <v>441.9</v>
      </c>
      <c r="E56" s="19">
        <f t="shared" si="3"/>
        <v>0</v>
      </c>
      <c r="F56" s="19">
        <f t="shared" si="5"/>
        <v>100</v>
      </c>
      <c r="G56" s="19"/>
      <c r="H56" s="19"/>
      <c r="I56" s="19"/>
      <c r="J56" s="19"/>
      <c r="K56" s="19">
        <v>441.9</v>
      </c>
      <c r="L56" s="19">
        <v>441.9</v>
      </c>
    </row>
    <row r="57" spans="1:12" s="2" customFormat="1" ht="15.75" x14ac:dyDescent="0.25">
      <c r="A57" s="12">
        <v>48</v>
      </c>
      <c r="B57" s="7" t="s">
        <v>69</v>
      </c>
      <c r="C57" s="18">
        <f>+C58</f>
        <v>293.2</v>
      </c>
      <c r="D57" s="18">
        <f t="shared" ref="D57:E57" si="98">+D58</f>
        <v>285.3</v>
      </c>
      <c r="E57" s="18">
        <f t="shared" si="98"/>
        <v>-7.9</v>
      </c>
      <c r="F57" s="18">
        <f t="shared" si="5"/>
        <v>97.3</v>
      </c>
      <c r="G57" s="18">
        <f t="shared" ref="G57" si="99">+G58</f>
        <v>17.5</v>
      </c>
      <c r="H57" s="18">
        <f t="shared" ref="H57" si="100">+H58</f>
        <v>16.2</v>
      </c>
      <c r="I57" s="18">
        <f t="shared" ref="I57" si="101">+I58</f>
        <v>0</v>
      </c>
      <c r="J57" s="18">
        <f t="shared" ref="J57" si="102">+J58</f>
        <v>0</v>
      </c>
      <c r="K57" s="18">
        <f t="shared" ref="K57" si="103">+K58</f>
        <v>275.7</v>
      </c>
      <c r="L57" s="18">
        <f t="shared" ref="L57" si="104">+L58</f>
        <v>269.10000000000002</v>
      </c>
    </row>
    <row r="58" spans="1:12" s="2" customFormat="1" ht="15.75" x14ac:dyDescent="0.25">
      <c r="A58" s="12">
        <v>49</v>
      </c>
      <c r="B58" s="4" t="s">
        <v>130</v>
      </c>
      <c r="C58" s="19">
        <f t="shared" si="1"/>
        <v>293.2</v>
      </c>
      <c r="D58" s="19">
        <f t="shared" si="2"/>
        <v>285.3</v>
      </c>
      <c r="E58" s="19">
        <f t="shared" si="3"/>
        <v>-7.9</v>
      </c>
      <c r="F58" s="19">
        <f t="shared" si="5"/>
        <v>97.3</v>
      </c>
      <c r="G58" s="19">
        <v>17.5</v>
      </c>
      <c r="H58" s="19">
        <v>16.2</v>
      </c>
      <c r="I58" s="19"/>
      <c r="J58" s="19"/>
      <c r="K58" s="19">
        <f>235.2+40.5</f>
        <v>275.7</v>
      </c>
      <c r="L58" s="19">
        <f>232.1+37</f>
        <v>269.10000000000002</v>
      </c>
    </row>
    <row r="59" spans="1:12" s="2" customFormat="1" ht="63" x14ac:dyDescent="0.25">
      <c r="A59" s="12">
        <v>50</v>
      </c>
      <c r="B59" s="3" t="s">
        <v>168</v>
      </c>
      <c r="C59" s="18">
        <f>+C60</f>
        <v>31.5</v>
      </c>
      <c r="D59" s="18">
        <f t="shared" ref="D59:E60" si="105">+D60</f>
        <v>24.1</v>
      </c>
      <c r="E59" s="18">
        <f t="shared" si="105"/>
        <v>-7.4</v>
      </c>
      <c r="F59" s="18">
        <f t="shared" si="5"/>
        <v>76.5</v>
      </c>
      <c r="G59" s="18">
        <f t="shared" ref="G59:G60" si="106">+G60</f>
        <v>31.5</v>
      </c>
      <c r="H59" s="18">
        <f t="shared" ref="H59:H60" si="107">+H60</f>
        <v>24.1</v>
      </c>
      <c r="I59" s="18">
        <f t="shared" ref="I59:I60" si="108">+I60</f>
        <v>0</v>
      </c>
      <c r="J59" s="18">
        <f t="shared" ref="J59:J60" si="109">+J60</f>
        <v>0</v>
      </c>
      <c r="K59" s="18">
        <f t="shared" ref="K59:K60" si="110">+K60</f>
        <v>0</v>
      </c>
      <c r="L59" s="18">
        <f t="shared" ref="L59:L60" si="111">+L60</f>
        <v>0</v>
      </c>
    </row>
    <row r="60" spans="1:12" s="2" customFormat="1" ht="15.75" x14ac:dyDescent="0.25">
      <c r="A60" s="12">
        <v>51</v>
      </c>
      <c r="B60" s="3" t="s">
        <v>126</v>
      </c>
      <c r="C60" s="18">
        <f>+C61</f>
        <v>31.5</v>
      </c>
      <c r="D60" s="18">
        <f t="shared" si="105"/>
        <v>24.1</v>
      </c>
      <c r="E60" s="18">
        <f t="shared" si="105"/>
        <v>-7.4</v>
      </c>
      <c r="F60" s="18">
        <f t="shared" si="5"/>
        <v>76.5</v>
      </c>
      <c r="G60" s="18">
        <f t="shared" si="106"/>
        <v>31.5</v>
      </c>
      <c r="H60" s="18">
        <f t="shared" si="107"/>
        <v>24.1</v>
      </c>
      <c r="I60" s="18">
        <f t="shared" si="108"/>
        <v>0</v>
      </c>
      <c r="J60" s="18">
        <f t="shared" si="109"/>
        <v>0</v>
      </c>
      <c r="K60" s="18">
        <f t="shared" si="110"/>
        <v>0</v>
      </c>
      <c r="L60" s="18">
        <f t="shared" si="111"/>
        <v>0</v>
      </c>
    </row>
    <row r="61" spans="1:12" s="2" customFormat="1" ht="15.75" x14ac:dyDescent="0.25">
      <c r="A61" s="12">
        <v>52</v>
      </c>
      <c r="B61" s="6" t="s">
        <v>140</v>
      </c>
      <c r="C61" s="19">
        <f t="shared" si="1"/>
        <v>31.5</v>
      </c>
      <c r="D61" s="19">
        <f t="shared" si="2"/>
        <v>24.1</v>
      </c>
      <c r="E61" s="19">
        <f t="shared" si="3"/>
        <v>-7.4</v>
      </c>
      <c r="F61" s="19">
        <f t="shared" si="5"/>
        <v>76.5</v>
      </c>
      <c r="G61" s="19">
        <v>31.5</v>
      </c>
      <c r="H61" s="19">
        <v>24.1</v>
      </c>
      <c r="I61" s="19"/>
      <c r="J61" s="19"/>
      <c r="K61" s="19"/>
      <c r="L61" s="19"/>
    </row>
    <row r="62" spans="1:12" s="5" customFormat="1" ht="63" x14ac:dyDescent="0.25">
      <c r="A62" s="12">
        <v>53</v>
      </c>
      <c r="B62" s="7" t="s">
        <v>180</v>
      </c>
      <c r="C62" s="18">
        <f>+C63</f>
        <v>25.9</v>
      </c>
      <c r="D62" s="18">
        <f t="shared" ref="D62:E62" si="112">+D63</f>
        <v>25.5</v>
      </c>
      <c r="E62" s="18">
        <f t="shared" si="112"/>
        <v>-0.4</v>
      </c>
      <c r="F62" s="18">
        <f t="shared" si="5"/>
        <v>98.5</v>
      </c>
      <c r="G62" s="18">
        <f t="shared" ref="G62" si="113">+G63</f>
        <v>25.9</v>
      </c>
      <c r="H62" s="18">
        <f t="shared" ref="H62" si="114">+H63</f>
        <v>25.5</v>
      </c>
      <c r="I62" s="18">
        <f t="shared" ref="I62" si="115">+I63</f>
        <v>19.8</v>
      </c>
      <c r="J62" s="18">
        <f t="shared" ref="J62" si="116">+J63</f>
        <v>19.5</v>
      </c>
      <c r="K62" s="18">
        <f t="shared" ref="K62" si="117">+K63</f>
        <v>0</v>
      </c>
      <c r="L62" s="18">
        <f t="shared" ref="L62" si="118">+L63</f>
        <v>0</v>
      </c>
    </row>
    <row r="63" spans="1:12" s="2" customFormat="1" ht="15.75" x14ac:dyDescent="0.25">
      <c r="A63" s="12">
        <v>54</v>
      </c>
      <c r="B63" s="7" t="s">
        <v>3</v>
      </c>
      <c r="C63" s="18">
        <f>+C64</f>
        <v>25.9</v>
      </c>
      <c r="D63" s="18">
        <f t="shared" ref="D63:E63" si="119">+D64</f>
        <v>25.5</v>
      </c>
      <c r="E63" s="18">
        <f t="shared" si="119"/>
        <v>-0.4</v>
      </c>
      <c r="F63" s="18">
        <f t="shared" si="5"/>
        <v>98.5</v>
      </c>
      <c r="G63" s="18">
        <f t="shared" ref="G63" si="120">+G64</f>
        <v>25.9</v>
      </c>
      <c r="H63" s="18">
        <f t="shared" ref="H63" si="121">+H64</f>
        <v>25.5</v>
      </c>
      <c r="I63" s="18">
        <f t="shared" ref="I63" si="122">+I64</f>
        <v>19.8</v>
      </c>
      <c r="J63" s="18">
        <f t="shared" ref="J63" si="123">+J64</f>
        <v>19.5</v>
      </c>
      <c r="K63" s="18">
        <f t="shared" ref="K63" si="124">+K64</f>
        <v>0</v>
      </c>
      <c r="L63" s="18">
        <f t="shared" ref="L63" si="125">+L64</f>
        <v>0</v>
      </c>
    </row>
    <row r="64" spans="1:12" s="2" customFormat="1" ht="15.75" x14ac:dyDescent="0.25">
      <c r="A64" s="12">
        <v>55</v>
      </c>
      <c r="B64" s="6" t="s">
        <v>42</v>
      </c>
      <c r="C64" s="19">
        <f t="shared" si="1"/>
        <v>25.9</v>
      </c>
      <c r="D64" s="19">
        <f t="shared" si="2"/>
        <v>25.5</v>
      </c>
      <c r="E64" s="19">
        <f t="shared" si="3"/>
        <v>-0.4</v>
      </c>
      <c r="F64" s="19">
        <f t="shared" si="5"/>
        <v>98.5</v>
      </c>
      <c r="G64" s="19">
        <v>25.9</v>
      </c>
      <c r="H64" s="19">
        <v>25.5</v>
      </c>
      <c r="I64" s="19">
        <v>19.8</v>
      </c>
      <c r="J64" s="19">
        <v>19.5</v>
      </c>
      <c r="K64" s="19"/>
      <c r="L64" s="19"/>
    </row>
    <row r="65" spans="1:12" s="5" customFormat="1" ht="31.5" x14ac:dyDescent="0.25">
      <c r="A65" s="12">
        <v>56</v>
      </c>
      <c r="B65" s="3" t="s">
        <v>173</v>
      </c>
      <c r="C65" s="18">
        <f>+C66+C68</f>
        <v>234.7</v>
      </c>
      <c r="D65" s="18">
        <f t="shared" ref="D65:E65" si="126">+D66+D68</f>
        <v>189.2</v>
      </c>
      <c r="E65" s="18">
        <f t="shared" si="126"/>
        <v>-45.5</v>
      </c>
      <c r="F65" s="18">
        <f t="shared" si="5"/>
        <v>80.599999999999994</v>
      </c>
      <c r="G65" s="18">
        <f t="shared" ref="G65" si="127">+G66+G68</f>
        <v>204.7</v>
      </c>
      <c r="H65" s="18">
        <f t="shared" ref="H65" si="128">+H66+H68</f>
        <v>182.2</v>
      </c>
      <c r="I65" s="18">
        <f t="shared" ref="I65" si="129">+I66+I68</f>
        <v>102.9</v>
      </c>
      <c r="J65" s="18">
        <f t="shared" ref="J65" si="130">+J66+J68</f>
        <v>91.5</v>
      </c>
      <c r="K65" s="18">
        <f t="shared" ref="K65" si="131">+K66+K68</f>
        <v>30</v>
      </c>
      <c r="L65" s="18">
        <f t="shared" ref="L65" si="132">+L66+L68</f>
        <v>7</v>
      </c>
    </row>
    <row r="66" spans="1:12" s="2" customFormat="1" ht="15.75" x14ac:dyDescent="0.25">
      <c r="A66" s="12">
        <v>57</v>
      </c>
      <c r="B66" s="3" t="s">
        <v>6</v>
      </c>
      <c r="C66" s="18">
        <f>+C67</f>
        <v>200.9</v>
      </c>
      <c r="D66" s="18">
        <f t="shared" ref="D66:E66" si="133">+D67</f>
        <v>178.4</v>
      </c>
      <c r="E66" s="18">
        <f t="shared" si="133"/>
        <v>-22.5</v>
      </c>
      <c r="F66" s="18">
        <f t="shared" si="5"/>
        <v>88.8</v>
      </c>
      <c r="G66" s="18">
        <f t="shared" ref="G66" si="134">+G67</f>
        <v>200.9</v>
      </c>
      <c r="H66" s="18">
        <f t="shared" ref="H66" si="135">+H67</f>
        <v>178.4</v>
      </c>
      <c r="I66" s="18">
        <f t="shared" ref="I66" si="136">+I67</f>
        <v>102.9</v>
      </c>
      <c r="J66" s="18">
        <f t="shared" ref="J66" si="137">+J67</f>
        <v>91.5</v>
      </c>
      <c r="K66" s="18">
        <f t="shared" ref="K66" si="138">+K67</f>
        <v>0</v>
      </c>
      <c r="L66" s="18">
        <f t="shared" ref="L66" si="139">+L67</f>
        <v>0</v>
      </c>
    </row>
    <row r="67" spans="1:12" s="2" customFormat="1" ht="15.75" x14ac:dyDescent="0.25">
      <c r="A67" s="12">
        <v>58</v>
      </c>
      <c r="B67" s="4" t="s">
        <v>81</v>
      </c>
      <c r="C67" s="19">
        <f t="shared" si="1"/>
        <v>200.9</v>
      </c>
      <c r="D67" s="19">
        <f t="shared" si="2"/>
        <v>178.4</v>
      </c>
      <c r="E67" s="19">
        <f t="shared" si="3"/>
        <v>-22.5</v>
      </c>
      <c r="F67" s="19">
        <f t="shared" si="5"/>
        <v>88.8</v>
      </c>
      <c r="G67" s="19">
        <f>199.8+1.1</f>
        <v>200.9</v>
      </c>
      <c r="H67" s="19">
        <f>177.3+1.1</f>
        <v>178.4</v>
      </c>
      <c r="I67" s="19">
        <v>102.9</v>
      </c>
      <c r="J67" s="19">
        <v>91.5</v>
      </c>
      <c r="K67" s="19"/>
      <c r="L67" s="19"/>
    </row>
    <row r="68" spans="1:12" s="2" customFormat="1" ht="15.75" x14ac:dyDescent="0.25">
      <c r="A68" s="12">
        <v>59</v>
      </c>
      <c r="B68" s="3" t="s">
        <v>57</v>
      </c>
      <c r="C68" s="18">
        <f>+C69</f>
        <v>33.799999999999997</v>
      </c>
      <c r="D68" s="18">
        <f t="shared" ref="D68:E68" si="140">+D69</f>
        <v>10.8</v>
      </c>
      <c r="E68" s="18">
        <f t="shared" si="140"/>
        <v>-23</v>
      </c>
      <c r="F68" s="18">
        <f t="shared" si="5"/>
        <v>32</v>
      </c>
      <c r="G68" s="18">
        <f t="shared" ref="G68" si="141">+G69</f>
        <v>3.8</v>
      </c>
      <c r="H68" s="18">
        <f t="shared" ref="H68" si="142">+H69</f>
        <v>3.8</v>
      </c>
      <c r="I68" s="18">
        <f t="shared" ref="I68" si="143">+I69</f>
        <v>0</v>
      </c>
      <c r="J68" s="18">
        <f t="shared" ref="J68" si="144">+J69</f>
        <v>0</v>
      </c>
      <c r="K68" s="18">
        <f t="shared" ref="K68" si="145">+K69</f>
        <v>30</v>
      </c>
      <c r="L68" s="18">
        <f t="shared" ref="L68" si="146">+L69</f>
        <v>7</v>
      </c>
    </row>
    <row r="69" spans="1:12" s="2" customFormat="1" ht="15.75" x14ac:dyDescent="0.25">
      <c r="A69" s="12">
        <v>60</v>
      </c>
      <c r="B69" s="4" t="s">
        <v>70</v>
      </c>
      <c r="C69" s="19">
        <f t="shared" si="1"/>
        <v>33.799999999999997</v>
      </c>
      <c r="D69" s="19">
        <f t="shared" si="2"/>
        <v>10.8</v>
      </c>
      <c r="E69" s="19">
        <f t="shared" si="3"/>
        <v>-23</v>
      </c>
      <c r="F69" s="19">
        <f t="shared" si="5"/>
        <v>32</v>
      </c>
      <c r="G69" s="19">
        <v>3.8</v>
      </c>
      <c r="H69" s="19">
        <v>3.8</v>
      </c>
      <c r="I69" s="19"/>
      <c r="J69" s="19"/>
      <c r="K69" s="19">
        <v>30</v>
      </c>
      <c r="L69" s="19">
        <v>7</v>
      </c>
    </row>
    <row r="70" spans="1:12" s="2" customFormat="1" ht="31.5" x14ac:dyDescent="0.25">
      <c r="A70" s="12">
        <v>61</v>
      </c>
      <c r="B70" s="3" t="s">
        <v>182</v>
      </c>
      <c r="C70" s="18">
        <f>+C71</f>
        <v>362</v>
      </c>
      <c r="D70" s="18">
        <f t="shared" ref="D70:E71" si="147">+D71</f>
        <v>0</v>
      </c>
      <c r="E70" s="18">
        <f t="shared" si="147"/>
        <v>-362</v>
      </c>
      <c r="F70" s="19">
        <f t="shared" si="5"/>
        <v>0</v>
      </c>
      <c r="G70" s="18">
        <f t="shared" ref="G70:G71" si="148">+G71</f>
        <v>0</v>
      </c>
      <c r="H70" s="18">
        <f t="shared" ref="H70:H71" si="149">+H71</f>
        <v>0</v>
      </c>
      <c r="I70" s="18">
        <f t="shared" ref="I70:I71" si="150">+I71</f>
        <v>0</v>
      </c>
      <c r="J70" s="18">
        <f t="shared" ref="J70:J71" si="151">+J71</f>
        <v>0</v>
      </c>
      <c r="K70" s="18">
        <f t="shared" ref="K70:K71" si="152">+K71</f>
        <v>362</v>
      </c>
      <c r="L70" s="18">
        <f t="shared" ref="L70:L71" si="153">+L71</f>
        <v>0</v>
      </c>
    </row>
    <row r="71" spans="1:12" s="2" customFormat="1" ht="15.75" x14ac:dyDescent="0.25">
      <c r="A71" s="12">
        <v>62</v>
      </c>
      <c r="B71" s="3" t="s">
        <v>57</v>
      </c>
      <c r="C71" s="18">
        <f>+C72</f>
        <v>362</v>
      </c>
      <c r="D71" s="18">
        <f t="shared" si="147"/>
        <v>0</v>
      </c>
      <c r="E71" s="18">
        <f t="shared" si="147"/>
        <v>-362</v>
      </c>
      <c r="F71" s="19">
        <f t="shared" si="5"/>
        <v>0</v>
      </c>
      <c r="G71" s="18">
        <f t="shared" si="148"/>
        <v>0</v>
      </c>
      <c r="H71" s="18">
        <f t="shared" si="149"/>
        <v>0</v>
      </c>
      <c r="I71" s="18">
        <f t="shared" si="150"/>
        <v>0</v>
      </c>
      <c r="J71" s="18">
        <f t="shared" si="151"/>
        <v>0</v>
      </c>
      <c r="K71" s="18">
        <f t="shared" si="152"/>
        <v>362</v>
      </c>
      <c r="L71" s="18">
        <f t="shared" si="153"/>
        <v>0</v>
      </c>
    </row>
    <row r="72" spans="1:12" s="2" customFormat="1" ht="15.75" x14ac:dyDescent="0.25">
      <c r="A72" s="12">
        <v>63</v>
      </c>
      <c r="B72" s="4" t="s">
        <v>81</v>
      </c>
      <c r="C72" s="19">
        <f t="shared" si="1"/>
        <v>362</v>
      </c>
      <c r="D72" s="19">
        <f t="shared" si="2"/>
        <v>0</v>
      </c>
      <c r="E72" s="19">
        <f t="shared" si="3"/>
        <v>-362</v>
      </c>
      <c r="F72" s="19">
        <f t="shared" si="5"/>
        <v>0</v>
      </c>
      <c r="G72" s="19"/>
      <c r="H72" s="19"/>
      <c r="I72" s="19"/>
      <c r="J72" s="19"/>
      <c r="K72" s="19">
        <v>362</v>
      </c>
      <c r="L72" s="19"/>
    </row>
    <row r="73" spans="1:12" s="2" customFormat="1" ht="31.5" x14ac:dyDescent="0.25">
      <c r="A73" s="12">
        <v>64</v>
      </c>
      <c r="B73" s="10" t="s">
        <v>132</v>
      </c>
      <c r="C73" s="18">
        <f>+C74+C82+C93+C95+C109+C113</f>
        <v>14251</v>
      </c>
      <c r="D73" s="18">
        <f t="shared" ref="D73:E73" si="154">+D74+D82+D93+D95+D109+D113</f>
        <v>11641.8</v>
      </c>
      <c r="E73" s="18">
        <f t="shared" si="154"/>
        <v>-2609.1999999999998</v>
      </c>
      <c r="F73" s="18">
        <f t="shared" si="5"/>
        <v>81.7</v>
      </c>
      <c r="G73" s="18">
        <f t="shared" ref="G73" si="155">+G74+G82+G93+G95+G109+G113</f>
        <v>3901.4</v>
      </c>
      <c r="H73" s="18">
        <f t="shared" ref="H73" si="156">+H74+H82+H93+H95+H109+H113</f>
        <v>3670.3</v>
      </c>
      <c r="I73" s="18">
        <f t="shared" ref="I73" si="157">+I74+I82+I93+I95+I109+I113</f>
        <v>0.2</v>
      </c>
      <c r="J73" s="18">
        <f t="shared" ref="J73" si="158">+J74+J82+J93+J95+J109+J113</f>
        <v>0.2</v>
      </c>
      <c r="K73" s="18">
        <f t="shared" ref="K73" si="159">+K74+K82+K93+K95+K109+K113</f>
        <v>10349.6</v>
      </c>
      <c r="L73" s="18">
        <f t="shared" ref="L73" si="160">+L74+L82+L93+L95+L109+L113</f>
        <v>7971.5</v>
      </c>
    </row>
    <row r="74" spans="1:12" s="2" customFormat="1" ht="15.75" x14ac:dyDescent="0.25">
      <c r="A74" s="12">
        <v>65</v>
      </c>
      <c r="B74" s="7" t="s">
        <v>3</v>
      </c>
      <c r="C74" s="18">
        <f>+C75+C77+C79+C80+C81</f>
        <v>3942.9</v>
      </c>
      <c r="D74" s="18">
        <f t="shared" ref="D74:E74" si="161">+D75+D77+D79+D80+D81</f>
        <v>3394.2</v>
      </c>
      <c r="E74" s="18">
        <f t="shared" si="161"/>
        <v>-548.70000000000005</v>
      </c>
      <c r="F74" s="18">
        <f t="shared" si="5"/>
        <v>86.1</v>
      </c>
      <c r="G74" s="18">
        <f t="shared" ref="G74" si="162">+G75+G77+G79+G80+G81</f>
        <v>241.6</v>
      </c>
      <c r="H74" s="18">
        <f t="shared" ref="H74" si="163">+H75+H77+H79+H80+H81</f>
        <v>107</v>
      </c>
      <c r="I74" s="18">
        <f t="shared" ref="I74" si="164">+I75+I77+I79+I80+I81</f>
        <v>0</v>
      </c>
      <c r="J74" s="18">
        <f t="shared" ref="J74" si="165">+J75+J77+J79+J80+J81</f>
        <v>0</v>
      </c>
      <c r="K74" s="18">
        <f t="shared" ref="K74" si="166">+K75+K77+K79+K80+K81</f>
        <v>3701.3</v>
      </c>
      <c r="L74" s="18">
        <f t="shared" ref="L74" si="167">+L75+L77+L79+L80+L81</f>
        <v>3287.2</v>
      </c>
    </row>
    <row r="75" spans="1:12" s="2" customFormat="1" ht="15.75" x14ac:dyDescent="0.25">
      <c r="A75" s="12">
        <v>66</v>
      </c>
      <c r="B75" s="6" t="s">
        <v>130</v>
      </c>
      <c r="C75" s="19">
        <f t="shared" ref="C75:C116" si="168">+G75+K75</f>
        <v>47</v>
      </c>
      <c r="D75" s="19">
        <f t="shared" ref="D75:D116" si="169">+H75+L75</f>
        <v>46.6</v>
      </c>
      <c r="E75" s="19">
        <f t="shared" ref="E75:E117" si="170">+D75-C75</f>
        <v>-0.4</v>
      </c>
      <c r="F75" s="19">
        <f t="shared" ref="F75:F118" si="171">+D75/C75*100</f>
        <v>99.1</v>
      </c>
      <c r="G75" s="19">
        <v>47</v>
      </c>
      <c r="H75" s="19">
        <v>46.6</v>
      </c>
      <c r="I75" s="19"/>
      <c r="J75" s="19"/>
      <c r="K75" s="19"/>
      <c r="L75" s="19"/>
    </row>
    <row r="76" spans="1:12" s="2" customFormat="1" ht="15.75" x14ac:dyDescent="0.25">
      <c r="A76" s="12">
        <v>67</v>
      </c>
      <c r="B76" s="31" t="s">
        <v>179</v>
      </c>
      <c r="C76" s="19">
        <f t="shared" si="168"/>
        <v>10.199999999999999</v>
      </c>
      <c r="D76" s="19">
        <f t="shared" si="169"/>
        <v>10.199999999999999</v>
      </c>
      <c r="E76" s="19">
        <f t="shared" si="170"/>
        <v>0</v>
      </c>
      <c r="F76" s="19">
        <f t="shared" si="171"/>
        <v>100</v>
      </c>
      <c r="G76" s="19">
        <v>10.199999999999999</v>
      </c>
      <c r="H76" s="19">
        <v>10.199999999999999</v>
      </c>
      <c r="I76" s="19"/>
      <c r="J76" s="19"/>
      <c r="K76" s="19"/>
      <c r="L76" s="19"/>
    </row>
    <row r="77" spans="1:12" s="2" customFormat="1" ht="15.75" x14ac:dyDescent="0.25">
      <c r="A77" s="12">
        <v>68</v>
      </c>
      <c r="B77" s="6" t="s">
        <v>42</v>
      </c>
      <c r="C77" s="19">
        <f t="shared" si="168"/>
        <v>3688.7</v>
      </c>
      <c r="D77" s="19">
        <f t="shared" si="169"/>
        <v>3256.6</v>
      </c>
      <c r="E77" s="19">
        <f t="shared" si="170"/>
        <v>-432.1</v>
      </c>
      <c r="F77" s="19">
        <f t="shared" si="171"/>
        <v>88.3</v>
      </c>
      <c r="G77" s="19">
        <f>3688.7-K77</f>
        <v>190.4</v>
      </c>
      <c r="H77" s="19">
        <f>3256.6-L77</f>
        <v>56.3</v>
      </c>
      <c r="I77" s="19"/>
      <c r="J77" s="19"/>
      <c r="K77" s="19">
        <f>594.1+2904.2</f>
        <v>3498.3</v>
      </c>
      <c r="L77" s="19">
        <f>296.1+2904.2</f>
        <v>3200.3</v>
      </c>
    </row>
    <row r="78" spans="1:12" s="2" customFormat="1" ht="31.5" x14ac:dyDescent="0.25">
      <c r="A78" s="12">
        <v>69</v>
      </c>
      <c r="B78" s="31" t="s">
        <v>148</v>
      </c>
      <c r="C78" s="19">
        <f t="shared" si="168"/>
        <v>2984.7</v>
      </c>
      <c r="D78" s="19">
        <f t="shared" si="169"/>
        <v>2984.7</v>
      </c>
      <c r="E78" s="19">
        <f t="shared" si="170"/>
        <v>0</v>
      </c>
      <c r="F78" s="19">
        <f t="shared" si="171"/>
        <v>100</v>
      </c>
      <c r="G78" s="19">
        <v>8.4</v>
      </c>
      <c r="H78" s="19">
        <v>8.4</v>
      </c>
      <c r="I78" s="19"/>
      <c r="J78" s="19"/>
      <c r="K78" s="19">
        <v>2976.3</v>
      </c>
      <c r="L78" s="19">
        <v>2976.3</v>
      </c>
    </row>
    <row r="79" spans="1:12" s="2" customFormat="1" ht="31.5" x14ac:dyDescent="0.25">
      <c r="A79" s="12">
        <v>70</v>
      </c>
      <c r="B79" s="6" t="s">
        <v>95</v>
      </c>
      <c r="C79" s="19">
        <f t="shared" si="168"/>
        <v>93</v>
      </c>
      <c r="D79" s="19">
        <f t="shared" si="169"/>
        <v>86.9</v>
      </c>
      <c r="E79" s="19">
        <f t="shared" si="170"/>
        <v>-6.1</v>
      </c>
      <c r="F79" s="19">
        <f t="shared" si="171"/>
        <v>93.4</v>
      </c>
      <c r="G79" s="19"/>
      <c r="H79" s="19"/>
      <c r="I79" s="19"/>
      <c r="J79" s="19"/>
      <c r="K79" s="19">
        <v>93</v>
      </c>
      <c r="L79" s="19">
        <v>86.9</v>
      </c>
    </row>
    <row r="80" spans="1:12" s="2" customFormat="1" ht="31.5" x14ac:dyDescent="0.25">
      <c r="A80" s="12">
        <v>71</v>
      </c>
      <c r="B80" s="6" t="s">
        <v>71</v>
      </c>
      <c r="C80" s="19">
        <f t="shared" si="168"/>
        <v>110</v>
      </c>
      <c r="D80" s="19">
        <f t="shared" si="169"/>
        <v>0</v>
      </c>
      <c r="E80" s="19">
        <f t="shared" si="170"/>
        <v>-110</v>
      </c>
      <c r="F80" s="19">
        <f t="shared" si="171"/>
        <v>0</v>
      </c>
      <c r="G80" s="19"/>
      <c r="H80" s="19"/>
      <c r="I80" s="19"/>
      <c r="J80" s="19"/>
      <c r="K80" s="19">
        <v>110</v>
      </c>
      <c r="L80" s="19"/>
    </row>
    <row r="81" spans="1:12" s="2" customFormat="1" ht="15.75" x14ac:dyDescent="0.25">
      <c r="A81" s="12">
        <v>72</v>
      </c>
      <c r="B81" s="20" t="s">
        <v>167</v>
      </c>
      <c r="C81" s="19">
        <f t="shared" si="168"/>
        <v>4.2</v>
      </c>
      <c r="D81" s="19">
        <f t="shared" si="169"/>
        <v>4.0999999999999996</v>
      </c>
      <c r="E81" s="19">
        <f t="shared" si="170"/>
        <v>-0.1</v>
      </c>
      <c r="F81" s="19">
        <f t="shared" si="171"/>
        <v>97.6</v>
      </c>
      <c r="G81" s="19">
        <v>4.2</v>
      </c>
      <c r="H81" s="19">
        <v>4.0999999999999996</v>
      </c>
      <c r="I81" s="19"/>
      <c r="J81" s="19"/>
      <c r="K81" s="19"/>
      <c r="L81" s="19"/>
    </row>
    <row r="82" spans="1:12" s="2" customFormat="1" ht="15.75" x14ac:dyDescent="0.25">
      <c r="A82" s="12">
        <v>73</v>
      </c>
      <c r="B82" s="3" t="s">
        <v>57</v>
      </c>
      <c r="C82" s="18">
        <f>SUM(C83:C92)</f>
        <v>5277.8</v>
      </c>
      <c r="D82" s="18">
        <f t="shared" ref="D82:E82" si="172">SUM(D83:D92)</f>
        <v>3790.8</v>
      </c>
      <c r="E82" s="18">
        <f t="shared" si="172"/>
        <v>-1487</v>
      </c>
      <c r="F82" s="18">
        <f t="shared" si="171"/>
        <v>71.8</v>
      </c>
      <c r="G82" s="18">
        <f t="shared" ref="G82" si="173">SUM(G83:G92)</f>
        <v>212.5</v>
      </c>
      <c r="H82" s="18">
        <f t="shared" ref="H82" si="174">SUM(H83:H92)</f>
        <v>179.1</v>
      </c>
      <c r="I82" s="18">
        <f t="shared" ref="I82" si="175">SUM(I83:I92)</f>
        <v>0.2</v>
      </c>
      <c r="J82" s="18">
        <f t="shared" ref="J82" si="176">SUM(J83:J92)</f>
        <v>0.2</v>
      </c>
      <c r="K82" s="18">
        <f t="shared" ref="K82" si="177">SUM(K83:K92)</f>
        <v>5065.3</v>
      </c>
      <c r="L82" s="18">
        <f t="shared" ref="L82" si="178">SUM(L83:L92)</f>
        <v>3611.7</v>
      </c>
    </row>
    <row r="83" spans="1:12" s="2" customFormat="1" ht="31.5" x14ac:dyDescent="0.25">
      <c r="A83" s="12">
        <v>74</v>
      </c>
      <c r="B83" s="6" t="s">
        <v>101</v>
      </c>
      <c r="C83" s="19">
        <f t="shared" si="168"/>
        <v>686.8</v>
      </c>
      <c r="D83" s="19">
        <f t="shared" si="169"/>
        <v>686.8</v>
      </c>
      <c r="E83" s="19">
        <f t="shared" si="170"/>
        <v>0</v>
      </c>
      <c r="F83" s="19">
        <f t="shared" si="171"/>
        <v>100</v>
      </c>
      <c r="G83" s="19">
        <v>35.799999999999997</v>
      </c>
      <c r="H83" s="19">
        <v>35.799999999999997</v>
      </c>
      <c r="I83" s="19"/>
      <c r="J83" s="19"/>
      <c r="K83" s="19">
        <v>651</v>
      </c>
      <c r="L83" s="19">
        <v>651</v>
      </c>
    </row>
    <row r="84" spans="1:12" s="2" customFormat="1" ht="15.75" x14ac:dyDescent="0.25">
      <c r="A84" s="12">
        <v>75</v>
      </c>
      <c r="B84" s="6" t="s">
        <v>94</v>
      </c>
      <c r="C84" s="19">
        <f t="shared" si="168"/>
        <v>143.5</v>
      </c>
      <c r="D84" s="19">
        <f t="shared" si="169"/>
        <v>143.19999999999999</v>
      </c>
      <c r="E84" s="19">
        <f t="shared" si="170"/>
        <v>-0.3</v>
      </c>
      <c r="F84" s="19">
        <f t="shared" si="171"/>
        <v>99.8</v>
      </c>
      <c r="G84" s="19">
        <f>23.4+32</f>
        <v>55.4</v>
      </c>
      <c r="H84" s="19">
        <f>23.1+32</f>
        <v>55.1</v>
      </c>
      <c r="I84" s="19"/>
      <c r="J84" s="19"/>
      <c r="K84" s="19">
        <v>88.1</v>
      </c>
      <c r="L84" s="19">
        <v>88.1</v>
      </c>
    </row>
    <row r="85" spans="1:12" s="2" customFormat="1" ht="15.75" x14ac:dyDescent="0.25">
      <c r="A85" s="12">
        <v>76</v>
      </c>
      <c r="B85" s="4" t="s">
        <v>70</v>
      </c>
      <c r="C85" s="19">
        <f t="shared" si="168"/>
        <v>246.3</v>
      </c>
      <c r="D85" s="19">
        <f t="shared" si="169"/>
        <v>115.9</v>
      </c>
      <c r="E85" s="19">
        <f t="shared" si="170"/>
        <v>-130.4</v>
      </c>
      <c r="F85" s="19">
        <f t="shared" si="171"/>
        <v>47.1</v>
      </c>
      <c r="G85" s="19"/>
      <c r="H85" s="19"/>
      <c r="I85" s="19"/>
      <c r="J85" s="19"/>
      <c r="K85" s="19">
        <v>246.3</v>
      </c>
      <c r="L85" s="19">
        <v>115.9</v>
      </c>
    </row>
    <row r="86" spans="1:12" s="2" customFormat="1" ht="31.5" x14ac:dyDescent="0.25">
      <c r="A86" s="12">
        <v>77</v>
      </c>
      <c r="B86" s="4" t="s">
        <v>95</v>
      </c>
      <c r="C86" s="19">
        <f t="shared" si="168"/>
        <v>2590</v>
      </c>
      <c r="D86" s="19">
        <f t="shared" si="169"/>
        <v>2225.1</v>
      </c>
      <c r="E86" s="19">
        <f t="shared" si="170"/>
        <v>-364.9</v>
      </c>
      <c r="F86" s="19">
        <f t="shared" si="171"/>
        <v>85.9</v>
      </c>
      <c r="G86" s="19"/>
      <c r="H86" s="19"/>
      <c r="I86" s="19"/>
      <c r="J86" s="19"/>
      <c r="K86" s="19">
        <v>2590</v>
      </c>
      <c r="L86" s="19">
        <v>2225.1</v>
      </c>
    </row>
    <row r="87" spans="1:12" s="2" customFormat="1" ht="31.5" x14ac:dyDescent="0.25">
      <c r="A87" s="12">
        <v>78</v>
      </c>
      <c r="B87" s="4" t="s">
        <v>133</v>
      </c>
      <c r="C87" s="19">
        <f t="shared" si="168"/>
        <v>50.5</v>
      </c>
      <c r="D87" s="19">
        <f t="shared" si="169"/>
        <v>50.5</v>
      </c>
      <c r="E87" s="19">
        <f t="shared" si="170"/>
        <v>0</v>
      </c>
      <c r="F87" s="19">
        <f t="shared" si="171"/>
        <v>100</v>
      </c>
      <c r="G87" s="19"/>
      <c r="H87" s="19"/>
      <c r="I87" s="19"/>
      <c r="J87" s="19"/>
      <c r="K87" s="19">
        <v>50.5</v>
      </c>
      <c r="L87" s="19">
        <v>50.5</v>
      </c>
    </row>
    <row r="88" spans="1:12" s="2" customFormat="1" ht="15.75" x14ac:dyDescent="0.25">
      <c r="A88" s="12">
        <v>79</v>
      </c>
      <c r="B88" s="6" t="s">
        <v>140</v>
      </c>
      <c r="C88" s="19">
        <f t="shared" si="168"/>
        <v>143.6</v>
      </c>
      <c r="D88" s="19">
        <f t="shared" si="169"/>
        <v>129</v>
      </c>
      <c r="E88" s="19">
        <f t="shared" si="170"/>
        <v>-14.6</v>
      </c>
      <c r="F88" s="19">
        <f t="shared" si="171"/>
        <v>89.8</v>
      </c>
      <c r="G88" s="19">
        <v>70.900000000000006</v>
      </c>
      <c r="H88" s="19">
        <v>70.900000000000006</v>
      </c>
      <c r="I88" s="19"/>
      <c r="J88" s="19"/>
      <c r="K88" s="19">
        <f>1.8+70.9</f>
        <v>72.7</v>
      </c>
      <c r="L88" s="19">
        <f>1.8+56.3</f>
        <v>58.1</v>
      </c>
    </row>
    <row r="89" spans="1:12" s="2" customFormat="1" ht="15.75" x14ac:dyDescent="0.25">
      <c r="A89" s="12">
        <v>80</v>
      </c>
      <c r="B89" s="6" t="s">
        <v>64</v>
      </c>
      <c r="C89" s="19">
        <f t="shared" si="168"/>
        <v>164.6</v>
      </c>
      <c r="D89" s="19">
        <f t="shared" si="169"/>
        <v>150.19999999999999</v>
      </c>
      <c r="E89" s="19">
        <f t="shared" si="170"/>
        <v>-14.4</v>
      </c>
      <c r="F89" s="19">
        <f t="shared" si="171"/>
        <v>91.3</v>
      </c>
      <c r="G89" s="19">
        <v>0.4</v>
      </c>
      <c r="H89" s="19">
        <v>0.2</v>
      </c>
      <c r="I89" s="19">
        <v>0.2</v>
      </c>
      <c r="J89" s="19">
        <v>0.2</v>
      </c>
      <c r="K89" s="19">
        <v>164.2</v>
      </c>
      <c r="L89" s="19">
        <v>150</v>
      </c>
    </row>
    <row r="90" spans="1:12" s="2" customFormat="1" ht="15.75" x14ac:dyDescent="0.25">
      <c r="A90" s="12">
        <v>81</v>
      </c>
      <c r="B90" s="4" t="s">
        <v>78</v>
      </c>
      <c r="C90" s="19">
        <f t="shared" si="168"/>
        <v>972.1</v>
      </c>
      <c r="D90" s="19">
        <f t="shared" si="169"/>
        <v>71.7</v>
      </c>
      <c r="E90" s="19">
        <f t="shared" si="170"/>
        <v>-900.4</v>
      </c>
      <c r="F90" s="19">
        <f t="shared" si="171"/>
        <v>7.4</v>
      </c>
      <c r="G90" s="19"/>
      <c r="H90" s="19"/>
      <c r="I90" s="19"/>
      <c r="J90" s="19"/>
      <c r="K90" s="19">
        <v>972.1</v>
      </c>
      <c r="L90" s="19">
        <v>71.7</v>
      </c>
    </row>
    <row r="91" spans="1:12" s="2" customFormat="1" ht="15.75" x14ac:dyDescent="0.25">
      <c r="A91" s="12">
        <v>82</v>
      </c>
      <c r="B91" s="4" t="s">
        <v>81</v>
      </c>
      <c r="C91" s="19">
        <f t="shared" si="168"/>
        <v>228.6</v>
      </c>
      <c r="D91" s="19">
        <f t="shared" si="169"/>
        <v>195.6</v>
      </c>
      <c r="E91" s="19">
        <f t="shared" si="170"/>
        <v>-33</v>
      </c>
      <c r="F91" s="19">
        <f t="shared" si="171"/>
        <v>85.6</v>
      </c>
      <c r="G91" s="19">
        <v>50</v>
      </c>
      <c r="H91" s="19">
        <v>17.100000000000001</v>
      </c>
      <c r="I91" s="19"/>
      <c r="J91" s="19"/>
      <c r="K91" s="19">
        <v>178.6</v>
      </c>
      <c r="L91" s="19">
        <v>178.5</v>
      </c>
    </row>
    <row r="92" spans="1:12" s="2" customFormat="1" ht="15.75" x14ac:dyDescent="0.25">
      <c r="A92" s="12">
        <v>83</v>
      </c>
      <c r="B92" s="6" t="s">
        <v>87</v>
      </c>
      <c r="C92" s="19">
        <f t="shared" si="168"/>
        <v>51.8</v>
      </c>
      <c r="D92" s="19">
        <f t="shared" si="169"/>
        <v>22.8</v>
      </c>
      <c r="E92" s="19">
        <f t="shared" si="170"/>
        <v>-29</v>
      </c>
      <c r="F92" s="19">
        <f t="shared" si="171"/>
        <v>44</v>
      </c>
      <c r="G92" s="19"/>
      <c r="H92" s="19"/>
      <c r="I92" s="19"/>
      <c r="J92" s="19"/>
      <c r="K92" s="19">
        <v>51.8</v>
      </c>
      <c r="L92" s="19">
        <v>22.8</v>
      </c>
    </row>
    <row r="93" spans="1:12" s="2" customFormat="1" ht="15.75" x14ac:dyDescent="0.25">
      <c r="A93" s="12">
        <v>84</v>
      </c>
      <c r="B93" s="7" t="s">
        <v>69</v>
      </c>
      <c r="C93" s="18">
        <f>+C94</f>
        <v>62.9</v>
      </c>
      <c r="D93" s="18">
        <f t="shared" ref="D93:E93" si="179">+D94</f>
        <v>57.2</v>
      </c>
      <c r="E93" s="18">
        <f t="shared" si="179"/>
        <v>-5.7</v>
      </c>
      <c r="F93" s="18">
        <f t="shared" si="171"/>
        <v>90.9</v>
      </c>
      <c r="G93" s="18">
        <f t="shared" ref="G93" si="180">+G94</f>
        <v>5</v>
      </c>
      <c r="H93" s="18">
        <f t="shared" ref="H93" si="181">+H94</f>
        <v>5</v>
      </c>
      <c r="I93" s="18">
        <f t="shared" ref="I93" si="182">+I94</f>
        <v>0</v>
      </c>
      <c r="J93" s="18">
        <f t="shared" ref="J93" si="183">+J94</f>
        <v>0</v>
      </c>
      <c r="K93" s="18">
        <f t="shared" ref="K93" si="184">+K94</f>
        <v>57.9</v>
      </c>
      <c r="L93" s="18">
        <f t="shared" ref="L93" si="185">+L94</f>
        <v>52.2</v>
      </c>
    </row>
    <row r="94" spans="1:12" s="2" customFormat="1" ht="15.75" x14ac:dyDescent="0.25">
      <c r="A94" s="12">
        <v>85</v>
      </c>
      <c r="B94" s="6" t="s">
        <v>130</v>
      </c>
      <c r="C94" s="19">
        <f t="shared" si="168"/>
        <v>62.9</v>
      </c>
      <c r="D94" s="19">
        <f t="shared" si="169"/>
        <v>57.2</v>
      </c>
      <c r="E94" s="19">
        <f t="shared" si="170"/>
        <v>-5.7</v>
      </c>
      <c r="F94" s="19">
        <f t="shared" si="171"/>
        <v>90.9</v>
      </c>
      <c r="G94" s="19">
        <v>5</v>
      </c>
      <c r="H94" s="19">
        <v>5</v>
      </c>
      <c r="I94" s="19"/>
      <c r="J94" s="19"/>
      <c r="K94" s="19">
        <v>57.9</v>
      </c>
      <c r="L94" s="19">
        <v>52.2</v>
      </c>
    </row>
    <row r="95" spans="1:12" s="2" customFormat="1" ht="15.75" x14ac:dyDescent="0.25">
      <c r="A95" s="12">
        <v>86</v>
      </c>
      <c r="B95" s="3" t="s">
        <v>4</v>
      </c>
      <c r="C95" s="18">
        <f>+C96+C98+C100+C102+C104+C106+C108</f>
        <v>4782.5</v>
      </c>
      <c r="D95" s="18">
        <f t="shared" ref="D95:E95" si="186">+D96+D98+D100+D102+D104+D106+D108</f>
        <v>4277.5</v>
      </c>
      <c r="E95" s="18">
        <f t="shared" si="186"/>
        <v>-505</v>
      </c>
      <c r="F95" s="18">
        <f t="shared" si="171"/>
        <v>89.4</v>
      </c>
      <c r="G95" s="18">
        <f t="shared" ref="G95" si="187">+G96+G98+G100+G102+G104+G106+G108</f>
        <v>3321.8</v>
      </c>
      <c r="H95" s="18">
        <f t="shared" ref="H95" si="188">+H96+H98+H100+H102+H104+H106+H108</f>
        <v>3309.9</v>
      </c>
      <c r="I95" s="18">
        <f t="shared" ref="I95" si="189">+I96+I98+I100+I102+I104+I106+I108</f>
        <v>0</v>
      </c>
      <c r="J95" s="18">
        <f t="shared" ref="J95" si="190">+J96+J98+J100+J102+J104+J106+J108</f>
        <v>0</v>
      </c>
      <c r="K95" s="18">
        <f t="shared" ref="K95" si="191">+K96+K98+K100+K102+K104+K106+K108</f>
        <v>1460.7</v>
      </c>
      <c r="L95" s="18">
        <f t="shared" ref="L95" si="192">+L96+L98+L100+L102+L104+L106+L108</f>
        <v>967.6</v>
      </c>
    </row>
    <row r="96" spans="1:12" s="2" customFormat="1" ht="31.5" x14ac:dyDescent="0.25">
      <c r="A96" s="12">
        <v>87</v>
      </c>
      <c r="B96" s="4" t="s">
        <v>95</v>
      </c>
      <c r="C96" s="19">
        <f t="shared" si="168"/>
        <v>2973</v>
      </c>
      <c r="D96" s="19">
        <f t="shared" si="169"/>
        <v>2894</v>
      </c>
      <c r="E96" s="19">
        <f t="shared" si="170"/>
        <v>-79</v>
      </c>
      <c r="F96" s="19">
        <f t="shared" si="171"/>
        <v>97.3</v>
      </c>
      <c r="G96" s="19">
        <f>2973-K96</f>
        <v>2723.7</v>
      </c>
      <c r="H96" s="19">
        <f>2894-L96</f>
        <v>2711.9</v>
      </c>
      <c r="I96" s="19"/>
      <c r="J96" s="19"/>
      <c r="K96" s="19">
        <f>116+133.3</f>
        <v>249.3</v>
      </c>
      <c r="L96" s="19">
        <f>94.8+87.3</f>
        <v>182.1</v>
      </c>
    </row>
    <row r="97" spans="1:12" s="2" customFormat="1" ht="15.75" x14ac:dyDescent="0.25">
      <c r="A97" s="12">
        <v>88</v>
      </c>
      <c r="B97" s="32" t="s">
        <v>149</v>
      </c>
      <c r="C97" s="19">
        <f t="shared" si="168"/>
        <v>147.30000000000001</v>
      </c>
      <c r="D97" s="19">
        <f t="shared" si="169"/>
        <v>147.30000000000001</v>
      </c>
      <c r="E97" s="19">
        <f t="shared" si="170"/>
        <v>0</v>
      </c>
      <c r="F97" s="19">
        <f t="shared" si="171"/>
        <v>100</v>
      </c>
      <c r="G97" s="19">
        <v>147.30000000000001</v>
      </c>
      <c r="H97" s="19">
        <v>147.30000000000001</v>
      </c>
      <c r="I97" s="19"/>
      <c r="J97" s="19"/>
      <c r="K97" s="19"/>
      <c r="L97" s="19"/>
    </row>
    <row r="98" spans="1:12" s="2" customFormat="1" ht="31.5" x14ac:dyDescent="0.25">
      <c r="A98" s="12">
        <v>89</v>
      </c>
      <c r="B98" s="6" t="s">
        <v>71</v>
      </c>
      <c r="C98" s="19">
        <f t="shared" si="168"/>
        <v>1329.9</v>
      </c>
      <c r="D98" s="19">
        <f t="shared" si="169"/>
        <v>905.5</v>
      </c>
      <c r="E98" s="19">
        <f t="shared" si="170"/>
        <v>-424.4</v>
      </c>
      <c r="F98" s="19">
        <f t="shared" si="171"/>
        <v>68.099999999999994</v>
      </c>
      <c r="G98" s="19">
        <v>162.69999999999999</v>
      </c>
      <c r="H98" s="19">
        <v>162.69999999999999</v>
      </c>
      <c r="I98" s="19"/>
      <c r="J98" s="19"/>
      <c r="K98" s="19">
        <v>1167.2</v>
      </c>
      <c r="L98" s="19">
        <v>742.8</v>
      </c>
    </row>
    <row r="99" spans="1:12" s="2" customFormat="1" ht="15.75" x14ac:dyDescent="0.25">
      <c r="A99" s="12">
        <v>90</v>
      </c>
      <c r="B99" s="32" t="s">
        <v>149</v>
      </c>
      <c r="C99" s="19">
        <f t="shared" si="168"/>
        <v>154.30000000000001</v>
      </c>
      <c r="D99" s="19">
        <f t="shared" si="169"/>
        <v>154.30000000000001</v>
      </c>
      <c r="E99" s="19">
        <f t="shared" si="170"/>
        <v>0</v>
      </c>
      <c r="F99" s="19">
        <f t="shared" si="171"/>
        <v>100</v>
      </c>
      <c r="G99" s="19">
        <v>154.30000000000001</v>
      </c>
      <c r="H99" s="19">
        <v>154.30000000000001</v>
      </c>
      <c r="I99" s="19"/>
      <c r="J99" s="19"/>
      <c r="K99" s="19"/>
      <c r="L99" s="19"/>
    </row>
    <row r="100" spans="1:12" s="2" customFormat="1" ht="15.75" x14ac:dyDescent="0.25">
      <c r="A100" s="12">
        <v>91</v>
      </c>
      <c r="B100" s="6" t="s">
        <v>140</v>
      </c>
      <c r="C100" s="19">
        <f t="shared" si="168"/>
        <v>20.100000000000001</v>
      </c>
      <c r="D100" s="19">
        <f t="shared" si="169"/>
        <v>20.100000000000001</v>
      </c>
      <c r="E100" s="19">
        <f t="shared" si="170"/>
        <v>0</v>
      </c>
      <c r="F100" s="19">
        <f t="shared" si="171"/>
        <v>100</v>
      </c>
      <c r="G100" s="19">
        <v>20.100000000000001</v>
      </c>
      <c r="H100" s="19">
        <v>20.100000000000001</v>
      </c>
      <c r="I100" s="19"/>
      <c r="J100" s="19"/>
      <c r="K100" s="19"/>
      <c r="L100" s="19"/>
    </row>
    <row r="101" spans="1:12" s="2" customFormat="1" ht="15.75" x14ac:dyDescent="0.25">
      <c r="A101" s="12">
        <v>92</v>
      </c>
      <c r="B101" s="32" t="s">
        <v>149</v>
      </c>
      <c r="C101" s="19">
        <f t="shared" si="168"/>
        <v>20.100000000000001</v>
      </c>
      <c r="D101" s="19">
        <f t="shared" si="169"/>
        <v>20.100000000000001</v>
      </c>
      <c r="E101" s="19">
        <f t="shared" si="170"/>
        <v>0</v>
      </c>
      <c r="F101" s="19">
        <f t="shared" si="171"/>
        <v>100</v>
      </c>
      <c r="G101" s="19">
        <v>20.100000000000001</v>
      </c>
      <c r="H101" s="19">
        <v>20.100000000000001</v>
      </c>
      <c r="I101" s="19"/>
      <c r="J101" s="19"/>
      <c r="K101" s="19"/>
      <c r="L101" s="19"/>
    </row>
    <row r="102" spans="1:12" s="2" customFormat="1" ht="15.75" x14ac:dyDescent="0.25">
      <c r="A102" s="12">
        <v>93</v>
      </c>
      <c r="B102" s="6" t="s">
        <v>64</v>
      </c>
      <c r="C102" s="19">
        <f t="shared" si="168"/>
        <v>365.9</v>
      </c>
      <c r="D102" s="19">
        <f t="shared" si="169"/>
        <v>365.9</v>
      </c>
      <c r="E102" s="19">
        <f t="shared" si="170"/>
        <v>0</v>
      </c>
      <c r="F102" s="19">
        <f t="shared" si="171"/>
        <v>100</v>
      </c>
      <c r="G102" s="19">
        <v>365.9</v>
      </c>
      <c r="H102" s="19">
        <v>365.9</v>
      </c>
      <c r="I102" s="19"/>
      <c r="J102" s="19"/>
      <c r="K102" s="19"/>
      <c r="L102" s="19"/>
    </row>
    <row r="103" spans="1:12" s="2" customFormat="1" ht="15.75" x14ac:dyDescent="0.25">
      <c r="A103" s="12">
        <v>94</v>
      </c>
      <c r="B103" s="32" t="s">
        <v>149</v>
      </c>
      <c r="C103" s="19">
        <f t="shared" si="168"/>
        <v>354</v>
      </c>
      <c r="D103" s="19">
        <f t="shared" si="169"/>
        <v>354</v>
      </c>
      <c r="E103" s="19">
        <f t="shared" si="170"/>
        <v>0</v>
      </c>
      <c r="F103" s="19">
        <f t="shared" si="171"/>
        <v>100</v>
      </c>
      <c r="G103" s="19">
        <v>354</v>
      </c>
      <c r="H103" s="19">
        <v>354</v>
      </c>
      <c r="I103" s="19"/>
      <c r="J103" s="19"/>
      <c r="K103" s="19"/>
      <c r="L103" s="19"/>
    </row>
    <row r="104" spans="1:12" s="2" customFormat="1" ht="15.75" x14ac:dyDescent="0.25">
      <c r="A104" s="12">
        <v>95</v>
      </c>
      <c r="B104" s="4" t="s">
        <v>78</v>
      </c>
      <c r="C104" s="19">
        <f t="shared" si="168"/>
        <v>23.5</v>
      </c>
      <c r="D104" s="19">
        <f t="shared" si="169"/>
        <v>23.5</v>
      </c>
      <c r="E104" s="19">
        <f t="shared" si="170"/>
        <v>0</v>
      </c>
      <c r="F104" s="19">
        <f t="shared" si="171"/>
        <v>100</v>
      </c>
      <c r="G104" s="19">
        <v>23.5</v>
      </c>
      <c r="H104" s="19">
        <v>23.5</v>
      </c>
      <c r="I104" s="19"/>
      <c r="J104" s="19"/>
      <c r="K104" s="19"/>
      <c r="L104" s="19"/>
    </row>
    <row r="105" spans="1:12" s="2" customFormat="1" ht="15.75" x14ac:dyDescent="0.25">
      <c r="A105" s="12">
        <v>96</v>
      </c>
      <c r="B105" s="32" t="s">
        <v>149</v>
      </c>
      <c r="C105" s="19">
        <f t="shared" si="168"/>
        <v>23.5</v>
      </c>
      <c r="D105" s="19">
        <f t="shared" si="169"/>
        <v>23.1</v>
      </c>
      <c r="E105" s="19">
        <f t="shared" si="170"/>
        <v>-0.4</v>
      </c>
      <c r="F105" s="19">
        <f t="shared" si="171"/>
        <v>98.3</v>
      </c>
      <c r="G105" s="19">
        <v>23.5</v>
      </c>
      <c r="H105" s="19">
        <v>23.1</v>
      </c>
      <c r="I105" s="19"/>
      <c r="J105" s="19"/>
      <c r="K105" s="19"/>
      <c r="L105" s="19"/>
    </row>
    <row r="106" spans="1:12" s="2" customFormat="1" ht="15.75" x14ac:dyDescent="0.25">
      <c r="A106" s="12">
        <v>97</v>
      </c>
      <c r="B106" s="4" t="s">
        <v>81</v>
      </c>
      <c r="C106" s="19">
        <f t="shared" si="168"/>
        <v>25.9</v>
      </c>
      <c r="D106" s="19">
        <f t="shared" si="169"/>
        <v>25.8</v>
      </c>
      <c r="E106" s="19">
        <f t="shared" si="170"/>
        <v>-0.1</v>
      </c>
      <c r="F106" s="19">
        <f t="shared" si="171"/>
        <v>99.6</v>
      </c>
      <c r="G106" s="19">
        <v>25.9</v>
      </c>
      <c r="H106" s="19">
        <v>25.8</v>
      </c>
      <c r="I106" s="19"/>
      <c r="J106" s="19"/>
      <c r="K106" s="19"/>
      <c r="L106" s="19"/>
    </row>
    <row r="107" spans="1:12" s="2" customFormat="1" ht="15.75" x14ac:dyDescent="0.25">
      <c r="A107" s="12">
        <v>98</v>
      </c>
      <c r="B107" s="32" t="s">
        <v>149</v>
      </c>
      <c r="C107" s="19">
        <f t="shared" si="168"/>
        <v>9.1999999999999993</v>
      </c>
      <c r="D107" s="19">
        <f t="shared" si="169"/>
        <v>8.9</v>
      </c>
      <c r="E107" s="19">
        <f t="shared" si="170"/>
        <v>-0.3</v>
      </c>
      <c r="F107" s="19">
        <f t="shared" si="171"/>
        <v>96.7</v>
      </c>
      <c r="G107" s="19">
        <v>9.1999999999999993</v>
      </c>
      <c r="H107" s="19">
        <v>8.9</v>
      </c>
      <c r="I107" s="19"/>
      <c r="J107" s="19"/>
      <c r="K107" s="19"/>
      <c r="L107" s="19"/>
    </row>
    <row r="108" spans="1:12" s="2" customFormat="1" ht="15.75" x14ac:dyDescent="0.25">
      <c r="A108" s="12">
        <v>99</v>
      </c>
      <c r="B108" s="6" t="s">
        <v>87</v>
      </c>
      <c r="C108" s="19">
        <f t="shared" si="168"/>
        <v>44.2</v>
      </c>
      <c r="D108" s="19">
        <f t="shared" si="169"/>
        <v>42.7</v>
      </c>
      <c r="E108" s="19">
        <f t="shared" si="170"/>
        <v>-1.5</v>
      </c>
      <c r="F108" s="19">
        <f t="shared" si="171"/>
        <v>96.6</v>
      </c>
      <c r="G108" s="19"/>
      <c r="H108" s="19"/>
      <c r="I108" s="19"/>
      <c r="J108" s="19"/>
      <c r="K108" s="19">
        <v>44.2</v>
      </c>
      <c r="L108" s="19">
        <v>42.7</v>
      </c>
    </row>
    <row r="109" spans="1:12" s="2" customFormat="1" ht="15.75" x14ac:dyDescent="0.25">
      <c r="A109" s="12">
        <v>100</v>
      </c>
      <c r="B109" s="3" t="s">
        <v>126</v>
      </c>
      <c r="C109" s="18">
        <f>+C110+C111</f>
        <v>153.1</v>
      </c>
      <c r="D109" s="18">
        <f t="shared" ref="D109:E109" si="193">+D110+D111</f>
        <v>90.3</v>
      </c>
      <c r="E109" s="18">
        <f t="shared" si="193"/>
        <v>-62.8</v>
      </c>
      <c r="F109" s="18">
        <f t="shared" si="171"/>
        <v>59</v>
      </c>
      <c r="G109" s="18">
        <f t="shared" ref="G109" si="194">+G110+G111</f>
        <v>88.7</v>
      </c>
      <c r="H109" s="18">
        <f t="shared" ref="H109" si="195">+H110+H111</f>
        <v>37.5</v>
      </c>
      <c r="I109" s="18">
        <f t="shared" ref="I109" si="196">+I110+I111</f>
        <v>0</v>
      </c>
      <c r="J109" s="18">
        <f t="shared" ref="J109" si="197">+J110+J111</f>
        <v>0</v>
      </c>
      <c r="K109" s="18">
        <f t="shared" ref="K109" si="198">+K110+K111</f>
        <v>64.400000000000006</v>
      </c>
      <c r="L109" s="18">
        <f t="shared" ref="L109" si="199">+L110+L111</f>
        <v>52.8</v>
      </c>
    </row>
    <row r="110" spans="1:12" s="2" customFormat="1" ht="15.75" x14ac:dyDescent="0.25">
      <c r="A110" s="12">
        <v>101</v>
      </c>
      <c r="B110" s="6" t="s">
        <v>140</v>
      </c>
      <c r="C110" s="19">
        <f t="shared" si="168"/>
        <v>45.7</v>
      </c>
      <c r="D110" s="19">
        <f t="shared" si="169"/>
        <v>45.7</v>
      </c>
      <c r="E110" s="19">
        <f t="shared" si="170"/>
        <v>0</v>
      </c>
      <c r="F110" s="19">
        <f t="shared" si="171"/>
        <v>100</v>
      </c>
      <c r="G110" s="19"/>
      <c r="H110" s="19"/>
      <c r="I110" s="19"/>
      <c r="J110" s="19"/>
      <c r="K110" s="19">
        <v>45.7</v>
      </c>
      <c r="L110" s="19">
        <v>45.7</v>
      </c>
    </row>
    <row r="111" spans="1:12" s="2" customFormat="1" ht="15.75" x14ac:dyDescent="0.25">
      <c r="A111" s="12">
        <v>102</v>
      </c>
      <c r="B111" s="6" t="s">
        <v>64</v>
      </c>
      <c r="C111" s="19">
        <f t="shared" si="168"/>
        <v>107.4</v>
      </c>
      <c r="D111" s="19">
        <f t="shared" si="169"/>
        <v>44.6</v>
      </c>
      <c r="E111" s="19">
        <f t="shared" si="170"/>
        <v>-62.8</v>
      </c>
      <c r="F111" s="19">
        <f t="shared" si="171"/>
        <v>41.5</v>
      </c>
      <c r="G111" s="19">
        <f>107.4-K111</f>
        <v>88.7</v>
      </c>
      <c r="H111" s="19">
        <f>44.6-L111</f>
        <v>37.5</v>
      </c>
      <c r="I111" s="19"/>
      <c r="J111" s="19"/>
      <c r="K111" s="19">
        <v>18.7</v>
      </c>
      <c r="L111" s="19">
        <v>7.1</v>
      </c>
    </row>
    <row r="112" spans="1:12" s="2" customFormat="1" ht="15.75" x14ac:dyDescent="0.25">
      <c r="A112" s="12">
        <v>103</v>
      </c>
      <c r="B112" s="32" t="s">
        <v>149</v>
      </c>
      <c r="C112" s="19">
        <f t="shared" si="168"/>
        <v>8.1999999999999993</v>
      </c>
      <c r="D112" s="19">
        <f t="shared" si="169"/>
        <v>0</v>
      </c>
      <c r="E112" s="19">
        <f t="shared" si="170"/>
        <v>-8.1999999999999993</v>
      </c>
      <c r="F112" s="19">
        <f t="shared" si="171"/>
        <v>0</v>
      </c>
      <c r="G112" s="19">
        <v>8.1999999999999993</v>
      </c>
      <c r="H112" s="19"/>
      <c r="I112" s="19"/>
      <c r="J112" s="19"/>
      <c r="K112" s="19"/>
      <c r="L112" s="19"/>
    </row>
    <row r="113" spans="1:12" s="2" customFormat="1" ht="15.75" x14ac:dyDescent="0.25">
      <c r="A113" s="12">
        <v>104</v>
      </c>
      <c r="B113" s="3" t="s">
        <v>6</v>
      </c>
      <c r="C113" s="18">
        <f>+C114</f>
        <v>31.8</v>
      </c>
      <c r="D113" s="18">
        <f t="shared" ref="D113:E113" si="200">+D114</f>
        <v>31.8</v>
      </c>
      <c r="E113" s="18">
        <f t="shared" si="200"/>
        <v>0</v>
      </c>
      <c r="F113" s="18">
        <f t="shared" si="171"/>
        <v>100</v>
      </c>
      <c r="G113" s="18">
        <f t="shared" ref="G113" si="201">+G114</f>
        <v>31.8</v>
      </c>
      <c r="H113" s="18">
        <f t="shared" ref="H113" si="202">+H114</f>
        <v>31.8</v>
      </c>
      <c r="I113" s="18">
        <f t="shared" ref="I113" si="203">+I114</f>
        <v>0</v>
      </c>
      <c r="J113" s="18">
        <f t="shared" ref="J113" si="204">+J114</f>
        <v>0</v>
      </c>
      <c r="K113" s="18">
        <f t="shared" ref="K113" si="205">+K114</f>
        <v>0</v>
      </c>
      <c r="L113" s="18">
        <f t="shared" ref="L113" si="206">+L114</f>
        <v>0</v>
      </c>
    </row>
    <row r="114" spans="1:12" s="2" customFormat="1" ht="15.75" x14ac:dyDescent="0.25">
      <c r="A114" s="12">
        <v>105</v>
      </c>
      <c r="B114" s="4" t="s">
        <v>78</v>
      </c>
      <c r="C114" s="19">
        <f t="shared" si="168"/>
        <v>31.8</v>
      </c>
      <c r="D114" s="19">
        <f t="shared" si="169"/>
        <v>31.8</v>
      </c>
      <c r="E114" s="19">
        <f t="shared" si="170"/>
        <v>0</v>
      </c>
      <c r="F114" s="19">
        <f t="shared" si="171"/>
        <v>100</v>
      </c>
      <c r="G114" s="19">
        <v>31.8</v>
      </c>
      <c r="H114" s="19">
        <v>31.8</v>
      </c>
      <c r="I114" s="19"/>
      <c r="J114" s="19"/>
      <c r="K114" s="19"/>
      <c r="L114" s="19"/>
    </row>
    <row r="115" spans="1:12" s="2" customFormat="1" ht="15.75" x14ac:dyDescent="0.25">
      <c r="A115" s="12">
        <v>106</v>
      </c>
      <c r="B115" s="7" t="s">
        <v>123</v>
      </c>
      <c r="C115" s="18">
        <f>+C10+C29+C73</f>
        <v>20974.400000000001</v>
      </c>
      <c r="D115" s="18">
        <f t="shared" ref="D115:L115" si="207">+D10+D29+D73</f>
        <v>16248.9</v>
      </c>
      <c r="E115" s="18">
        <f t="shared" si="207"/>
        <v>-4725.5</v>
      </c>
      <c r="F115" s="18">
        <f t="shared" si="171"/>
        <v>77.5</v>
      </c>
      <c r="G115" s="18">
        <f t="shared" si="207"/>
        <v>7443.7</v>
      </c>
      <c r="H115" s="18">
        <f t="shared" si="207"/>
        <v>6175.8</v>
      </c>
      <c r="I115" s="18">
        <f t="shared" si="207"/>
        <v>243.7</v>
      </c>
      <c r="J115" s="18">
        <f t="shared" si="207"/>
        <v>231.9</v>
      </c>
      <c r="K115" s="18">
        <f t="shared" si="207"/>
        <v>13530.7</v>
      </c>
      <c r="L115" s="18">
        <f t="shared" si="207"/>
        <v>10073.1</v>
      </c>
    </row>
    <row r="116" spans="1:12" s="2" customFormat="1" ht="15.75" x14ac:dyDescent="0.25">
      <c r="A116" s="12">
        <v>107</v>
      </c>
      <c r="B116" s="65" t="s">
        <v>2</v>
      </c>
      <c r="C116" s="19">
        <f t="shared" si="168"/>
        <v>0</v>
      </c>
      <c r="D116" s="19">
        <f t="shared" si="169"/>
        <v>0</v>
      </c>
      <c r="E116" s="19">
        <f t="shared" si="170"/>
        <v>0</v>
      </c>
      <c r="F116" s="19"/>
      <c r="G116" s="19"/>
      <c r="H116" s="19"/>
      <c r="I116" s="19"/>
      <c r="J116" s="19"/>
      <c r="K116" s="19"/>
      <c r="L116" s="19"/>
    </row>
    <row r="117" spans="1:12" s="2" customFormat="1" ht="15.75" x14ac:dyDescent="0.25">
      <c r="A117" s="12">
        <v>108</v>
      </c>
      <c r="B117" s="6" t="s">
        <v>124</v>
      </c>
      <c r="C117" s="19">
        <v>2904.2</v>
      </c>
      <c r="D117" s="19">
        <v>2904.2</v>
      </c>
      <c r="E117" s="19">
        <f t="shared" si="170"/>
        <v>0</v>
      </c>
      <c r="F117" s="19">
        <f t="shared" si="171"/>
        <v>100</v>
      </c>
      <c r="G117" s="19"/>
      <c r="H117" s="19"/>
      <c r="I117" s="19"/>
      <c r="J117" s="19"/>
      <c r="K117" s="19">
        <v>2904.2</v>
      </c>
      <c r="L117" s="19">
        <v>2904.2</v>
      </c>
    </row>
    <row r="118" spans="1:12" s="2" customFormat="1" ht="15.75" x14ac:dyDescent="0.25">
      <c r="A118" s="12">
        <v>109</v>
      </c>
      <c r="B118" s="7" t="s">
        <v>181</v>
      </c>
      <c r="C118" s="18">
        <f>+C115-C117</f>
        <v>18070.2</v>
      </c>
      <c r="D118" s="18">
        <f t="shared" ref="D118:E118" si="208">+D115-D117</f>
        <v>13344.7</v>
      </c>
      <c r="E118" s="18">
        <f t="shared" si="208"/>
        <v>-4725.5</v>
      </c>
      <c r="F118" s="18">
        <f t="shared" si="171"/>
        <v>73.8</v>
      </c>
      <c r="G118" s="18">
        <f t="shared" ref="G118" si="209">+G115-G117</f>
        <v>7443.7</v>
      </c>
      <c r="H118" s="18">
        <f t="shared" ref="H118" si="210">+H115-H117</f>
        <v>6175.8</v>
      </c>
      <c r="I118" s="18">
        <f t="shared" ref="I118" si="211">+I115-I117</f>
        <v>243.7</v>
      </c>
      <c r="J118" s="18">
        <f t="shared" ref="J118" si="212">+J115-J117</f>
        <v>231.9</v>
      </c>
      <c r="K118" s="18">
        <f t="shared" ref="K118" si="213">+K115-K117</f>
        <v>10626.5</v>
      </c>
      <c r="L118" s="18">
        <f t="shared" ref="L118" si="214">+L115-L117</f>
        <v>7168.9</v>
      </c>
    </row>
    <row r="120" spans="1:12" x14ac:dyDescent="0.25">
      <c r="B120" s="33"/>
      <c r="C120" s="33"/>
    </row>
  </sheetData>
  <mergeCells count="15">
    <mergeCell ref="A2:L2"/>
    <mergeCell ref="K6:L6"/>
    <mergeCell ref="G7:G8"/>
    <mergeCell ref="H7:H8"/>
    <mergeCell ref="A5:A8"/>
    <mergeCell ref="B5:B8"/>
    <mergeCell ref="I7:J7"/>
    <mergeCell ref="K7:K8"/>
    <mergeCell ref="L7:L8"/>
    <mergeCell ref="C5:C8"/>
    <mergeCell ref="D5:D8"/>
    <mergeCell ref="E5:E8"/>
    <mergeCell ref="F5:F8"/>
    <mergeCell ref="G5:L5"/>
    <mergeCell ref="G6:J6"/>
  </mergeCells>
  <pageMargins left="0.94488188976377963" right="0.35433070866141736" top="0.74803149606299213" bottom="0.55118110236220474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Zeros="0" tabSelected="1" topLeftCell="A4" zoomScale="103" zoomScaleNormal="103" workbookViewId="0">
      <selection activeCell="R19" sqref="R19"/>
    </sheetView>
  </sheetViews>
  <sheetFormatPr defaultColWidth="9.140625" defaultRowHeight="15.75" x14ac:dyDescent="0.25"/>
  <cols>
    <col min="1" max="1" width="5.140625" style="1" customWidth="1"/>
    <col min="2" max="2" width="32.42578125" style="1" customWidth="1"/>
    <col min="3" max="3" width="10.5703125" style="2" customWidth="1"/>
    <col min="4" max="4" width="9.140625" style="2"/>
    <col min="5" max="5" width="11.7109375" style="2" customWidth="1"/>
    <col min="6" max="6" width="11" style="2" customWidth="1"/>
    <col min="7" max="7" width="9.140625" style="2"/>
    <col min="8" max="8" width="10.28515625" style="2" customWidth="1"/>
    <col min="9" max="9" width="10" style="2" customWidth="1"/>
    <col min="10" max="10" width="9.140625" style="2"/>
    <col min="11" max="11" width="10.5703125" style="2" customWidth="1"/>
    <col min="12" max="12" width="10.7109375" style="2" customWidth="1"/>
    <col min="13" max="13" width="8.28515625" style="2" customWidth="1"/>
    <col min="14" max="14" width="10.28515625" style="2" customWidth="1"/>
    <col min="15" max="15" width="9.140625" style="39"/>
    <col min="16" max="16384" width="9.140625" style="2"/>
  </cols>
  <sheetData>
    <row r="1" spans="1:14" x14ac:dyDescent="0.25">
      <c r="A1" s="8"/>
      <c r="B1" s="74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18" customHeight="1" x14ac:dyDescent="0.25">
      <c r="A2" s="84" t="s">
        <v>247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14" ht="15" customHeight="1" x14ac:dyDescent="0.25">
      <c r="A3" s="22"/>
      <c r="B3" s="22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ht="15.75" customHeight="1" x14ac:dyDescent="0.25">
      <c r="A4" s="54"/>
      <c r="B4" s="55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56" t="s">
        <v>122</v>
      </c>
    </row>
    <row r="5" spans="1:14" ht="17.25" customHeight="1" x14ac:dyDescent="0.25">
      <c r="A5" s="86" t="s">
        <v>0</v>
      </c>
      <c r="B5" s="86" t="s">
        <v>206</v>
      </c>
      <c r="C5" s="89" t="s">
        <v>1</v>
      </c>
      <c r="D5" s="89"/>
      <c r="E5" s="89"/>
      <c r="F5" s="77" t="s">
        <v>2</v>
      </c>
      <c r="G5" s="77"/>
      <c r="H5" s="77"/>
      <c r="I5" s="77"/>
      <c r="J5" s="77"/>
      <c r="K5" s="77"/>
      <c r="L5" s="77"/>
      <c r="M5" s="77"/>
      <c r="N5" s="77"/>
    </row>
    <row r="6" spans="1:14" ht="51" customHeight="1" x14ac:dyDescent="0.2">
      <c r="A6" s="87"/>
      <c r="B6" s="87"/>
      <c r="C6" s="89"/>
      <c r="D6" s="89"/>
      <c r="E6" s="89"/>
      <c r="F6" s="90" t="s">
        <v>248</v>
      </c>
      <c r="G6" s="90"/>
      <c r="H6" s="90"/>
      <c r="I6" s="91" t="s">
        <v>249</v>
      </c>
      <c r="J6" s="91"/>
      <c r="K6" s="91"/>
      <c r="L6" s="91" t="s">
        <v>250</v>
      </c>
      <c r="M6" s="91"/>
      <c r="N6" s="91"/>
    </row>
    <row r="7" spans="1:14" ht="47.25" customHeight="1" x14ac:dyDescent="0.2">
      <c r="A7" s="88"/>
      <c r="B7" s="88"/>
      <c r="C7" s="67" t="s">
        <v>241</v>
      </c>
      <c r="D7" s="67" t="s">
        <v>242</v>
      </c>
      <c r="E7" s="63" t="s">
        <v>251</v>
      </c>
      <c r="F7" s="67" t="s">
        <v>241</v>
      </c>
      <c r="G7" s="67" t="s">
        <v>242</v>
      </c>
      <c r="H7" s="63" t="s">
        <v>251</v>
      </c>
      <c r="I7" s="67" t="s">
        <v>241</v>
      </c>
      <c r="J7" s="67" t="s">
        <v>242</v>
      </c>
      <c r="K7" s="63" t="s">
        <v>251</v>
      </c>
      <c r="L7" s="67" t="s">
        <v>241</v>
      </c>
      <c r="M7" s="67" t="s">
        <v>242</v>
      </c>
      <c r="N7" s="63" t="s">
        <v>251</v>
      </c>
    </row>
    <row r="8" spans="1:14" ht="13.5" customHeight="1" x14ac:dyDescent="0.25">
      <c r="A8" s="66">
        <v>1</v>
      </c>
      <c r="B8" s="47" t="s">
        <v>207</v>
      </c>
      <c r="C8" s="66">
        <v>3</v>
      </c>
      <c r="D8" s="47" t="s">
        <v>208</v>
      </c>
      <c r="E8" s="66">
        <v>5</v>
      </c>
      <c r="F8" s="47" t="s">
        <v>209</v>
      </c>
      <c r="G8" s="66">
        <v>7</v>
      </c>
      <c r="H8" s="47" t="s">
        <v>252</v>
      </c>
      <c r="I8" s="66">
        <v>9</v>
      </c>
      <c r="J8" s="47" t="s">
        <v>253</v>
      </c>
      <c r="K8" s="66">
        <v>11</v>
      </c>
      <c r="L8" s="47" t="s">
        <v>254</v>
      </c>
      <c r="M8" s="66">
        <v>13</v>
      </c>
      <c r="N8" s="47" t="s">
        <v>255</v>
      </c>
    </row>
    <row r="9" spans="1:14" s="39" customFormat="1" ht="21" customHeight="1" x14ac:dyDescent="0.25">
      <c r="A9" s="48">
        <v>1</v>
      </c>
      <c r="B9" s="3" t="s">
        <v>3</v>
      </c>
      <c r="C9" s="18">
        <f>+F9+I9+L9</f>
        <v>130</v>
      </c>
      <c r="D9" s="18">
        <f>+G9+J9+M9</f>
        <v>219.9</v>
      </c>
      <c r="E9" s="18">
        <f>+H9+K9+N9</f>
        <v>89.9</v>
      </c>
      <c r="F9" s="18"/>
      <c r="G9" s="18"/>
      <c r="H9" s="18">
        <f>+G9-F9</f>
        <v>0</v>
      </c>
      <c r="I9" s="18"/>
      <c r="J9" s="18"/>
      <c r="K9" s="18">
        <f>+J9-I9</f>
        <v>0</v>
      </c>
      <c r="L9" s="18">
        <v>130</v>
      </c>
      <c r="M9" s="18">
        <v>219.9</v>
      </c>
      <c r="N9" s="18">
        <f>+M9-L9</f>
        <v>89.9</v>
      </c>
    </row>
    <row r="10" spans="1:14" s="39" customFormat="1" ht="19.5" customHeight="1" x14ac:dyDescent="0.25">
      <c r="A10" s="48">
        <v>2</v>
      </c>
      <c r="B10" s="3" t="s">
        <v>4</v>
      </c>
      <c r="C10" s="18">
        <f>+C12+C13</f>
        <v>33.5</v>
      </c>
      <c r="D10" s="18">
        <f t="shared" ref="D10:N10" si="0">+D12+D13</f>
        <v>37.200000000000003</v>
      </c>
      <c r="E10" s="18">
        <f t="shared" si="0"/>
        <v>3.7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25.8</v>
      </c>
      <c r="J10" s="18">
        <f t="shared" si="0"/>
        <v>29.5</v>
      </c>
      <c r="K10" s="18">
        <f t="shared" si="0"/>
        <v>3.7</v>
      </c>
      <c r="L10" s="18">
        <f t="shared" si="0"/>
        <v>7.7</v>
      </c>
      <c r="M10" s="18">
        <f t="shared" si="0"/>
        <v>7.7</v>
      </c>
      <c r="N10" s="18">
        <f t="shared" si="0"/>
        <v>0</v>
      </c>
    </row>
    <row r="11" spans="1:14" s="39" customFormat="1" ht="19.5" customHeight="1" x14ac:dyDescent="0.25">
      <c r="A11" s="48">
        <v>3</v>
      </c>
      <c r="B11" s="65" t="s">
        <v>2</v>
      </c>
      <c r="C11" s="19">
        <f t="shared" ref="C11:E23" si="1">+F11+I11+L11</f>
        <v>0</v>
      </c>
      <c r="D11" s="19">
        <f t="shared" si="1"/>
        <v>0</v>
      </c>
      <c r="E11" s="19">
        <f t="shared" si="1"/>
        <v>0</v>
      </c>
      <c r="F11" s="19"/>
      <c r="G11" s="19"/>
      <c r="H11" s="19">
        <f t="shared" ref="H11:H23" si="2">+G11-F11</f>
        <v>0</v>
      </c>
      <c r="I11" s="19"/>
      <c r="J11" s="19"/>
      <c r="K11" s="19">
        <f t="shared" ref="K11:K23" si="3">+J11-I11</f>
        <v>0</v>
      </c>
      <c r="L11" s="19"/>
      <c r="M11" s="19"/>
      <c r="N11" s="19">
        <f t="shared" ref="N11:N23" si="4">+M11-L11</f>
        <v>0</v>
      </c>
    </row>
    <row r="12" spans="1:14" s="39" customFormat="1" ht="19.5" customHeight="1" x14ac:dyDescent="0.25">
      <c r="A12" s="48">
        <v>4</v>
      </c>
      <c r="B12" s="4" t="s">
        <v>4</v>
      </c>
      <c r="C12" s="19">
        <f t="shared" si="1"/>
        <v>0.8</v>
      </c>
      <c r="D12" s="19">
        <f t="shared" si="1"/>
        <v>2.5</v>
      </c>
      <c r="E12" s="19">
        <f t="shared" si="1"/>
        <v>1.7</v>
      </c>
      <c r="F12" s="19"/>
      <c r="G12" s="19"/>
      <c r="H12" s="19">
        <f t="shared" si="2"/>
        <v>0</v>
      </c>
      <c r="I12" s="19">
        <v>0.8</v>
      </c>
      <c r="J12" s="19">
        <v>2.5</v>
      </c>
      <c r="K12" s="19">
        <f t="shared" si="3"/>
        <v>1.7</v>
      </c>
      <c r="L12" s="19"/>
      <c r="M12" s="19"/>
      <c r="N12" s="19">
        <f t="shared" si="4"/>
        <v>0</v>
      </c>
    </row>
    <row r="13" spans="1:14" s="39" customFormat="1" ht="31.5" x14ac:dyDescent="0.25">
      <c r="A13" s="48">
        <v>5</v>
      </c>
      <c r="B13" s="6" t="s">
        <v>210</v>
      </c>
      <c r="C13" s="19">
        <f t="shared" si="1"/>
        <v>32.700000000000003</v>
      </c>
      <c r="D13" s="19">
        <f t="shared" si="1"/>
        <v>34.700000000000003</v>
      </c>
      <c r="E13" s="19">
        <f t="shared" si="1"/>
        <v>2</v>
      </c>
      <c r="F13" s="19"/>
      <c r="G13" s="19"/>
      <c r="H13" s="19">
        <f t="shared" si="2"/>
        <v>0</v>
      </c>
      <c r="I13" s="19">
        <v>25</v>
      </c>
      <c r="J13" s="19">
        <v>27</v>
      </c>
      <c r="K13" s="19">
        <f t="shared" si="3"/>
        <v>2</v>
      </c>
      <c r="L13" s="19">
        <v>7.7</v>
      </c>
      <c r="M13" s="19">
        <v>7.7</v>
      </c>
      <c r="N13" s="19">
        <f t="shared" si="4"/>
        <v>0</v>
      </c>
    </row>
    <row r="14" spans="1:14" s="53" customFormat="1" ht="31.5" x14ac:dyDescent="0.25">
      <c r="A14" s="48">
        <v>6</v>
      </c>
      <c r="B14" s="3" t="s">
        <v>5</v>
      </c>
      <c r="C14" s="18">
        <f>+C16+C17+C18</f>
        <v>6335.3</v>
      </c>
      <c r="D14" s="18">
        <f t="shared" ref="D14:N14" si="5">+D16+D17+D18</f>
        <v>6133.5</v>
      </c>
      <c r="E14" s="18">
        <f t="shared" si="5"/>
        <v>-201.8</v>
      </c>
      <c r="F14" s="18">
        <f t="shared" si="5"/>
        <v>4863.8</v>
      </c>
      <c r="G14" s="18">
        <f t="shared" si="5"/>
        <v>4700.1000000000004</v>
      </c>
      <c r="H14" s="18">
        <f t="shared" si="5"/>
        <v>-163.69999999999999</v>
      </c>
      <c r="I14" s="18">
        <f t="shared" si="5"/>
        <v>1335.6</v>
      </c>
      <c r="J14" s="18">
        <f t="shared" si="5"/>
        <v>1287.8</v>
      </c>
      <c r="K14" s="18">
        <f t="shared" si="5"/>
        <v>-47.8</v>
      </c>
      <c r="L14" s="18">
        <f t="shared" si="5"/>
        <v>135.9</v>
      </c>
      <c r="M14" s="18">
        <f t="shared" si="5"/>
        <v>145.6</v>
      </c>
      <c r="N14" s="18">
        <f t="shared" si="5"/>
        <v>9.6999999999999993</v>
      </c>
    </row>
    <row r="15" spans="1:14" s="53" customFormat="1" x14ac:dyDescent="0.25">
      <c r="A15" s="48">
        <v>7</v>
      </c>
      <c r="B15" s="65" t="s">
        <v>2</v>
      </c>
      <c r="C15" s="19">
        <f t="shared" si="1"/>
        <v>0</v>
      </c>
      <c r="D15" s="19">
        <f t="shared" si="1"/>
        <v>0</v>
      </c>
      <c r="E15" s="19">
        <f t="shared" si="1"/>
        <v>0</v>
      </c>
      <c r="F15" s="19"/>
      <c r="G15" s="19"/>
      <c r="H15" s="19">
        <f t="shared" si="2"/>
        <v>0</v>
      </c>
      <c r="I15" s="19"/>
      <c r="J15" s="19"/>
      <c r="K15" s="19">
        <f t="shared" si="3"/>
        <v>0</v>
      </c>
      <c r="L15" s="19"/>
      <c r="M15" s="19"/>
      <c r="N15" s="19">
        <f t="shared" si="4"/>
        <v>0</v>
      </c>
    </row>
    <row r="16" spans="1:14" s="53" customFormat="1" x14ac:dyDescent="0.25">
      <c r="A16" s="48">
        <v>8</v>
      </c>
      <c r="B16" s="11" t="s">
        <v>211</v>
      </c>
      <c r="C16" s="19">
        <f t="shared" si="1"/>
        <v>5540</v>
      </c>
      <c r="D16" s="19">
        <f t="shared" si="1"/>
        <v>5325.2</v>
      </c>
      <c r="E16" s="19">
        <f t="shared" si="1"/>
        <v>-214.8</v>
      </c>
      <c r="F16" s="19">
        <v>4761.6000000000004</v>
      </c>
      <c r="G16" s="19">
        <v>4600.1000000000004</v>
      </c>
      <c r="H16" s="19">
        <f t="shared" si="2"/>
        <v>-161.5</v>
      </c>
      <c r="I16" s="19">
        <v>716.6</v>
      </c>
      <c r="J16" s="19">
        <v>664.9</v>
      </c>
      <c r="K16" s="19">
        <f t="shared" si="3"/>
        <v>-51.7</v>
      </c>
      <c r="L16" s="19">
        <v>61.8</v>
      </c>
      <c r="M16" s="19">
        <v>60.2</v>
      </c>
      <c r="N16" s="19">
        <f t="shared" si="4"/>
        <v>-1.6</v>
      </c>
    </row>
    <row r="17" spans="1:14" s="53" customFormat="1" x14ac:dyDescent="0.25">
      <c r="A17" s="48">
        <v>9</v>
      </c>
      <c r="B17" s="11" t="s">
        <v>212</v>
      </c>
      <c r="C17" s="19">
        <f t="shared" si="1"/>
        <v>361.4</v>
      </c>
      <c r="D17" s="19">
        <f t="shared" si="1"/>
        <v>328.7</v>
      </c>
      <c r="E17" s="19">
        <f t="shared" si="1"/>
        <v>-32.700000000000003</v>
      </c>
      <c r="F17" s="19">
        <v>102.2</v>
      </c>
      <c r="G17" s="19">
        <v>100</v>
      </c>
      <c r="H17" s="19">
        <f t="shared" si="2"/>
        <v>-2.2000000000000002</v>
      </c>
      <c r="I17" s="19">
        <v>248.8</v>
      </c>
      <c r="J17" s="19">
        <v>223.2</v>
      </c>
      <c r="K17" s="19">
        <f t="shared" si="3"/>
        <v>-25.6</v>
      </c>
      <c r="L17" s="19">
        <v>10.4</v>
      </c>
      <c r="M17" s="19">
        <v>5.5</v>
      </c>
      <c r="N17" s="19">
        <f t="shared" si="4"/>
        <v>-4.9000000000000004</v>
      </c>
    </row>
    <row r="18" spans="1:14" s="53" customFormat="1" x14ac:dyDescent="0.25">
      <c r="A18" s="48">
        <v>10</v>
      </c>
      <c r="B18" s="11" t="s">
        <v>213</v>
      </c>
      <c r="C18" s="19">
        <f t="shared" si="1"/>
        <v>433.9</v>
      </c>
      <c r="D18" s="19">
        <f t="shared" si="1"/>
        <v>479.6</v>
      </c>
      <c r="E18" s="19">
        <f t="shared" si="1"/>
        <v>45.7</v>
      </c>
      <c r="F18" s="19"/>
      <c r="G18" s="19"/>
      <c r="H18" s="19">
        <f t="shared" si="2"/>
        <v>0</v>
      </c>
      <c r="I18" s="19">
        <v>370.2</v>
      </c>
      <c r="J18" s="19">
        <v>399.7</v>
      </c>
      <c r="K18" s="19">
        <f t="shared" si="3"/>
        <v>29.5</v>
      </c>
      <c r="L18" s="19">
        <v>63.7</v>
      </c>
      <c r="M18" s="19">
        <v>79.900000000000006</v>
      </c>
      <c r="N18" s="19">
        <f t="shared" si="4"/>
        <v>16.2</v>
      </c>
    </row>
    <row r="19" spans="1:14" s="39" customFormat="1" ht="15" customHeight="1" x14ac:dyDescent="0.25">
      <c r="A19" s="48">
        <v>11</v>
      </c>
      <c r="B19" s="7" t="s">
        <v>6</v>
      </c>
      <c r="C19" s="18">
        <f>+C21+C22+C23</f>
        <v>1840.8</v>
      </c>
      <c r="D19" s="18">
        <f t="shared" ref="D19:N19" si="6">+D21+D22+D23</f>
        <v>1778.9</v>
      </c>
      <c r="E19" s="18">
        <f t="shared" si="6"/>
        <v>-61.9</v>
      </c>
      <c r="F19" s="18">
        <f t="shared" si="6"/>
        <v>541.4</v>
      </c>
      <c r="G19" s="18">
        <f t="shared" si="6"/>
        <v>545.6</v>
      </c>
      <c r="H19" s="18">
        <f t="shared" si="6"/>
        <v>4.2</v>
      </c>
      <c r="I19" s="18">
        <f t="shared" si="6"/>
        <v>149.4</v>
      </c>
      <c r="J19" s="18">
        <f t="shared" si="6"/>
        <v>160.69999999999999</v>
      </c>
      <c r="K19" s="18">
        <f t="shared" si="6"/>
        <v>11.3</v>
      </c>
      <c r="L19" s="18">
        <f t="shared" si="6"/>
        <v>1150</v>
      </c>
      <c r="M19" s="18">
        <f t="shared" si="6"/>
        <v>1072.5999999999999</v>
      </c>
      <c r="N19" s="18">
        <f t="shared" si="6"/>
        <v>-77.400000000000006</v>
      </c>
    </row>
    <row r="20" spans="1:14" s="39" customFormat="1" ht="15" customHeight="1" x14ac:dyDescent="0.25">
      <c r="A20" s="48">
        <v>12</v>
      </c>
      <c r="B20" s="65" t="s">
        <v>2</v>
      </c>
      <c r="C20" s="19">
        <f t="shared" si="1"/>
        <v>0</v>
      </c>
      <c r="D20" s="19">
        <f t="shared" si="1"/>
        <v>0</v>
      </c>
      <c r="E20" s="19">
        <f t="shared" si="1"/>
        <v>0</v>
      </c>
      <c r="F20" s="19"/>
      <c r="G20" s="19"/>
      <c r="H20" s="19">
        <f t="shared" si="2"/>
        <v>0</v>
      </c>
      <c r="I20" s="19"/>
      <c r="J20" s="19"/>
      <c r="K20" s="19">
        <f t="shared" si="3"/>
        <v>0</v>
      </c>
      <c r="L20" s="19"/>
      <c r="M20" s="19"/>
      <c r="N20" s="19">
        <f t="shared" si="4"/>
        <v>0</v>
      </c>
    </row>
    <row r="21" spans="1:14" s="39" customFormat="1" ht="47.45" customHeight="1" x14ac:dyDescent="0.25">
      <c r="A21" s="48">
        <v>13</v>
      </c>
      <c r="B21" s="6" t="s">
        <v>214</v>
      </c>
      <c r="C21" s="19">
        <f t="shared" si="1"/>
        <v>1150</v>
      </c>
      <c r="D21" s="19">
        <f t="shared" si="1"/>
        <v>1072.5999999999999</v>
      </c>
      <c r="E21" s="19">
        <f t="shared" si="1"/>
        <v>-77.400000000000006</v>
      </c>
      <c r="F21" s="19"/>
      <c r="G21" s="19"/>
      <c r="H21" s="19">
        <f t="shared" si="2"/>
        <v>0</v>
      </c>
      <c r="I21" s="19"/>
      <c r="J21" s="19"/>
      <c r="K21" s="19">
        <f t="shared" si="3"/>
        <v>0</v>
      </c>
      <c r="L21" s="19">
        <v>1150</v>
      </c>
      <c r="M21" s="19">
        <v>1072.5999999999999</v>
      </c>
      <c r="N21" s="19">
        <f t="shared" si="4"/>
        <v>-77.400000000000006</v>
      </c>
    </row>
    <row r="22" spans="1:14" s="39" customFormat="1" ht="15" customHeight="1" x14ac:dyDescent="0.25">
      <c r="A22" s="48">
        <v>14</v>
      </c>
      <c r="B22" s="11" t="s">
        <v>215</v>
      </c>
      <c r="C22" s="19">
        <f t="shared" si="1"/>
        <v>668.3</v>
      </c>
      <c r="D22" s="19">
        <f t="shared" si="1"/>
        <v>686.7</v>
      </c>
      <c r="E22" s="19">
        <f t="shared" si="1"/>
        <v>18.399999999999999</v>
      </c>
      <c r="F22" s="19">
        <v>525.4</v>
      </c>
      <c r="G22" s="19">
        <v>532.5</v>
      </c>
      <c r="H22" s="19">
        <f t="shared" si="2"/>
        <v>7.1</v>
      </c>
      <c r="I22" s="19">
        <v>142.9</v>
      </c>
      <c r="J22" s="19">
        <v>154.19999999999999</v>
      </c>
      <c r="K22" s="19">
        <f t="shared" si="3"/>
        <v>11.3</v>
      </c>
      <c r="L22" s="19"/>
      <c r="M22" s="19"/>
      <c r="N22" s="19">
        <f t="shared" si="4"/>
        <v>0</v>
      </c>
    </row>
    <row r="23" spans="1:14" s="39" customFormat="1" ht="15" customHeight="1" x14ac:dyDescent="0.25">
      <c r="A23" s="48">
        <v>15</v>
      </c>
      <c r="B23" s="11" t="s">
        <v>216</v>
      </c>
      <c r="C23" s="19">
        <f t="shared" si="1"/>
        <v>22.5</v>
      </c>
      <c r="D23" s="19">
        <f t="shared" si="1"/>
        <v>19.600000000000001</v>
      </c>
      <c r="E23" s="19">
        <f t="shared" si="1"/>
        <v>-2.9</v>
      </c>
      <c r="F23" s="19">
        <v>16</v>
      </c>
      <c r="G23" s="19">
        <v>13.1</v>
      </c>
      <c r="H23" s="19">
        <f t="shared" si="2"/>
        <v>-2.9</v>
      </c>
      <c r="I23" s="19">
        <v>6.5</v>
      </c>
      <c r="J23" s="19">
        <v>6.5</v>
      </c>
      <c r="K23" s="19">
        <f t="shared" si="3"/>
        <v>0</v>
      </c>
      <c r="L23" s="19"/>
      <c r="M23" s="19"/>
      <c r="N23" s="19">
        <f t="shared" si="4"/>
        <v>0</v>
      </c>
    </row>
    <row r="24" spans="1:14" s="39" customFormat="1" x14ac:dyDescent="0.25">
      <c r="A24" s="48">
        <v>16</v>
      </c>
      <c r="B24" s="3" t="s">
        <v>1</v>
      </c>
      <c r="C24" s="18">
        <f>+C9+C10+C14+C19</f>
        <v>8339.6</v>
      </c>
      <c r="D24" s="18">
        <f t="shared" ref="D24:N24" si="7">+D9+D10+D14+D19</f>
        <v>8169.5</v>
      </c>
      <c r="E24" s="18">
        <f t="shared" si="7"/>
        <v>-170.1</v>
      </c>
      <c r="F24" s="18">
        <f t="shared" si="7"/>
        <v>5405.2</v>
      </c>
      <c r="G24" s="18">
        <f t="shared" si="7"/>
        <v>5245.7</v>
      </c>
      <c r="H24" s="18">
        <f t="shared" si="7"/>
        <v>-159.5</v>
      </c>
      <c r="I24" s="18">
        <f t="shared" si="7"/>
        <v>1510.8</v>
      </c>
      <c r="J24" s="18">
        <f t="shared" si="7"/>
        <v>1478</v>
      </c>
      <c r="K24" s="18">
        <f t="shared" si="7"/>
        <v>-32.799999999999997</v>
      </c>
      <c r="L24" s="18">
        <f t="shared" si="7"/>
        <v>1423.6</v>
      </c>
      <c r="M24" s="18">
        <f t="shared" si="7"/>
        <v>1445.8</v>
      </c>
      <c r="N24" s="18">
        <f t="shared" si="7"/>
        <v>22.2</v>
      </c>
    </row>
    <row r="25" spans="1:14" x14ac:dyDescent="0.25">
      <c r="A25" s="43"/>
      <c r="B25" s="49"/>
      <c r="M25" s="39"/>
    </row>
    <row r="26" spans="1:14" x14ac:dyDescent="0.25">
      <c r="A26" s="43"/>
      <c r="B26" s="57"/>
      <c r="C26" s="58"/>
      <c r="D26" s="58"/>
      <c r="E26" s="58"/>
      <c r="F26" s="29"/>
      <c r="G26" s="29"/>
      <c r="H26" s="29"/>
      <c r="I26" s="29"/>
      <c r="J26" s="29"/>
      <c r="K26" s="29"/>
    </row>
    <row r="27" spans="1:14" x14ac:dyDescent="0.25">
      <c r="A27" s="43"/>
      <c r="B27" s="50"/>
      <c r="E27" s="29"/>
      <c r="H27" s="29"/>
      <c r="K27" s="29"/>
      <c r="N27" s="29"/>
    </row>
    <row r="28" spans="1:14" x14ac:dyDescent="0.25">
      <c r="A28" s="46"/>
      <c r="B28" s="45"/>
    </row>
    <row r="29" spans="1:14" x14ac:dyDescent="0.25">
      <c r="B29" s="8"/>
    </row>
    <row r="30" spans="1:14" x14ac:dyDescent="0.25">
      <c r="B30" s="8"/>
    </row>
    <row r="31" spans="1:14" x14ac:dyDescent="0.25">
      <c r="B31" s="8"/>
    </row>
    <row r="32" spans="1:14" x14ac:dyDescent="0.25">
      <c r="B32" s="8"/>
    </row>
  </sheetData>
  <mergeCells count="8">
    <mergeCell ref="A2:N2"/>
    <mergeCell ref="A5:A7"/>
    <mergeCell ref="B5:B7"/>
    <mergeCell ref="C5:E6"/>
    <mergeCell ref="F5:N5"/>
    <mergeCell ref="F6:H6"/>
    <mergeCell ref="I6:K6"/>
    <mergeCell ref="L6:N6"/>
  </mergeCells>
  <pageMargins left="0.78740157480314965" right="0.31496062992125984" top="0.78740157480314965" bottom="0.39370078740157483" header="0" footer="0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Įvardinti diapazonai</vt:lpstr>
      </vt:variant>
      <vt:variant>
        <vt:i4>5</vt:i4>
      </vt:variant>
    </vt:vector>
  </HeadingPairs>
  <TitlesOfParts>
    <vt:vector size="10" baseType="lpstr">
      <vt:lpstr>1 pr. pajamos </vt:lpstr>
      <vt:lpstr>1 pr. asignavimai</vt:lpstr>
      <vt:lpstr>2 pr.</vt:lpstr>
      <vt:lpstr>3 pr.</vt:lpstr>
      <vt:lpstr>4 pr.</vt:lpstr>
      <vt:lpstr>'1 pr. asignavimai'!Print_Titles</vt:lpstr>
      <vt:lpstr>'1 pr. pajamos '!Print_Titles</vt:lpstr>
      <vt:lpstr>'2 pr.'!Print_Titles</vt:lpstr>
      <vt:lpstr>'3 pr.'!Print_Titles</vt:lpstr>
      <vt:lpstr>'4 pr.'!Print_Titles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Evaldas Barcas</dc:creator>
  <cp:lastModifiedBy>Diana Paliūnaitė</cp:lastModifiedBy>
  <cp:lastPrinted>2019-06-07T05:23:57Z</cp:lastPrinted>
  <dcterms:created xsi:type="dcterms:W3CDTF">2013-11-22T06:09:34Z</dcterms:created>
  <dcterms:modified xsi:type="dcterms:W3CDTF">2019-08-22T06:03:34Z</dcterms:modified>
</cp:coreProperties>
</file>